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showInkAnnotation="0" codeName="ThisWorkbook"/>
  <mc:AlternateContent xmlns:mc="http://schemas.openxmlformats.org/markup-compatibility/2006">
    <mc:Choice Requires="x15">
      <x15ac:absPath xmlns:x15ac="http://schemas.microsoft.com/office/spreadsheetml/2010/11/ac" url="\\Tii-fs-nt1\NLIA\精算及統計專責單位(產險精算)\01_工作計劃_財務精算\02_清償能力相關\01_RBC制度研究\2024RBC制度及檢查報表修訂及規劃\05_半年報修訂\0726\"/>
    </mc:Choice>
  </mc:AlternateContent>
  <xr:revisionPtr revIDLastSave="0" documentId="13_ncr:1_{56216A5E-3FA0-4015-B26E-D37ABDB033FB}" xr6:coauthVersionLast="36" xr6:coauthVersionMax="47" xr10:uidLastSave="{00000000-0000-0000-0000-000000000000}"/>
  <bookViews>
    <workbookView xWindow="0" yWindow="0" windowWidth="28800" windowHeight="11400" tabRatio="841" firstSheet="1" activeTab="1"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5-3-1" sheetId="165" r:id="rId58"/>
    <sheet name="表30-5-3-2" sheetId="166" r:id="rId59"/>
    <sheet name="表30-5-3-3" sheetId="167" r:id="rId60"/>
    <sheet name="表30-6" sheetId="36" r:id="rId61"/>
    <sheet name="表30-6-1" sheetId="154" r:id="rId62"/>
    <sheet name="表30-7" sheetId="37" r:id="rId63"/>
    <sheet name="表30-8" sheetId="164" r:id="rId64"/>
    <sheet name="表30-8-1" sheetId="108" r:id="rId65"/>
    <sheet name="表30-8-2" sheetId="109" r:id="rId66"/>
    <sheet name="表30-8-3" sheetId="104" r:id="rId67"/>
    <sheet name="表30-8-4" sheetId="125" r:id="rId68"/>
    <sheet name="表30-8-5" sheetId="145" r:id="rId69"/>
    <sheet name="表30-8-6" sheetId="146" r:id="rId70"/>
    <sheet name="表30-8-7" sheetId="160" r:id="rId71"/>
    <sheet name="表30-8-8" sheetId="163" r:id="rId72"/>
    <sheet name="表30-9" sheetId="43" r:id="rId73"/>
    <sheet name="表30-10" sheetId="44" r:id="rId74"/>
    <sheet name="表30-11" sheetId="54" r:id="rId75"/>
    <sheet name="表30-12" sheetId="46" r:id="rId76"/>
    <sheet name="表30-13" sheetId="47" r:id="rId77"/>
    <sheet name="表30-14" sheetId="48" r:id="rId78"/>
    <sheet name="表30-15" sheetId="49" r:id="rId79"/>
    <sheet name="表30-16" sheetId="50" r:id="rId80"/>
    <sheet name="表30-14-1" sheetId="51" r:id="rId81"/>
    <sheet name="表30-14-2" sheetId="52" r:id="rId82"/>
    <sheet name="表30-14-3" sheetId="159"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3" hidden="1">'[4]5DAYRPT '!#REF!</definedName>
    <definedName name="__123Graph_X" localSheetId="67" hidden="1">'[2]5DAYRPT '!#REF!</definedName>
    <definedName name="__123Graph_X" hidden="1">'[2]5DAYRPT '!#REF!</definedName>
    <definedName name="_xlnm._FilterDatabase" localSheetId="1" hidden="1">目錄!$A$4:$O$159</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63">[7]Sheet2!$A$6</definedName>
    <definedName name="aaa" localSheetId="67">[6]Sheet2!$A$6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3">#REF!</definedName>
    <definedName name="AP" localSheetId="67">#REF!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56">#REF!</definedName>
    <definedName name="b" localSheetId="63">#REF!</definedName>
    <definedName name="b">#REF!</definedName>
    <definedName name="bbb" localSheetId="14">[6]Sheet2!$A$6</definedName>
    <definedName name="bbb" localSheetId="43">[6]Sheet2!$A$6</definedName>
    <definedName name="bbb" localSheetId="63">[7]Sheet2!$A$6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56">#REF!</definedName>
    <definedName name="cc" localSheetId="63">#REF!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3">#REF!</definedName>
    <definedName name="CP" localSheetId="67">#REF!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56">#REF!</definedName>
    <definedName name="d" localSheetId="63">#REF!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3">#REF!</definedName>
    <definedName name="DWP" localSheetId="67">#REF!</definedName>
    <definedName name="DWP">#REF!</definedName>
    <definedName name="E" localSheetId="14">#REF!</definedName>
    <definedName name="E" localSheetId="56">#REF!</definedName>
    <definedName name="E" localSheetId="63">#REF!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56">#REF!</definedName>
    <definedName name="f" localSheetId="63">#REF!</definedName>
    <definedName name="f">#REF!</definedName>
    <definedName name="fde">[13]表03!$A$50</definedName>
    <definedName name="frd">[13]表09!$A$24</definedName>
    <definedName name="G" localSheetId="14">#REF!</definedName>
    <definedName name="G" localSheetId="56">#REF!</definedName>
    <definedName name="G" localSheetId="63">#REF!</definedName>
    <definedName name="G">#REF!</definedName>
    <definedName name="i" localSheetId="14">#REF!</definedName>
    <definedName name="i" localSheetId="56">#REF!</definedName>
    <definedName name="i" localSheetId="63">#REF!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63">'[17]表02-2'!$B$23</definedName>
    <definedName name="I1_01_01" localSheetId="67">'[15]表02-2'!$B$23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6">#REF!</definedName>
    <definedName name="I1_02_01" localSheetId="63">'[17]表02-6'!$A$44</definedName>
    <definedName name="I1_02_01" localSheetId="67">'[15]表02-6'!$A$44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6">#REF!</definedName>
    <definedName name="I1_02_02" localSheetId="63">'[17]表02-7'!$A$19</definedName>
    <definedName name="I1_02_02" localSheetId="67">'[15]表02-7'!$A$19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6">#REF!</definedName>
    <definedName name="I1_02_03" localSheetId="63">'[17]表02-5'!$A$29</definedName>
    <definedName name="I1_02_03" localSheetId="67">'[15]表02-5'!$A$29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6">#REF!</definedName>
    <definedName name="I1_02_04" localSheetId="63">'[17]表02-3'!$A$30</definedName>
    <definedName name="I1_02_04" localSheetId="67">'[15]表02-3'!$A$30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6">#REF!</definedName>
    <definedName name="I1_02_05" localSheetId="63">'[17]表02-4'!$A$16</definedName>
    <definedName name="I1_02_05" localSheetId="67">'[15]表02-4'!$A$16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6">#REF!</definedName>
    <definedName name="I1_02_06" localSheetId="63">[17]Sheet1!$A$18</definedName>
    <definedName name="I1_02_06" localSheetId="67">[15]Sheet1!$A$18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6">#REF!</definedName>
    <definedName name="I1_02_07" localSheetId="63">'[17]表01-1'!$A$22</definedName>
    <definedName name="I1_02_07" localSheetId="67">'[15]表01-1'!$A$22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3">#REF!</definedName>
    <definedName name="LBCell010" localSheetId="67">#REF!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3">#REF!</definedName>
    <definedName name="LBCell020" localSheetId="67">#REF!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3">#REF!</definedName>
    <definedName name="LBCell021" localSheetId="67">#REF!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3">#REF!</definedName>
    <definedName name="LBCell022" localSheetId="67">#REF!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3">#REF!</definedName>
    <definedName name="LBCell030" localSheetId="67">#REF!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3">#REF!</definedName>
    <definedName name="LBCell090" localSheetId="67">#REF!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3">#REF!</definedName>
    <definedName name="LBCell150" localSheetId="67">#REF!</definedName>
    <definedName name="LBCell150">#REF!</definedName>
    <definedName name="LBCell160" localSheetId="14">'[19]表13-1'!#REF!</definedName>
    <definedName name="LBCell160" localSheetId="15">'[19]表13-1'!#REF!</definedName>
    <definedName name="LBCell160" localSheetId="52">'[19]表13-1'!#REF!</definedName>
    <definedName name="LBCell160" localSheetId="56">'[19]表13-1'!#REF!</definedName>
    <definedName name="LBCell160" localSheetId="63">'[19]表13-1'!#REF!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3">#REF!</definedName>
    <definedName name="LR" localSheetId="67">#REF!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3">#REF!</definedName>
    <definedName name="LTCell010" localSheetId="67">#REF!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3">#REF!</definedName>
    <definedName name="LTCell020" localSheetId="67">#REF!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3">#REF!</definedName>
    <definedName name="LTCell021" localSheetId="67">#REF!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3">#REF!</definedName>
    <definedName name="LTCell022" localSheetId="67">#REF!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3">#REF!</definedName>
    <definedName name="LTCell030" localSheetId="67">#REF!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3">#REF!</definedName>
    <definedName name="LTCell090" localSheetId="67">#REF!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3">#REF!</definedName>
    <definedName name="LTCell150" localSheetId="67">#REF!</definedName>
    <definedName name="LTCell150">#REF!</definedName>
    <definedName name="LTCell160" localSheetId="14">'[19]表13-1'!#REF!</definedName>
    <definedName name="LTCell160" localSheetId="15">'[19]表13-1'!#REF!</definedName>
    <definedName name="LTCell160" localSheetId="52">'[19]表13-1'!#REF!</definedName>
    <definedName name="LTCell160" localSheetId="56">'[19]表13-1'!#REF!</definedName>
    <definedName name="LTCell160" localSheetId="63">'[19]表13-1'!#REF!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56">#REF!</definedName>
    <definedName name="mh" localSheetId="63">#REF!</definedName>
    <definedName name="mh">#REF!</definedName>
    <definedName name="MOF_05" localSheetId="56">#REF!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1">[6]Sheet2!#REF!</definedName>
    <definedName name="netprem_written" localSheetId="52">[6]Sheet2!#REF!</definedName>
    <definedName name="netprem_written" localSheetId="56">[8]Sheet2!#REF!</definedName>
    <definedName name="netprem_written" localSheetId="63">[7]Sheet2!#REF!</definedName>
    <definedName name="netprem_written" localSheetId="67">[6]Sheet2!#REF!</definedName>
    <definedName name="netprem_written">[8]Sheet2!#REF!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3">#REF!</definedName>
    <definedName name="NWP" localSheetId="67">#REF!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3">'表05-1'!$A$1:$M$283</definedName>
    <definedName name="_xlnm.Print_Area" localSheetId="4">表06!$A$1:$AN$63</definedName>
    <definedName name="_xlnm.Print_Area" localSheetId="5">'表09-1'!$A$1:$AF$33</definedName>
    <definedName name="_xlnm.Print_Area" localSheetId="9">'表10-3'!$A$1:$I$58</definedName>
    <definedName name="_xlnm.Print_Area" localSheetId="13">'表12-1'!$A$1:$AB$32</definedName>
    <definedName name="_xlnm.Print_Area" localSheetId="15">'表13-1'!$A$1:$AI$42</definedName>
    <definedName name="_xlnm.Print_Area" localSheetId="17">'表13-4'!$A$1:$AA$32</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74">'表30-11'!$A$1:$E$151</definedName>
    <definedName name="_xlnm.Print_Area" localSheetId="80">'表30-14-1'!$A$1:$L$1380</definedName>
    <definedName name="_xlnm.Print_Area" localSheetId="81">'表30-14-2'!$A$1:$M$791</definedName>
    <definedName name="_xlnm.Print_Area" localSheetId="45">'表30-2'!$A$1:$G$140</definedName>
    <definedName name="_xlnm.Print_Area" localSheetId="50">'表30-4'!$A$1:$F$17</definedName>
    <definedName name="_xlnm.Print_Area" localSheetId="51">'表30-4-1'!$A$1:$N$31</definedName>
    <definedName name="_xlnm.Print_Area" localSheetId="52">'表30-4-2'!$A$1:$N$31</definedName>
    <definedName name="_xlnm.Print_Area" localSheetId="56">'表30-5-3'!$A$1:$J$33</definedName>
    <definedName name="_xlnm.Print_Area" localSheetId="57">'表30-5-3-1'!$A$1:$M$40</definedName>
    <definedName name="_xlnm.Print_Area" localSheetId="58">'表30-5-3-2'!$A$1:$AJ$40</definedName>
    <definedName name="_xlnm.Print_Area" localSheetId="59">'表30-5-3-3'!$A$1:$AE$39</definedName>
    <definedName name="_xlnm.Print_Area" localSheetId="63">'表30-8'!$A$1:$H$71</definedName>
    <definedName name="_xlnm.Print_Area" localSheetId="67">'表30-8-4'!$A$1:$K$60</definedName>
    <definedName name="_xlnm.Print_Area" localSheetId="68">'表30-8-5'!$A$1:$M$28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6">'表30-13'!$3:$4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3">#REF!</definedName>
    <definedName name="SHT040BR1" localSheetId="67">#REF!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3">#REF!</definedName>
    <definedName name="SHT040BR2" localSheetId="67">#REF!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3">#REF!</definedName>
    <definedName name="SHT040TR1" localSheetId="67">#REF!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3">#REF!</definedName>
    <definedName name="SHT040TR2" localSheetId="67">#REF!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3">#REF!</definedName>
    <definedName name="SHT050BR1" localSheetId="67">#REF!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3">#REF!</definedName>
    <definedName name="SHT050BR2" localSheetId="67">#REF!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3">#REF!</definedName>
    <definedName name="SHT050BR3" localSheetId="67">#REF!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3">#REF!</definedName>
    <definedName name="SHT050BR4" localSheetId="67">#REF!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3">#REF!</definedName>
    <definedName name="SHT050BR5" localSheetId="67">#REF!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3">#REF!</definedName>
    <definedName name="SHT050BR6" localSheetId="67">#REF!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3">#REF!</definedName>
    <definedName name="SHT050BR7" localSheetId="67">#REF!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3">#REF!</definedName>
    <definedName name="SHT050BR8" localSheetId="67">#REF!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3">#REF!</definedName>
    <definedName name="SHT050BR9" localSheetId="67">#REF!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3">#REF!</definedName>
    <definedName name="SHT050TR1" localSheetId="67">#REF!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3">#REF!</definedName>
    <definedName name="SHT050TR2" localSheetId="67">#REF!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3">#REF!</definedName>
    <definedName name="SHT050TR3" localSheetId="67">#REF!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3">#REF!</definedName>
    <definedName name="SHT050TR4" localSheetId="67">#REF!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3">#REF!</definedName>
    <definedName name="SHT050TR5" localSheetId="67">#REF!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3">#REF!</definedName>
    <definedName name="SHT050TR6" localSheetId="67">#REF!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3">#REF!</definedName>
    <definedName name="SHT050TR7" localSheetId="67">#REF!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3">#REF!</definedName>
    <definedName name="SHT050TR8" localSheetId="67">#REF!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3">#REF!</definedName>
    <definedName name="SHT050TR9" localSheetId="67">#REF!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3">#REF!</definedName>
    <definedName name="SHT051BR1" localSheetId="67">#REF!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3">#REF!</definedName>
    <definedName name="SHT051BR2" localSheetId="67">#REF!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3">#REF!</definedName>
    <definedName name="SHT051BR3" localSheetId="67">#REF!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3">#REF!</definedName>
    <definedName name="SHT051BR4" localSheetId="67">#REF!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3">#REF!</definedName>
    <definedName name="SHT051BR5" localSheetId="67">#REF!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3">#REF!</definedName>
    <definedName name="SHT051BR6" localSheetId="67">#REF!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3">#REF!</definedName>
    <definedName name="SHT051BR7" localSheetId="67">#REF!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3">#REF!</definedName>
    <definedName name="SHT051BR8" localSheetId="67">#REF!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3">#REF!</definedName>
    <definedName name="SHT051BR9" localSheetId="67">#REF!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3">#REF!</definedName>
    <definedName name="SHT051TR1" localSheetId="67">#REF!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3">#REF!</definedName>
    <definedName name="SHT051TR2" localSheetId="67">#REF!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3">#REF!</definedName>
    <definedName name="SHT051TR3" localSheetId="67">#REF!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3">#REF!</definedName>
    <definedName name="SHT051TR4" localSheetId="67">#REF!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3">#REF!</definedName>
    <definedName name="SHT051TR5" localSheetId="67">#REF!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3">#REF!</definedName>
    <definedName name="SHT051TR6" localSheetId="67">#REF!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3">#REF!</definedName>
    <definedName name="SHT051TR7" localSheetId="67">#REF!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3">#REF!</definedName>
    <definedName name="SHT051TR8" localSheetId="67">#REF!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3">#REF!</definedName>
    <definedName name="SHT051TR9" localSheetId="67">#REF!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3">#REF!</definedName>
    <definedName name="SHT060BR1" localSheetId="67">#REF!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3">#REF!</definedName>
    <definedName name="SHT060BR2" localSheetId="67">#REF!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3">#REF!</definedName>
    <definedName name="SHT060BR3" localSheetId="67">#REF!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3">#REF!</definedName>
    <definedName name="SHT060TR1" localSheetId="67">#REF!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3">#REF!</definedName>
    <definedName name="SHT060TR2" localSheetId="67">#REF!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3">#REF!</definedName>
    <definedName name="SHT060TR3" localSheetId="67">#REF!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3">#REF!</definedName>
    <definedName name="SHT070TR1" localSheetId="67">#REF!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3">#REF!</definedName>
    <definedName name="SHT070TR2" localSheetId="67">#REF!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3">#REF!</definedName>
    <definedName name="SHT070TR3" localSheetId="67">#REF!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3">#REF!</definedName>
    <definedName name="SHT070TR4" localSheetId="67">#REF!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3">#REF!</definedName>
    <definedName name="SHT070TR5" localSheetId="67">#REF!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3">#REF!</definedName>
    <definedName name="SHT070TR6" localSheetId="67">#REF!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3">#REF!</definedName>
    <definedName name="SHT070TR7" localSheetId="67">#REF!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3">#REF!</definedName>
    <definedName name="SHT070TR8" localSheetId="67">#REF!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3">#REF!</definedName>
    <definedName name="SHT070TR9" localSheetId="67">#REF!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3">#REF!</definedName>
    <definedName name="SHT071TR1" localSheetId="67">#REF!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3">#REF!</definedName>
    <definedName name="SHT071TR2" localSheetId="67">#REF!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3">#REF!</definedName>
    <definedName name="SHT071TR3" localSheetId="67">#REF!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3">#REF!</definedName>
    <definedName name="SHT071TR4" localSheetId="67">#REF!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3">#REF!</definedName>
    <definedName name="SHT071TR5" localSheetId="67">#REF!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3">#REF!</definedName>
    <definedName name="SHT071TR6" localSheetId="67">#REF!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3">#REF!</definedName>
    <definedName name="SHT071TR7" localSheetId="67">#REF!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3">#REF!</definedName>
    <definedName name="SHT071TR8" localSheetId="67">#REF!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3">#REF!</definedName>
    <definedName name="SHT071TR9" localSheetId="67">#REF!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3">#REF!</definedName>
    <definedName name="SHT080BR1" localSheetId="67">#REF!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3">#REF!</definedName>
    <definedName name="SHT080TR1" localSheetId="67">#REF!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3">#REF!</definedName>
    <definedName name="SHT151BR1" localSheetId="67">#REF!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3">#REF!</definedName>
    <definedName name="SHT151TR1" localSheetId="67">#REF!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56">#REF!</definedName>
    <definedName name="weight_rate" localSheetId="63">#REF!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3">#REF!</definedName>
    <definedName name="總體法規稽核結論" localSheetId="67">#REF!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3">#REF!</definedName>
    <definedName name="總體數學勾稽結論" localSheetId="67">#REF!</definedName>
    <definedName name="總體數學勾稽結論">#REF!</definedName>
  </definedNames>
  <calcPr calcId="191029"/>
</workbook>
</file>

<file path=xl/calcChain.xml><?xml version="1.0" encoding="utf-8"?>
<calcChain xmlns="http://schemas.openxmlformats.org/spreadsheetml/2006/main">
  <c r="F70" i="33" l="1"/>
  <c r="F69" i="33"/>
  <c r="F68" i="33"/>
  <c r="F65" i="33"/>
  <c r="F64" i="33" s="1"/>
  <c r="F63" i="33" s="1"/>
  <c r="F62" i="33" s="1"/>
  <c r="F61" i="33" s="1"/>
  <c r="F60" i="33" s="1"/>
  <c r="F59" i="33" s="1"/>
  <c r="F58" i="33" s="1"/>
  <c r="F57" i="33" s="1"/>
  <c r="F56" i="33" s="1"/>
  <c r="F55" i="33" s="1"/>
  <c r="F54" i="33" s="1"/>
  <c r="F53" i="33" s="1"/>
  <c r="F52" i="33" s="1"/>
  <c r="F51" i="33" s="1"/>
  <c r="F50" i="33" s="1"/>
  <c r="D84" i="30"/>
  <c r="D74" i="30"/>
  <c r="D22" i="30"/>
  <c r="A30" i="161"/>
  <c r="A31" i="161" s="1"/>
  <c r="A1" i="51" l="1"/>
  <c r="A1" i="145"/>
  <c r="A1" i="146"/>
  <c r="A1" i="160"/>
  <c r="A1" i="163"/>
  <c r="A1" i="43"/>
  <c r="A1" i="44"/>
  <c r="A1" i="54"/>
  <c r="A1" i="46"/>
  <c r="A1" i="47"/>
  <c r="A1" i="48"/>
  <c r="A1" i="49"/>
  <c r="A1" i="50"/>
  <c r="A1" i="52"/>
  <c r="A1" i="159"/>
  <c r="A1" i="125"/>
  <c r="A1" i="104"/>
  <c r="A1" i="109"/>
  <c r="A1" i="108"/>
  <c r="A1" i="164"/>
  <c r="A1" i="80"/>
  <c r="A1" i="110"/>
  <c r="A1" i="111"/>
  <c r="A1" i="57"/>
  <c r="A1" i="142"/>
  <c r="A1" i="161"/>
  <c r="A1" i="91"/>
  <c r="A1" i="112"/>
  <c r="A1" i="58"/>
  <c r="A1" i="59"/>
  <c r="A1" i="81"/>
  <c r="A1" i="113"/>
  <c r="A1" i="143"/>
  <c r="A1" i="150"/>
  <c r="A1" i="149"/>
  <c r="A1" i="61"/>
  <c r="A1" i="155"/>
  <c r="A1" i="73"/>
  <c r="A1" i="74"/>
  <c r="A1" i="75"/>
  <c r="A1" i="76"/>
  <c r="A1" i="77"/>
  <c r="A1" i="66"/>
  <c r="A1" i="67"/>
  <c r="A1" i="68"/>
  <c r="A1" i="69"/>
  <c r="A1" i="70"/>
  <c r="A1" i="122"/>
  <c r="A1" i="123"/>
  <c r="A1" i="124"/>
  <c r="A1" i="11"/>
  <c r="A1" i="12"/>
  <c r="A1" i="13"/>
  <c r="A1" i="106"/>
  <c r="A1" i="17"/>
  <c r="A1" i="18"/>
  <c r="A1" i="114"/>
  <c r="A1" i="115"/>
  <c r="A1" i="21"/>
  <c r="A1" i="22"/>
  <c r="A1" i="120"/>
  <c r="A1" i="121"/>
  <c r="A1" i="148"/>
  <c r="A1" i="29"/>
  <c r="A1" i="30"/>
  <c r="A1" i="31"/>
  <c r="A1" i="32"/>
  <c r="A1" i="33"/>
  <c r="A1" i="72"/>
  <c r="A1" i="34"/>
  <c r="A1" i="144"/>
  <c r="A1" i="156"/>
  <c r="A1" i="35"/>
  <c r="A1" i="152"/>
  <c r="A1" i="153"/>
  <c r="A1" i="162"/>
  <c r="A1" i="165"/>
  <c r="A1" i="166"/>
  <c r="A1" i="167"/>
  <c r="A1" i="36"/>
  <c r="A1" i="154"/>
  <c r="A1" i="37"/>
  <c r="G21" i="167" l="1"/>
  <c r="F21" i="167"/>
  <c r="D21" i="167"/>
  <c r="C21" i="167"/>
  <c r="H20" i="167"/>
  <c r="G20" i="167"/>
  <c r="F20" i="167"/>
  <c r="E20" i="167"/>
  <c r="D20" i="167"/>
  <c r="C20" i="167"/>
  <c r="H10" i="167"/>
  <c r="G10" i="167"/>
  <c r="F10" i="167"/>
  <c r="E10" i="167"/>
  <c r="D10" i="167"/>
  <c r="C10" i="167"/>
  <c r="H9" i="167"/>
  <c r="G9" i="167"/>
  <c r="F9" i="167"/>
  <c r="E9" i="167"/>
  <c r="D9" i="167"/>
  <c r="C9" i="167"/>
  <c r="G21" i="166"/>
  <c r="F21" i="166"/>
  <c r="D21" i="166"/>
  <c r="C21" i="166"/>
  <c r="H20" i="166"/>
  <c r="G20" i="166"/>
  <c r="F20" i="166"/>
  <c r="E20" i="166"/>
  <c r="D20" i="166"/>
  <c r="C20" i="166"/>
  <c r="G10" i="166"/>
  <c r="F10" i="166"/>
  <c r="D10" i="166"/>
  <c r="C10" i="166"/>
  <c r="H9" i="166"/>
  <c r="G9" i="166"/>
  <c r="F9" i="166"/>
  <c r="E9" i="166"/>
  <c r="D9" i="166"/>
  <c r="C9" i="166"/>
  <c r="C39" i="165"/>
  <c r="D26" i="162" s="1"/>
  <c r="C38" i="165"/>
  <c r="D25" i="162" s="1"/>
  <c r="C37" i="165"/>
  <c r="D24" i="162" s="1"/>
  <c r="C36" i="165"/>
  <c r="D23" i="162" s="1"/>
  <c r="C33" i="165"/>
  <c r="D21" i="162" s="1"/>
  <c r="C32" i="165"/>
  <c r="D20" i="162" s="1"/>
  <c r="C31" i="165"/>
  <c r="D19" i="162" s="1"/>
  <c r="C30" i="165"/>
  <c r="D18" i="162" s="1"/>
  <c r="D25" i="165"/>
  <c r="D36" i="166" s="1"/>
  <c r="C25" i="165"/>
  <c r="D31" i="167" s="1"/>
  <c r="M9" i="166" l="1"/>
  <c r="L21" i="167"/>
  <c r="M10" i="167"/>
  <c r="M20" i="167"/>
  <c r="M20" i="166"/>
  <c r="I9" i="166"/>
  <c r="C11" i="166"/>
  <c r="J21" i="166"/>
  <c r="D36" i="167"/>
  <c r="I36" i="167" s="1"/>
  <c r="I38" i="167" s="1"/>
  <c r="J9" i="167"/>
  <c r="G31" i="167"/>
  <c r="H31" i="167"/>
  <c r="F31" i="167"/>
  <c r="E31" i="167"/>
  <c r="I31" i="167"/>
  <c r="I36" i="166"/>
  <c r="I38" i="166" s="1"/>
  <c r="E36" i="166"/>
  <c r="D31" i="166"/>
  <c r="F36" i="167"/>
  <c r="F38" i="167" s="1"/>
  <c r="E36" i="167"/>
  <c r="K10" i="167"/>
  <c r="K21" i="167"/>
  <c r="I21" i="167"/>
  <c r="J10" i="167"/>
  <c r="J11" i="167" s="1"/>
  <c r="B23" i="162" s="1"/>
  <c r="L10" i="167"/>
  <c r="J21" i="167"/>
  <c r="M21" i="167"/>
  <c r="M24" i="167" s="1"/>
  <c r="I10" i="167"/>
  <c r="M22" i="167"/>
  <c r="C26" i="162" s="1"/>
  <c r="I20" i="167"/>
  <c r="I9" i="167"/>
  <c r="K9" i="167"/>
  <c r="J20" i="167"/>
  <c r="L9" i="167"/>
  <c r="K20" i="167"/>
  <c r="M9" i="167"/>
  <c r="M11" i="167" s="1"/>
  <c r="C11" i="167"/>
  <c r="L20" i="167"/>
  <c r="L24" i="167" s="1"/>
  <c r="M21" i="166"/>
  <c r="L20" i="166"/>
  <c r="I21" i="166"/>
  <c r="L9" i="166"/>
  <c r="K21" i="166"/>
  <c r="I20" i="166"/>
  <c r="L21" i="166"/>
  <c r="I10" i="166"/>
  <c r="J10" i="166"/>
  <c r="J20" i="166"/>
  <c r="K10" i="166"/>
  <c r="K20" i="166"/>
  <c r="L10" i="166"/>
  <c r="M10" i="166"/>
  <c r="M11" i="166" s="1"/>
  <c r="K9" i="166"/>
  <c r="J9" i="166"/>
  <c r="F36" i="166"/>
  <c r="F38" i="166" s="1"/>
  <c r="G36" i="166"/>
  <c r="G38" i="166" s="1"/>
  <c r="G36" i="167"/>
  <c r="G38" i="167" s="1"/>
  <c r="H36" i="166"/>
  <c r="H38" i="166" s="1"/>
  <c r="H36" i="167"/>
  <c r="H38" i="167" s="1"/>
  <c r="I11" i="166" l="1"/>
  <c r="M24" i="166"/>
  <c r="L22" i="167"/>
  <c r="C25" i="162" s="1"/>
  <c r="L24" i="166"/>
  <c r="L11" i="166"/>
  <c r="M22" i="166"/>
  <c r="C21" i="162" s="1"/>
  <c r="K22" i="167"/>
  <c r="C24" i="162" s="1"/>
  <c r="G31" i="166"/>
  <c r="I31" i="166"/>
  <c r="H31" i="166"/>
  <c r="B20" i="162" s="1"/>
  <c r="F31" i="166"/>
  <c r="E31" i="166"/>
  <c r="B26" i="162"/>
  <c r="B21" i="162"/>
  <c r="K11" i="167"/>
  <c r="B24" i="162" s="1"/>
  <c r="I11" i="167"/>
  <c r="L11" i="167"/>
  <c r="B25" i="162" s="1"/>
  <c r="J24" i="167"/>
  <c r="J22" i="167"/>
  <c r="C23" i="162" s="1"/>
  <c r="K24" i="167"/>
  <c r="J11" i="166"/>
  <c r="K11" i="166"/>
  <c r="B19" i="162" s="1"/>
  <c r="J24" i="166"/>
  <c r="J22" i="166"/>
  <c r="C18" i="162" s="1"/>
  <c r="L22" i="166"/>
  <c r="C20" i="162" s="1"/>
  <c r="K24" i="166"/>
  <c r="K22" i="166"/>
  <c r="C19" i="162" s="1"/>
  <c r="F1259" i="51"/>
  <c r="F1258" i="51"/>
  <c r="F1257" i="51"/>
  <c r="F1256" i="51"/>
  <c r="F1255" i="51"/>
  <c r="F1254" i="51"/>
  <c r="B18" i="162" l="1"/>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8" i="52"/>
  <c r="F827" i="52"/>
  <c r="F826" i="52"/>
  <c r="F825" i="52"/>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H2" i="159"/>
  <c r="K5" i="159"/>
  <c r="K6" i="159" l="1"/>
  <c r="H5" i="159"/>
  <c r="J5" i="159"/>
  <c r="I5" i="159"/>
  <c r="I6" i="159" l="1"/>
  <c r="H6" i="159"/>
  <c r="J6" i="159"/>
  <c r="G55" i="164"/>
  <c r="G54" i="164"/>
  <c r="G53" i="164"/>
  <c r="G52" i="164"/>
  <c r="D171" i="31" l="1"/>
  <c r="F171" i="31" s="1"/>
  <c r="D170" i="31"/>
  <c r="F170" i="31" s="1"/>
  <c r="D129" i="31"/>
  <c r="F129" i="31" s="1"/>
  <c r="D128" i="31"/>
  <c r="F128" i="31" s="1"/>
  <c r="D78" i="31"/>
  <c r="F78" i="31" s="1"/>
  <c r="D77" i="31"/>
  <c r="F77" i="31" s="1"/>
  <c r="D75" i="31"/>
  <c r="F75" i="31" s="1"/>
  <c r="D74" i="31"/>
  <c r="F74" i="31" s="1"/>
  <c r="D73" i="31"/>
  <c r="F73" i="31" s="1"/>
  <c r="D127" i="30"/>
  <c r="F127" i="30" s="1"/>
  <c r="D126" i="30"/>
  <c r="F126" i="30" s="1"/>
  <c r="D67" i="30"/>
  <c r="F67" i="30" s="1"/>
  <c r="D66" i="30"/>
  <c r="D65" i="30" s="1"/>
  <c r="L51" i="51"/>
  <c r="L48" i="51"/>
  <c r="L27" i="51"/>
  <c r="L24" i="51"/>
  <c r="F66" i="30" l="1"/>
  <c r="F65" i="30" s="1"/>
  <c r="D125" i="30"/>
  <c r="F169" i="31"/>
  <c r="D169" i="31"/>
  <c r="F127" i="31"/>
  <c r="D127" i="31"/>
  <c r="F76" i="31"/>
  <c r="D72" i="31"/>
  <c r="F72" i="31"/>
  <c r="D76" i="31"/>
  <c r="F125" i="30"/>
  <c r="E65" i="164"/>
  <c r="E48" i="164"/>
  <c r="G48" i="164" s="1"/>
  <c r="E47" i="164"/>
  <c r="G47" i="164" s="1"/>
  <c r="E46" i="164"/>
  <c r="G46" i="164" s="1"/>
  <c r="E45" i="164"/>
  <c r="G45" i="164" s="1"/>
  <c r="E44" i="164"/>
  <c r="G44" i="164" s="1"/>
  <c r="E33" i="164"/>
  <c r="G33" i="164" s="1"/>
  <c r="E34" i="164"/>
  <c r="G34" i="164" s="1"/>
  <c r="E26" i="164"/>
  <c r="G26" i="164" s="1"/>
  <c r="G36" i="164"/>
  <c r="G51" i="164"/>
  <c r="G50" i="164"/>
  <c r="G39" i="164"/>
  <c r="G38" i="164"/>
  <c r="G37" i="164"/>
  <c r="G35" i="164"/>
  <c r="G31" i="164"/>
  <c r="G30" i="164"/>
  <c r="G29" i="164"/>
  <c r="G28" i="164"/>
  <c r="G27" i="164"/>
  <c r="G24" i="164"/>
  <c r="G16" i="164"/>
  <c r="B12" i="164"/>
  <c r="B13" i="164" s="1"/>
  <c r="B14" i="164" s="1"/>
  <c r="B15" i="164" s="1"/>
  <c r="B16" i="164" s="1"/>
  <c r="G40" i="164" l="1"/>
  <c r="B17" i="164"/>
  <c r="B18" i="164" s="1"/>
  <c r="B19" i="164" s="1"/>
  <c r="B20" i="164" s="1"/>
  <c r="B21" i="164" s="1"/>
  <c r="B22" i="164" s="1"/>
  <c r="B23" i="164" s="1"/>
  <c r="B24" i="164" s="1"/>
  <c r="C139" i="54"/>
  <c r="C137" i="54" s="1"/>
  <c r="C138" i="54"/>
  <c r="C136" i="54"/>
  <c r="C135" i="54"/>
  <c r="C132" i="54"/>
  <c r="C131" i="54"/>
  <c r="C130" i="54"/>
  <c r="C129" i="54"/>
  <c r="C128" i="54"/>
  <c r="C126" i="54"/>
  <c r="C125" i="54"/>
  <c r="C124" i="54"/>
  <c r="C123" i="54"/>
  <c r="C119" i="54" s="1"/>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27" i="54"/>
  <c r="C109" i="54" l="1"/>
  <c r="B25" i="164"/>
  <c r="B26" i="164" s="1"/>
  <c r="B27" i="164" s="1"/>
  <c r="B28" i="164" s="1"/>
  <c r="B29" i="164" s="1"/>
  <c r="B30" i="164" s="1"/>
  <c r="B31" i="164" s="1"/>
  <c r="B32" i="164" s="1"/>
  <c r="C77" i="54"/>
  <c r="C76" i="54" s="1"/>
  <c r="C75" i="54" s="1"/>
  <c r="C134" i="54"/>
  <c r="C133" i="54"/>
  <c r="C118" i="54"/>
  <c r="W46" i="120"/>
  <c r="S38" i="120"/>
  <c r="R38" i="120"/>
  <c r="Q38" i="120"/>
  <c r="P38" i="120"/>
  <c r="O38" i="120"/>
  <c r="D32" i="164" l="1"/>
  <c r="B33" i="164"/>
  <c r="B34" i="164" s="1"/>
  <c r="B35" i="164" s="1"/>
  <c r="B36" i="164" s="1"/>
  <c r="B37" i="164" s="1"/>
  <c r="B38" i="164" s="1"/>
  <c r="B39" i="164" s="1"/>
  <c r="B40" i="164" s="1"/>
  <c r="C140" i="54"/>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1" i="164"/>
  <c r="B41" i="164"/>
  <c r="D49" i="164" s="1"/>
  <c r="D40"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2" i="164" l="1"/>
  <c r="E7" i="17"/>
  <c r="B108" i="54"/>
  <c r="F108" i="35"/>
  <c r="B43" i="164" l="1"/>
  <c r="B44" i="164" s="1"/>
  <c r="B45" i="164" s="1"/>
  <c r="B46" i="164" s="1"/>
  <c r="B47" i="164" s="1"/>
  <c r="B48" i="164" s="1"/>
  <c r="B49" i="164" s="1"/>
  <c r="B50" i="164" s="1"/>
  <c r="B51" i="164" s="1"/>
  <c r="B52" i="164" s="1"/>
  <c r="D149" i="31"/>
  <c r="F149" i="31" s="1"/>
  <c r="D106" i="31"/>
  <c r="F106" i="31" s="1"/>
  <c r="D97" i="30"/>
  <c r="F97" i="30" s="1"/>
  <c r="D35" i="30"/>
  <c r="F35" i="30" s="1"/>
  <c r="F4" i="52"/>
  <c r="F4" i="51"/>
  <c r="D137" i="35"/>
  <c r="D134" i="35"/>
  <c r="D119" i="35"/>
  <c r="D109" i="35"/>
  <c r="D127" i="35"/>
  <c r="D11" i="104"/>
  <c r="F18" i="162"/>
  <c r="D26" i="104"/>
  <c r="D28" i="104" s="1"/>
  <c r="E25" i="164" s="1"/>
  <c r="G25" i="164" s="1"/>
  <c r="D21" i="104"/>
  <c r="D20" i="104"/>
  <c r="D19" i="104"/>
  <c r="D18" i="104"/>
  <c r="D16" i="104"/>
  <c r="D15" i="104"/>
  <c r="D13" i="104"/>
  <c r="D12" i="104"/>
  <c r="F26" i="162"/>
  <c r="B10" i="162" s="1"/>
  <c r="D10" i="162" s="1"/>
  <c r="F25" i="162"/>
  <c r="F24" i="162"/>
  <c r="F23" i="162"/>
  <c r="F21" i="162"/>
  <c r="B9" i="162" s="1"/>
  <c r="D9" i="162" s="1"/>
  <c r="F20" i="162"/>
  <c r="F19" i="162"/>
  <c r="B6" i="104"/>
  <c r="E64" i="164" s="1"/>
  <c r="H14" i="29"/>
  <c r="D95" i="30"/>
  <c r="E37" i="160"/>
  <c r="D37" i="160"/>
  <c r="C37" i="160"/>
  <c r="E36" i="160"/>
  <c r="D36" i="160"/>
  <c r="C36" i="160"/>
  <c r="E34" i="160"/>
  <c r="H34" i="160" s="1"/>
  <c r="D34" i="160"/>
  <c r="G34" i="160" s="1"/>
  <c r="C34" i="160"/>
  <c r="F34" i="160" s="1"/>
  <c r="D11" i="31" s="1"/>
  <c r="E32" i="160"/>
  <c r="D32" i="160"/>
  <c r="C32" i="160"/>
  <c r="E31" i="160"/>
  <c r="D31" i="160"/>
  <c r="C31" i="160"/>
  <c r="E29" i="160"/>
  <c r="H29" i="160" s="1"/>
  <c r="D29" i="160"/>
  <c r="G29" i="160" s="1"/>
  <c r="C29" i="160"/>
  <c r="F29" i="160" s="1"/>
  <c r="D81" i="30" s="1"/>
  <c r="E27" i="160"/>
  <c r="D27" i="160"/>
  <c r="C27" i="160"/>
  <c r="E26" i="160"/>
  <c r="D26" i="160"/>
  <c r="C26" i="160"/>
  <c r="C25" i="160" s="1"/>
  <c r="E24" i="160"/>
  <c r="D24" i="160"/>
  <c r="G24" i="160" s="1"/>
  <c r="C24" i="160"/>
  <c r="F24" i="160" s="1"/>
  <c r="D19" i="3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F117" i="30" s="1"/>
  <c r="D112" i="30"/>
  <c r="D108" i="30"/>
  <c r="D94" i="30"/>
  <c r="F94" i="30" s="1"/>
  <c r="D93" i="30"/>
  <c r="D89" i="30"/>
  <c r="D87" i="30"/>
  <c r="D57" i="30"/>
  <c r="F57" i="30" s="1"/>
  <c r="D52" i="30"/>
  <c r="D48" i="30"/>
  <c r="D99" i="30"/>
  <c r="F99" i="30" s="1"/>
  <c r="D98" i="30"/>
  <c r="F98" i="30" s="1"/>
  <c r="D96" i="30"/>
  <c r="F96" i="30" s="1"/>
  <c r="F84" i="30"/>
  <c r="D77" i="30"/>
  <c r="F77" i="30" s="1"/>
  <c r="D76" i="30"/>
  <c r="F74" i="30"/>
  <c r="D45" i="30"/>
  <c r="F45" i="30" s="1"/>
  <c r="D37" i="30"/>
  <c r="F37" i="30" s="1"/>
  <c r="D36" i="30"/>
  <c r="F36" i="30" s="1"/>
  <c r="D34" i="30"/>
  <c r="F34" i="30" s="1"/>
  <c r="D33" i="30"/>
  <c r="D32" i="30"/>
  <c r="F32" i="30" s="1"/>
  <c r="D31" i="30"/>
  <c r="D27" i="30"/>
  <c r="D25" i="30"/>
  <c r="F22" i="30"/>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D162" i="31"/>
  <c r="F162" i="31" s="1"/>
  <c r="D140" i="31"/>
  <c r="D146" i="31"/>
  <c r="F146" i="31" s="1"/>
  <c r="D120" i="31"/>
  <c r="F120" i="31" s="1"/>
  <c r="D97" i="31"/>
  <c r="D103" i="31"/>
  <c r="F103" i="31" s="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7" i="113" s="1"/>
  <c r="A48"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9" i="58" s="1"/>
  <c r="A40" i="58" s="1"/>
  <c r="A41" i="58" s="1"/>
  <c r="A42" i="58" s="1"/>
  <c r="A43" i="58" s="1"/>
  <c r="A44" i="58" s="1"/>
  <c r="A45" i="58" s="1"/>
  <c r="A46"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65" i="111"/>
  <c r="L165" i="111" s="1"/>
  <c r="J157" i="111"/>
  <c r="L157" i="111" s="1"/>
  <c r="J153" i="111"/>
  <c r="L153" i="111" s="1"/>
  <c r="J148" i="111"/>
  <c r="J135" i="111"/>
  <c r="L135" i="111" s="1"/>
  <c r="J127" i="111"/>
  <c r="L127" i="111" s="1"/>
  <c r="J123" i="111"/>
  <c r="L123" i="111" s="1"/>
  <c r="J118" i="111"/>
  <c r="L118" i="111" s="1"/>
  <c r="J106" i="111"/>
  <c r="L106" i="111" s="1"/>
  <c r="J100" i="111"/>
  <c r="J109" i="111" s="1"/>
  <c r="L109" i="111" s="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28" i="111"/>
  <c r="H220" i="111"/>
  <c r="H210" i="111"/>
  <c r="H203" i="111" s="1"/>
  <c r="H194" i="111"/>
  <c r="H179" i="111"/>
  <c r="H165" i="111"/>
  <c r="H157" i="111"/>
  <c r="H153" i="111"/>
  <c r="H151" i="111" s="1"/>
  <c r="H148" i="111"/>
  <c r="H135" i="111"/>
  <c r="H127" i="111"/>
  <c r="H123" i="11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1" i="31" s="1"/>
  <c r="G201" i="111"/>
  <c r="G200" i="111"/>
  <c r="D114" i="30" s="1"/>
  <c r="F114" i="30" s="1"/>
  <c r="G199" i="111"/>
  <c r="D113" i="30" s="1"/>
  <c r="F113" i="30" s="1"/>
  <c r="G198" i="111"/>
  <c r="G197" i="111"/>
  <c r="D101" i="30" s="1"/>
  <c r="F101" i="30" s="1"/>
  <c r="G196" i="111"/>
  <c r="G195" i="111"/>
  <c r="D100" i="30" s="1"/>
  <c r="F100" i="30" s="1"/>
  <c r="G193" i="111"/>
  <c r="G192" i="111"/>
  <c r="G191" i="111"/>
  <c r="G190" i="111"/>
  <c r="G189" i="111"/>
  <c r="G188" i="111"/>
  <c r="G186" i="111"/>
  <c r="G185" i="111"/>
  <c r="D54" i="30" s="1"/>
  <c r="F54" i="30" s="1"/>
  <c r="G184" i="111"/>
  <c r="D53" i="30" s="1"/>
  <c r="F53" i="30" s="1"/>
  <c r="G183" i="111"/>
  <c r="G182" i="111"/>
  <c r="D39" i="30" s="1"/>
  <c r="F39" i="30" s="1"/>
  <c r="G181" i="111"/>
  <c r="G180" i="111"/>
  <c r="D38" i="30" s="1"/>
  <c r="F38" i="30" s="1"/>
  <c r="G178" i="111"/>
  <c r="G177" i="111"/>
  <c r="G176" i="111"/>
  <c r="G175" i="111"/>
  <c r="G174" i="111"/>
  <c r="G173" i="111"/>
  <c r="G170" i="111"/>
  <c r="G169" i="111"/>
  <c r="G168" i="111"/>
  <c r="G167" i="111"/>
  <c r="G166" i="111"/>
  <c r="G164" i="111"/>
  <c r="D161" i="31" s="1"/>
  <c r="F161" i="31" s="1"/>
  <c r="G163" i="111"/>
  <c r="D160" i="31" s="1"/>
  <c r="F160" i="31" s="1"/>
  <c r="G162" i="111"/>
  <c r="G161" i="111"/>
  <c r="D158" i="31" s="1"/>
  <c r="F158" i="31" s="1"/>
  <c r="G160" i="111"/>
  <c r="G159" i="111"/>
  <c r="D154" i="31" s="1"/>
  <c r="F154" i="31" s="1"/>
  <c r="G158" i="111"/>
  <c r="D153" i="31" s="1"/>
  <c r="F153" i="31" s="1"/>
  <c r="G156" i="111"/>
  <c r="G155" i="111"/>
  <c r="G154" i="111"/>
  <c r="G152" i="111"/>
  <c r="G150" i="111"/>
  <c r="D138" i="31" s="1"/>
  <c r="F138" i="31" s="1"/>
  <c r="G149" i="111"/>
  <c r="G147" i="111"/>
  <c r="G146" i="111"/>
  <c r="G145" i="111"/>
  <c r="G144" i="111"/>
  <c r="G142" i="111"/>
  <c r="G140" i="111"/>
  <c r="G139" i="111"/>
  <c r="G138" i="111"/>
  <c r="D109" i="31" s="1"/>
  <c r="F109" i="31" s="1"/>
  <c r="G137" i="111"/>
  <c r="G136" i="111"/>
  <c r="G134" i="111"/>
  <c r="D119" i="31" s="1"/>
  <c r="F119" i="31" s="1"/>
  <c r="G133" i="111"/>
  <c r="D118" i="31" s="1"/>
  <c r="F118" i="31" s="1"/>
  <c r="G132" i="111"/>
  <c r="G131" i="111"/>
  <c r="D116" i="31" s="1"/>
  <c r="F116" i="31" s="1"/>
  <c r="G130" i="111"/>
  <c r="G129" i="111"/>
  <c r="D112" i="31" s="1"/>
  <c r="F112" i="31" s="1"/>
  <c r="G128" i="111"/>
  <c r="D111" i="31" s="1"/>
  <c r="F111" i="31" s="1"/>
  <c r="G126" i="111"/>
  <c r="G125" i="111"/>
  <c r="G124" i="111"/>
  <c r="G122" i="111"/>
  <c r="G120" i="111"/>
  <c r="D95" i="31" s="1"/>
  <c r="F95" i="31" s="1"/>
  <c r="G119" i="111"/>
  <c r="G117" i="111"/>
  <c r="G116" i="111"/>
  <c r="G115" i="111"/>
  <c r="G114" i="111"/>
  <c r="G112" i="111"/>
  <c r="D88" i="31" s="1"/>
  <c r="F88" i="31" s="1"/>
  <c r="G108" i="111"/>
  <c r="G107" i="111"/>
  <c r="G105" i="11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4" i="31" s="1"/>
  <c r="F44" i="31" s="1"/>
  <c r="G61" i="111"/>
  <c r="D43" i="31" s="1"/>
  <c r="G60" i="111"/>
  <c r="G59" i="111"/>
  <c r="G58" i="111"/>
  <c r="D41"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7" i="31" s="1"/>
  <c r="G22" i="111"/>
  <c r="G21" i="111"/>
  <c r="G20" i="111"/>
  <c r="G19" i="111"/>
  <c r="D25" i="31" s="1"/>
  <c r="F25" i="31" s="1"/>
  <c r="G18" i="111"/>
  <c r="D24" i="31" s="1"/>
  <c r="F24" i="31" s="1"/>
  <c r="G17" i="111"/>
  <c r="D23" i="31" s="1"/>
  <c r="F23" i="31" s="1"/>
  <c r="G16" i="111"/>
  <c r="D22" i="31" s="1"/>
  <c r="F22" i="31" s="1"/>
  <c r="G15" i="111"/>
  <c r="G12" i="111"/>
  <c r="D9" i="31" s="1"/>
  <c r="F9" i="31" s="1"/>
  <c r="G10" i="111"/>
  <c r="D79" i="30" s="1"/>
  <c r="G9" i="111"/>
  <c r="G7" i="111"/>
  <c r="F268" i="111"/>
  <c r="F251" i="111"/>
  <c r="F247" i="111"/>
  <c r="F243" i="111"/>
  <c r="F238" i="111"/>
  <c r="F228" i="111"/>
  <c r="F220" i="11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5" i="111"/>
  <c r="D56" i="11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0" i="32"/>
  <c r="F119" i="32"/>
  <c r="F118" i="32"/>
  <c r="F117" i="32"/>
  <c r="F116" i="32"/>
  <c r="F115" i="32"/>
  <c r="F114" i="32"/>
  <c r="F113" i="32"/>
  <c r="F112" i="32"/>
  <c r="F111" i="32"/>
  <c r="F110" i="32"/>
  <c r="F109" i="32"/>
  <c r="F108" i="32"/>
  <c r="F107" i="32"/>
  <c r="F106" i="32"/>
  <c r="F105" i="32"/>
  <c r="F104" i="32"/>
  <c r="F103" i="32"/>
  <c r="F102" i="32"/>
  <c r="E14" i="125"/>
  <c r="E13" i="125"/>
  <c r="E12" i="125"/>
  <c r="E11" i="125"/>
  <c r="E10" i="125"/>
  <c r="E9" i="125"/>
  <c r="F115" i="31" s="1"/>
  <c r="E8" i="125"/>
  <c r="F61" i="31" s="1"/>
  <c r="E7" i="125"/>
  <c r="F58" i="31" s="1"/>
  <c r="E6" i="125"/>
  <c r="F54" i="31" s="1"/>
  <c r="F53" i="125"/>
  <c r="O72" i="110"/>
  <c r="Q40" i="110"/>
  <c r="R40" i="110"/>
  <c r="E56" i="110"/>
  <c r="L56" i="110" s="1"/>
  <c r="F56" i="110"/>
  <c r="D150" i="31"/>
  <c r="F150" i="31" s="1"/>
  <c r="D151" i="31"/>
  <c r="F151" i="31" s="1"/>
  <c r="D148" i="31"/>
  <c r="D147" i="31"/>
  <c r="D145" i="31"/>
  <c r="D107" i="31"/>
  <c r="F107" i="31" s="1"/>
  <c r="D108" i="31"/>
  <c r="F108" i="31" s="1"/>
  <c r="D105" i="31"/>
  <c r="F105" i="31" s="1"/>
  <c r="D104" i="31"/>
  <c r="D102"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3" i="31"/>
  <c r="D100" i="31"/>
  <c r="D33" i="31"/>
  <c r="F33" i="31" s="1"/>
  <c r="G6" i="59"/>
  <c r="G55" i="59"/>
  <c r="G53"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F45" i="57" s="1"/>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F87" i="110" s="1"/>
  <c r="P86" i="110"/>
  <c r="O86" i="110"/>
  <c r="Q86" i="110" s="1"/>
  <c r="R86" i="110" s="1"/>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O66" i="110"/>
  <c r="F67" i="110"/>
  <c r="E67" i="110"/>
  <c r="F66" i="110"/>
  <c r="E66" i="110"/>
  <c r="H66" i="110" s="1"/>
  <c r="F65" i="110"/>
  <c r="E65" i="110"/>
  <c r="F64" i="110"/>
  <c r="E64" i="110"/>
  <c r="H64" i="110" s="1"/>
  <c r="G63" i="110"/>
  <c r="D63" i="110"/>
  <c r="E63" i="110" s="1"/>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s="1"/>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s="1"/>
  <c r="F20" i="110"/>
  <c r="E20" i="110"/>
  <c r="H20" i="110" s="1"/>
  <c r="Q19" i="110"/>
  <c r="R19" i="110" s="1"/>
  <c r="F19" i="110"/>
  <c r="E19" i="110"/>
  <c r="Q18" i="110"/>
  <c r="R18" i="110" s="1"/>
  <c r="F18" i="110"/>
  <c r="E18" i="110"/>
  <c r="L18" i="110" s="1"/>
  <c r="M18" i="110" s="1"/>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42" i="58"/>
  <c r="H42" i="58"/>
  <c r="I35" i="58"/>
  <c r="H35" i="58"/>
  <c r="H22" i="58"/>
  <c r="I18" i="58"/>
  <c r="I17" i="58" s="1"/>
  <c r="H18" i="58"/>
  <c r="H12" i="58"/>
  <c r="I8" i="58"/>
  <c r="I7" i="58" s="1"/>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D21" i="66" s="1"/>
  <c r="B45" i="66" s="1"/>
  <c r="C29" i="156"/>
  <c r="C28" i="156"/>
  <c r="C27" i="156"/>
  <c r="C26" i="156"/>
  <c r="C13" i="156"/>
  <c r="E12" i="156"/>
  <c r="E11" i="156"/>
  <c r="E10" i="156"/>
  <c r="E9" i="156"/>
  <c r="E8" i="156"/>
  <c r="E7" i="156"/>
  <c r="E6" i="156"/>
  <c r="D157" i="111"/>
  <c r="D165" i="111"/>
  <c r="AE16" i="142"/>
  <c r="G9" i="145" s="1"/>
  <c r="AD16" i="142"/>
  <c r="E9" i="145" s="1"/>
  <c r="X16" i="142"/>
  <c r="Y16" i="142"/>
  <c r="F9" i="145" s="1"/>
  <c r="W16" i="142"/>
  <c r="D168" i="31"/>
  <c r="F168" i="31" s="1"/>
  <c r="D126" i="31"/>
  <c r="F126" i="31" s="1"/>
  <c r="K21" i="154"/>
  <c r="H21" i="154"/>
  <c r="K20" i="154"/>
  <c r="L20" i="154" s="1"/>
  <c r="H20" i="154"/>
  <c r="K19" i="154"/>
  <c r="H19" i="154"/>
  <c r="K18" i="154"/>
  <c r="H18" i="154"/>
  <c r="K17" i="154"/>
  <c r="H17" i="154"/>
  <c r="K16" i="154"/>
  <c r="L16" i="154" s="1"/>
  <c r="H16" i="154"/>
  <c r="K15" i="154"/>
  <c r="H15" i="154"/>
  <c r="I14" i="154"/>
  <c r="D14" i="154"/>
  <c r="K13" i="154"/>
  <c r="H13" i="154"/>
  <c r="K12" i="154"/>
  <c r="H12" i="154"/>
  <c r="K11" i="154"/>
  <c r="H11" i="154"/>
  <c r="H10" i="154"/>
  <c r="K8" i="154"/>
  <c r="H8" i="154"/>
  <c r="H7" i="154"/>
  <c r="I6" i="154"/>
  <c r="D6" i="154"/>
  <c r="H23" i="153"/>
  <c r="C62" i="152" s="1"/>
  <c r="E62" i="152" s="1"/>
  <c r="F126" i="35" s="1"/>
  <c r="H22" i="153"/>
  <c r="C61" i="152" s="1"/>
  <c r="H21" i="153"/>
  <c r="C60" i="152" s="1"/>
  <c r="E60" i="152" s="1"/>
  <c r="G20" i="153"/>
  <c r="F20" i="153"/>
  <c r="H19" i="153"/>
  <c r="E19" i="153"/>
  <c r="H18" i="153"/>
  <c r="E18" i="153"/>
  <c r="G17" i="153"/>
  <c r="F17" i="153"/>
  <c r="D17" i="153"/>
  <c r="C17" i="153"/>
  <c r="H16" i="153"/>
  <c r="E16" i="153"/>
  <c r="H15" i="153"/>
  <c r="E15" i="153"/>
  <c r="G14" i="153"/>
  <c r="F14" i="153"/>
  <c r="D14" i="153"/>
  <c r="C14" i="153"/>
  <c r="H12" i="153"/>
  <c r="E12" i="153"/>
  <c r="I12" i="153" s="1"/>
  <c r="C26" i="152" s="1"/>
  <c r="H11" i="153"/>
  <c r="E11" i="153"/>
  <c r="I11" i="153" s="1"/>
  <c r="C20" i="152" s="1"/>
  <c r="C22" i="152" s="1"/>
  <c r="E22" i="152" s="1"/>
  <c r="G10" i="153"/>
  <c r="F10" i="153"/>
  <c r="D10" i="153"/>
  <c r="D6" i="153" s="1"/>
  <c r="C10" i="153"/>
  <c r="H9" i="153"/>
  <c r="H7" i="153" s="1"/>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L7" i="106" s="1"/>
  <c r="G7" i="106"/>
  <c r="E7" i="106"/>
  <c r="D7" i="106"/>
  <c r="C7" i="106"/>
  <c r="F7" i="106" s="1"/>
  <c r="I6" i="12"/>
  <c r="H6" i="12"/>
  <c r="G6" i="12"/>
  <c r="J6" i="12" s="1"/>
  <c r="E6" i="12"/>
  <c r="D6" i="12"/>
  <c r="C6" i="12"/>
  <c r="F6" i="12" s="1"/>
  <c r="D14" i="125"/>
  <c r="D13" i="125"/>
  <c r="D104" i="30" s="1"/>
  <c r="D12" i="125"/>
  <c r="D11" i="125"/>
  <c r="D10" i="125"/>
  <c r="D157" i="31" s="1"/>
  <c r="D9" i="125"/>
  <c r="D115" i="31" s="1"/>
  <c r="D8" i="125"/>
  <c r="D61" i="31" s="1"/>
  <c r="D7" i="125"/>
  <c r="D58" i="31" s="1"/>
  <c r="D6" i="125"/>
  <c r="D54" i="31" s="1"/>
  <c r="H8" i="146"/>
  <c r="E5" i="36" s="1"/>
  <c r="F5" i="36" s="1"/>
  <c r="U6" i="149"/>
  <c r="T6"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59" i="31"/>
  <c r="D117" i="31"/>
  <c r="D46" i="31"/>
  <c r="D42" i="31"/>
  <c r="D40" i="31"/>
  <c r="D32" i="31"/>
  <c r="D31" i="31"/>
  <c r="D28" i="31"/>
  <c r="AA17" i="143"/>
  <c r="G11" i="145" s="1"/>
  <c r="Z17" i="143"/>
  <c r="E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7" i="31"/>
  <c r="I16" i="50"/>
  <c r="J16" i="50"/>
  <c r="K16" i="50"/>
  <c r="F6" i="49"/>
  <c r="F7" i="49"/>
  <c r="F8" i="49"/>
  <c r="F9" i="49"/>
  <c r="F10" i="49"/>
  <c r="F11" i="49"/>
  <c r="F12" i="49"/>
  <c r="F13" i="49"/>
  <c r="F14" i="49"/>
  <c r="F15" i="49"/>
  <c r="F16" i="49"/>
  <c r="F17" i="49"/>
  <c r="F18" i="49"/>
  <c r="F19" i="49"/>
  <c r="F20" i="49"/>
  <c r="F21" i="49"/>
  <c r="F22" i="49"/>
  <c r="F23" i="49"/>
  <c r="D24" i="49"/>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C6" i="43" s="1"/>
  <c r="F16" i="47"/>
  <c r="C7" i="43" s="1"/>
  <c r="F21" i="47"/>
  <c r="C8" i="43"/>
  <c r="F8" i="43" s="1"/>
  <c r="F25" i="47"/>
  <c r="C9" i="43" s="1"/>
  <c r="F9" i="43" s="1"/>
  <c r="F29" i="47"/>
  <c r="F34" i="47"/>
  <c r="F38" i="47"/>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s="1"/>
  <c r="E5" i="43"/>
  <c r="E6" i="43"/>
  <c r="E7" i="43"/>
  <c r="E11" i="43"/>
  <c r="E12" i="43"/>
  <c r="E13" i="43"/>
  <c r="E14" i="43"/>
  <c r="E15" i="43"/>
  <c r="E16" i="43"/>
  <c r="E20" i="43"/>
  <c r="E21" i="43"/>
  <c r="E22" i="43"/>
  <c r="E26" i="43"/>
  <c r="E27" i="43"/>
  <c r="E28" i="43"/>
  <c r="E29" i="43"/>
  <c r="E30" i="43"/>
  <c r="E31" i="43"/>
  <c r="F19" i="125"/>
  <c r="F20" i="125"/>
  <c r="F21" i="125"/>
  <c r="F22" i="125"/>
  <c r="F23" i="125"/>
  <c r="F24" i="125"/>
  <c r="F25" i="125"/>
  <c r="F26" i="125"/>
  <c r="I26" i="125" s="1"/>
  <c r="J26" i="125" s="1"/>
  <c r="F27" i="125"/>
  <c r="F28" i="125"/>
  <c r="I28" i="125" s="1"/>
  <c r="J28" i="125" s="1"/>
  <c r="F29" i="125"/>
  <c r="F30" i="125"/>
  <c r="F31" i="125"/>
  <c r="F32" i="125"/>
  <c r="F33" i="125"/>
  <c r="F34" i="125"/>
  <c r="F35" i="125"/>
  <c r="F36" i="125"/>
  <c r="F37" i="125"/>
  <c r="I37" i="125" s="1"/>
  <c r="J37" i="125" s="1"/>
  <c r="F38" i="125"/>
  <c r="I38" i="125" s="1"/>
  <c r="J38" i="125" s="1"/>
  <c r="F39" i="125"/>
  <c r="F40" i="125"/>
  <c r="F41" i="125"/>
  <c r="F42" i="125"/>
  <c r="F43" i="125"/>
  <c r="F44" i="125"/>
  <c r="F45" i="125"/>
  <c r="F46" i="125"/>
  <c r="F47" i="125"/>
  <c r="F48" i="125"/>
  <c r="F49" i="125"/>
  <c r="F50" i="125"/>
  <c r="F51" i="125"/>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D4" i="37"/>
  <c r="D10" i="37"/>
  <c r="C4" i="36"/>
  <c r="C15" i="36" s="1"/>
  <c r="C128" i="35"/>
  <c r="C129" i="35"/>
  <c r="C130" i="35"/>
  <c r="B130" i="54" s="1"/>
  <c r="C131" i="35"/>
  <c r="C132" i="35"/>
  <c r="B132" i="54" s="1"/>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2" i="31" s="1"/>
  <c r="G27" i="72"/>
  <c r="D122" i="31" s="1"/>
  <c r="H27" i="72"/>
  <c r="D164"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3"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3"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2" i="31" s="1"/>
  <c r="E71" i="33"/>
  <c r="D135"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4" i="31" s="1"/>
  <c r="E93" i="33"/>
  <c r="D137"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5" i="32"/>
  <c r="F86" i="32"/>
  <c r="F87" i="32"/>
  <c r="F88" i="32"/>
  <c r="F89" i="32"/>
  <c r="F90" i="32"/>
  <c r="F91" i="32"/>
  <c r="F92" i="32"/>
  <c r="F93" i="32"/>
  <c r="F94" i="32"/>
  <c r="F95" i="32"/>
  <c r="F96" i="32"/>
  <c r="F97" i="32"/>
  <c r="F98" i="32"/>
  <c r="F99" i="32"/>
  <c r="F100" i="32"/>
  <c r="D101" i="32"/>
  <c r="D37" i="31" s="1"/>
  <c r="D15" i="31"/>
  <c r="F15" i="31" s="1"/>
  <c r="D19" i="31"/>
  <c r="F19" i="31"/>
  <c r="D20" i="31"/>
  <c r="F20" i="31" s="1"/>
  <c r="D173" i="31"/>
  <c r="D175" i="31"/>
  <c r="F176" i="31"/>
  <c r="F175" i="31" s="1"/>
  <c r="C14" i="121"/>
  <c r="D14" i="121"/>
  <c r="H14" i="121"/>
  <c r="I14" i="121"/>
  <c r="J14" i="121"/>
  <c r="K14" i="121"/>
  <c r="L14" i="121"/>
  <c r="M14" i="121"/>
  <c r="N14" i="121"/>
  <c r="O14" i="121"/>
  <c r="P14" i="121"/>
  <c r="P20" i="121" s="1"/>
  <c r="Q14" i="121"/>
  <c r="R14" i="121"/>
  <c r="S14" i="121"/>
  <c r="T14" i="121"/>
  <c r="U14" i="121"/>
  <c r="V14" i="121"/>
  <c r="W14" i="121"/>
  <c r="W20" i="121" s="1"/>
  <c r="Y14" i="121"/>
  <c r="Z14" i="121"/>
  <c r="AA14" i="121"/>
  <c r="AB14" i="121"/>
  <c r="AB20" i="121" s="1"/>
  <c r="AC14" i="121"/>
  <c r="AC20" i="121" s="1"/>
  <c r="AD14" i="121"/>
  <c r="AE14" i="121"/>
  <c r="AF14" i="121"/>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F29" i="120" s="1"/>
  <c r="AA29" i="120"/>
  <c r="AB29" i="120"/>
  <c r="G30" i="120"/>
  <c r="AA30" i="120"/>
  <c r="AE30" i="120" s="1"/>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K47" i="120" s="1"/>
  <c r="M38" i="120"/>
  <c r="M47" i="120" s="1"/>
  <c r="T38" i="120"/>
  <c r="T47" i="120" s="1"/>
  <c r="U38" i="120"/>
  <c r="U47" i="120" s="1"/>
  <c r="V38" i="120"/>
  <c r="Y38" i="120"/>
  <c r="Y47" i="120" s="1"/>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E9" i="22"/>
  <c r="H9" i="22"/>
  <c r="K9" i="22"/>
  <c r="C50" i="35"/>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F22" i="22" s="1"/>
  <c r="G16" i="22"/>
  <c r="I16" i="22"/>
  <c r="J16" i="22"/>
  <c r="L16" i="22"/>
  <c r="M16" i="22"/>
  <c r="O16" i="22"/>
  <c r="P16" i="22"/>
  <c r="R16" i="22"/>
  <c r="S16" i="22"/>
  <c r="U16" i="22"/>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C49" i="21" s="1"/>
  <c r="D40" i="21"/>
  <c r="D49" i="21" s="1"/>
  <c r="F40" i="21"/>
  <c r="F49" i="21" s="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C15" i="115"/>
  <c r="D15" i="115"/>
  <c r="F15" i="115"/>
  <c r="G15" i="115"/>
  <c r="H15" i="115"/>
  <c r="I15" i="115"/>
  <c r="K15" i="115"/>
  <c r="L15" i="115"/>
  <c r="M15" i="115"/>
  <c r="N15" i="115"/>
  <c r="O15" i="115"/>
  <c r="O21" i="115" s="1"/>
  <c r="P15" i="115"/>
  <c r="Q15" i="115"/>
  <c r="R15" i="115"/>
  <c r="S15" i="115"/>
  <c r="T15" i="115"/>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E8" i="18"/>
  <c r="H8" i="18"/>
  <c r="K8" i="18"/>
  <c r="N8" i="18"/>
  <c r="E9" i="18"/>
  <c r="H9" i="18"/>
  <c r="K9" i="18"/>
  <c r="N9" i="18"/>
  <c r="E10" i="18"/>
  <c r="H10" i="18"/>
  <c r="K10" i="18"/>
  <c r="N10" i="18"/>
  <c r="E11" i="18"/>
  <c r="H11" i="18"/>
  <c r="K11" i="18"/>
  <c r="N11" i="18"/>
  <c r="E12" i="18"/>
  <c r="H12" i="18"/>
  <c r="K12" i="18"/>
  <c r="N12" i="18"/>
  <c r="C15" i="18"/>
  <c r="C21" i="18" s="1"/>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D21" i="106" s="1"/>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F7" i="12"/>
  <c r="J7" i="12"/>
  <c r="F8" i="12"/>
  <c r="J8" i="12"/>
  <c r="F9" i="12"/>
  <c r="J9" i="12"/>
  <c r="F10" i="12"/>
  <c r="J10" i="12"/>
  <c r="F11" i="12"/>
  <c r="J11" i="12"/>
  <c r="C14" i="12"/>
  <c r="F14" i="12" s="1"/>
  <c r="D14" i="12"/>
  <c r="E14" i="12"/>
  <c r="G14" i="12"/>
  <c r="H14" i="12"/>
  <c r="I14" i="12"/>
  <c r="I20" i="12" s="1"/>
  <c r="F15" i="12"/>
  <c r="J15" i="12"/>
  <c r="F16" i="12"/>
  <c r="J16" i="12"/>
  <c r="F17" i="12"/>
  <c r="J17" i="12"/>
  <c r="F18" i="12"/>
  <c r="J18" i="12"/>
  <c r="F19" i="12"/>
  <c r="J19" i="12"/>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J30" i="70"/>
  <c r="K30" i="70"/>
  <c r="L30" i="70"/>
  <c r="M30" i="70"/>
  <c r="N30" i="70"/>
  <c r="O30" i="70"/>
  <c r="P30" i="70"/>
  <c r="Q30" i="70"/>
  <c r="R30"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s="1"/>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c r="R221" i="77"/>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c r="O100" i="76"/>
  <c r="H36" i="66" s="1"/>
  <c r="P100" i="76"/>
  <c r="I36" i="66" s="1"/>
  <c r="R100" i="76"/>
  <c r="T100" i="76"/>
  <c r="U100" i="76"/>
  <c r="V100" i="76"/>
  <c r="W100" i="76"/>
  <c r="M107" i="76"/>
  <c r="N107" i="76"/>
  <c r="J36" i="66" s="1"/>
  <c r="O107" i="76"/>
  <c r="K36" i="66" s="1"/>
  <c r="P107" i="76"/>
  <c r="L36" i="66" s="1"/>
  <c r="R107" i="76"/>
  <c r="T107" i="76"/>
  <c r="U107" i="76"/>
  <c r="V107" i="76"/>
  <c r="W107" i="76"/>
  <c r="M115" i="76"/>
  <c r="N115" i="76"/>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c r="R122" i="73"/>
  <c r="N129" i="73"/>
  <c r="J33" i="66" s="1"/>
  <c r="O129" i="73"/>
  <c r="K33" i="66" s="1"/>
  <c r="P129" i="73"/>
  <c r="L33" i="66" s="1"/>
  <c r="R129" i="73"/>
  <c r="O137" i="73"/>
  <c r="H6" i="67" s="1"/>
  <c r="P137" i="73"/>
  <c r="I6" i="67" s="1"/>
  <c r="R137" i="73"/>
  <c r="O144" i="73"/>
  <c r="K6" i="67" s="1"/>
  <c r="P144" i="73"/>
  <c r="L6" i="67"/>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L13" i="68" s="1"/>
  <c r="R222" i="73"/>
  <c r="N229" i="73"/>
  <c r="D14" i="68" s="1"/>
  <c r="O229" i="73"/>
  <c r="E14" i="68" s="1"/>
  <c r="P229" i="73"/>
  <c r="F14" i="68" s="1"/>
  <c r="R229" i="73"/>
  <c r="N236" i="73"/>
  <c r="G14" i="68" s="1"/>
  <c r="O236" i="73"/>
  <c r="H14" i="68" s="1"/>
  <c r="P236" i="73"/>
  <c r="I14" i="68" s="1"/>
  <c r="R236" i="73"/>
  <c r="J14" i="68"/>
  <c r="O243" i="73"/>
  <c r="K14" i="68" s="1"/>
  <c r="P243" i="73"/>
  <c r="L14" i="68" s="1"/>
  <c r="R243" i="73"/>
  <c r="J6" i="61"/>
  <c r="D62" i="31" s="1"/>
  <c r="F62" i="31" s="1"/>
  <c r="P6" i="61"/>
  <c r="Q6" i="61"/>
  <c r="Q25" i="61" s="1"/>
  <c r="R6" i="61"/>
  <c r="S6" i="61"/>
  <c r="J7" i="61"/>
  <c r="P7" i="61"/>
  <c r="Q7" i="61"/>
  <c r="J8" i="61"/>
  <c r="T8" i="61"/>
  <c r="J9" i="61"/>
  <c r="T9" i="61"/>
  <c r="V9" i="61" s="1"/>
  <c r="J10" i="61"/>
  <c r="T10" i="61"/>
  <c r="V10" i="61" s="1"/>
  <c r="F11" i="61"/>
  <c r="P11" i="61" s="1"/>
  <c r="G11" i="61"/>
  <c r="G26" i="61" s="1"/>
  <c r="V13" i="61"/>
  <c r="V14" i="61"/>
  <c r="V15" i="61"/>
  <c r="V16" i="61"/>
  <c r="V17" i="61"/>
  <c r="V18" i="61"/>
  <c r="V19" i="61"/>
  <c r="T20" i="61"/>
  <c r="T21" i="61"/>
  <c r="V21" i="61" s="1"/>
  <c r="T22" i="61"/>
  <c r="V22" i="61" s="1"/>
  <c r="T23" i="61"/>
  <c r="T24" i="61"/>
  <c r="V24" i="61" s="1"/>
  <c r="F25" i="6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D95" i="111"/>
  <c r="D100" i="111"/>
  <c r="D118" i="111"/>
  <c r="D113" i="111" s="1"/>
  <c r="D123" i="111"/>
  <c r="D127" i="111"/>
  <c r="D135" i="111"/>
  <c r="D131" i="31"/>
  <c r="F131" i="31" s="1"/>
  <c r="D148" i="111"/>
  <c r="G148" i="111" s="1"/>
  <c r="D153" i="111"/>
  <c r="D151" i="111" s="1"/>
  <c r="D210" i="111"/>
  <c r="K210" i="111" s="1"/>
  <c r="D238" i="111"/>
  <c r="D243" i="111"/>
  <c r="G243" i="111" s="1"/>
  <c r="D247" i="111"/>
  <c r="K247" i="111" s="1"/>
  <c r="D251" i="111"/>
  <c r="D80" i="31"/>
  <c r="F80"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K7" i="17"/>
  <c r="D16" i="31"/>
  <c r="C16" i="43"/>
  <c r="G7" i="68"/>
  <c r="G9" i="68" s="1"/>
  <c r="H7" i="17"/>
  <c r="C135" i="35" s="1"/>
  <c r="F135" i="35" s="1"/>
  <c r="F17" i="47"/>
  <c r="B112" i="54"/>
  <c r="B51" i="54"/>
  <c r="C12" i="43"/>
  <c r="E8" i="36"/>
  <c r="F8" i="36" s="1"/>
  <c r="C29" i="43"/>
  <c r="H82" i="110"/>
  <c r="H44" i="110"/>
  <c r="H60" i="110"/>
  <c r="H89" i="110"/>
  <c r="H92" i="110"/>
  <c r="H93" i="110"/>
  <c r="M34" i="110"/>
  <c r="L36" i="110"/>
  <c r="H28" i="110"/>
  <c r="L21" i="110"/>
  <c r="M21" i="110" s="1"/>
  <c r="H34" i="110"/>
  <c r="M16" i="110"/>
  <c r="M28" i="110"/>
  <c r="D203" i="111"/>
  <c r="K203" i="111" s="1"/>
  <c r="D187" i="111"/>
  <c r="G50" i="59"/>
  <c r="I11" i="145"/>
  <c r="H27" i="111"/>
  <c r="H13" i="111" s="1"/>
  <c r="H121" i="111"/>
  <c r="H109" i="111"/>
  <c r="E198" i="111"/>
  <c r="E170" i="111"/>
  <c r="K92" i="111"/>
  <c r="K118" i="111"/>
  <c r="AD42" i="120"/>
  <c r="H10" i="153"/>
  <c r="L52" i="110"/>
  <c r="M52" i="110" s="1"/>
  <c r="G165" i="111"/>
  <c r="D167" i="31" s="1"/>
  <c r="G157" i="111"/>
  <c r="D13" i="31"/>
  <c r="E43" i="110"/>
  <c r="H43" i="110" s="1"/>
  <c r="H100" i="110"/>
  <c r="D64" i="111"/>
  <c r="G65" i="111"/>
  <c r="G73" i="111"/>
  <c r="K228" i="111"/>
  <c r="G228" i="111"/>
  <c r="K106" i="111"/>
  <c r="H64" i="111"/>
  <c r="J121" i="111"/>
  <c r="L121" i="111" s="1"/>
  <c r="H219" i="111"/>
  <c r="H241" i="111" s="1"/>
  <c r="I241" i="111" s="1"/>
  <c r="G194" i="111"/>
  <c r="K194" i="111"/>
  <c r="H11" i="111"/>
  <c r="J203" i="111"/>
  <c r="L210" i="111"/>
  <c r="H187" i="111"/>
  <c r="J242" i="111"/>
  <c r="L242" i="111" s="1"/>
  <c r="AC39" i="120"/>
  <c r="I30" i="125"/>
  <c r="J30" i="125" s="1"/>
  <c r="AC44" i="120"/>
  <c r="M25" i="57"/>
  <c r="F25" i="57"/>
  <c r="C78" i="35"/>
  <c r="K179" i="111"/>
  <c r="N7" i="17"/>
  <c r="F13" i="43"/>
  <c r="AC30" i="120"/>
  <c r="H172" i="111"/>
  <c r="C14" i="43"/>
  <c r="H69" i="110"/>
  <c r="J219" i="111"/>
  <c r="L219" i="111" s="1"/>
  <c r="C23" i="35"/>
  <c r="F23" i="35" s="1"/>
  <c r="H13" i="110"/>
  <c r="C4" i="34" s="1"/>
  <c r="AE42" i="120"/>
  <c r="AC42" i="120"/>
  <c r="G238" i="111"/>
  <c r="J7" i="13"/>
  <c r="AC43" i="120"/>
  <c r="U22" i="22"/>
  <c r="E7" i="153"/>
  <c r="I51" i="125"/>
  <c r="J51" i="125" s="1"/>
  <c r="D13" i="153"/>
  <c r="F64" i="111"/>
  <c r="F55" i="111" s="1"/>
  <c r="H38" i="110"/>
  <c r="V47" i="120"/>
  <c r="Q24" i="110"/>
  <c r="R24" i="110" s="1"/>
  <c r="C30" i="160"/>
  <c r="D20" i="121"/>
  <c r="J14" i="12"/>
  <c r="L14" i="110"/>
  <c r="M14" i="110" s="1"/>
  <c r="H14" i="110"/>
  <c r="L24" i="110"/>
  <c r="M24" i="110" s="1"/>
  <c r="O22" i="22"/>
  <c r="L31" i="110"/>
  <c r="M31" i="110" s="1"/>
  <c r="D22" i="154"/>
  <c r="H242" i="111"/>
  <c r="J42" i="111"/>
  <c r="J41" i="111" s="1"/>
  <c r="H24" i="160"/>
  <c r="B8" i="162"/>
  <c r="J27" i="111"/>
  <c r="J113" i="111"/>
  <c r="E204" i="111" l="1"/>
  <c r="J25" i="61"/>
  <c r="D13" i="68"/>
  <c r="R108" i="76"/>
  <c r="G13" i="153"/>
  <c r="E87" i="110"/>
  <c r="H87" i="110" s="1"/>
  <c r="C109" i="35"/>
  <c r="L9" i="154"/>
  <c r="E169" i="111"/>
  <c r="E245" i="111"/>
  <c r="E106" i="111"/>
  <c r="U23" i="61"/>
  <c r="J17" i="68"/>
  <c r="P21" i="115"/>
  <c r="D68" i="31"/>
  <c r="F68" i="31" s="1"/>
  <c r="E30" i="160"/>
  <c r="E28" i="160" s="1"/>
  <c r="L20" i="121"/>
  <c r="E264" i="111"/>
  <c r="E246" i="111"/>
  <c r="AD43" i="120"/>
  <c r="E235" i="111"/>
  <c r="T6" i="61"/>
  <c r="T20" i="121"/>
  <c r="D166" i="31"/>
  <c r="E261" i="111"/>
  <c r="R22" i="22"/>
  <c r="G6" i="153"/>
  <c r="G5" i="153" s="1"/>
  <c r="G24" i="153" s="1"/>
  <c r="H34" i="58"/>
  <c r="D10" i="30"/>
  <c r="H56" i="110"/>
  <c r="E19" i="111"/>
  <c r="K13" i="68"/>
  <c r="I43" i="125"/>
  <c r="J43" i="125" s="1"/>
  <c r="I19" i="125"/>
  <c r="J19" i="125" s="1"/>
  <c r="J172" i="111"/>
  <c r="L172" i="111" s="1"/>
  <c r="AD7" i="81"/>
  <c r="J11" i="66"/>
  <c r="I42" i="125"/>
  <c r="J42" i="125" s="1"/>
  <c r="I20" i="125"/>
  <c r="J20" i="125" s="1"/>
  <c r="Q25" i="110"/>
  <c r="R25" i="110" s="1"/>
  <c r="F42" i="30"/>
  <c r="K25" i="57"/>
  <c r="E145" i="111"/>
  <c r="I39" i="125"/>
  <c r="J39" i="125" s="1"/>
  <c r="G106" i="111"/>
  <c r="F219" i="111"/>
  <c r="K17" i="68"/>
  <c r="P25" i="61"/>
  <c r="T25" i="61" s="1"/>
  <c r="V25" i="61" s="1"/>
  <c r="F29" i="43"/>
  <c r="E20" i="67"/>
  <c r="I17" i="68"/>
  <c r="L6" i="110"/>
  <c r="M6" i="110" s="1"/>
  <c r="K187" i="111"/>
  <c r="I29" i="125"/>
  <c r="J29" i="125" s="1"/>
  <c r="D8" i="30"/>
  <c r="L22" i="22"/>
  <c r="H14" i="154"/>
  <c r="H7" i="145"/>
  <c r="I15" i="67"/>
  <c r="H20" i="12"/>
  <c r="G20" i="12"/>
  <c r="J20" i="12" s="1"/>
  <c r="Q40" i="21"/>
  <c r="U20" i="121"/>
  <c r="I20" i="121"/>
  <c r="H9" i="145"/>
  <c r="H7" i="58"/>
  <c r="H20" i="153"/>
  <c r="U130" i="75"/>
  <c r="G247" i="111"/>
  <c r="T8" i="22"/>
  <c r="N7" i="18"/>
  <c r="L12" i="154"/>
  <c r="L18" i="154"/>
  <c r="I7" i="145"/>
  <c r="E18" i="164" s="1"/>
  <c r="G18" i="164" s="1"/>
  <c r="Q42" i="110"/>
  <c r="R42" i="110" s="1"/>
  <c r="H18" i="110"/>
  <c r="I21" i="115"/>
  <c r="AA21" i="22"/>
  <c r="F128" i="35"/>
  <c r="C127" i="35"/>
  <c r="I16" i="153"/>
  <c r="C40" i="152" s="1"/>
  <c r="C44" i="152" s="1"/>
  <c r="E44" i="152" s="1"/>
  <c r="E61" i="152"/>
  <c r="L29" i="110"/>
  <c r="M29" i="110" s="1"/>
  <c r="G24" i="59"/>
  <c r="G18" i="59" s="1"/>
  <c r="D17" i="30"/>
  <c r="D105" i="30"/>
  <c r="F105" i="30" s="1"/>
  <c r="F71" i="31"/>
  <c r="F70" i="31" s="1"/>
  <c r="D70" i="31"/>
  <c r="D22" i="104"/>
  <c r="D27" i="111"/>
  <c r="E27" i="111" s="1"/>
  <c r="G92" i="111"/>
  <c r="K73" i="111"/>
  <c r="K157" i="111"/>
  <c r="K34" i="111"/>
  <c r="F127" i="32"/>
  <c r="W187" i="75"/>
  <c r="T16" i="22"/>
  <c r="I22" i="125"/>
  <c r="J22" i="125" s="1"/>
  <c r="G44" i="111"/>
  <c r="G100" i="111"/>
  <c r="I45" i="125"/>
  <c r="J45" i="125" s="1"/>
  <c r="I33" i="125"/>
  <c r="J33" i="125" s="1"/>
  <c r="B120" i="54"/>
  <c r="C119" i="35"/>
  <c r="Q37" i="110"/>
  <c r="R37" i="110" s="1"/>
  <c r="G45" i="57"/>
  <c r="L19" i="154"/>
  <c r="AA13" i="22"/>
  <c r="AA10" i="22"/>
  <c r="Q66" i="110"/>
  <c r="R66" i="110" s="1"/>
  <c r="U25" i="57"/>
  <c r="H45" i="57"/>
  <c r="U45" i="57"/>
  <c r="H15" i="67"/>
  <c r="R222" i="77"/>
  <c r="D42" i="30"/>
  <c r="I8" i="153"/>
  <c r="L8" i="154"/>
  <c r="H63" i="110"/>
  <c r="S25" i="57"/>
  <c r="F47" i="31"/>
  <c r="I9" i="145"/>
  <c r="Q59" i="110"/>
  <c r="R59" i="110" s="1"/>
  <c r="T25" i="57"/>
  <c r="O96" i="110"/>
  <c r="M26" i="160" s="1"/>
  <c r="K52" i="111"/>
  <c r="G34" i="111"/>
  <c r="N15" i="18"/>
  <c r="I24" i="125"/>
  <c r="J24" i="125" s="1"/>
  <c r="F120"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H39" i="110"/>
  <c r="AA9" i="22"/>
  <c r="I46" i="125"/>
  <c r="J46" i="125" s="1"/>
  <c r="M60" i="110"/>
  <c r="F91" i="111"/>
  <c r="F98" i="111" s="1"/>
  <c r="G187" i="111"/>
  <c r="E90" i="111"/>
  <c r="L84" i="110"/>
  <c r="M84" i="110" s="1"/>
  <c r="F96" i="47"/>
  <c r="G12" i="61"/>
  <c r="Q12" i="61" s="1"/>
  <c r="Q27" i="61" s="1"/>
  <c r="H17" i="68"/>
  <c r="H16" i="22"/>
  <c r="M20" i="121"/>
  <c r="I44" i="125"/>
  <c r="J44" i="125" s="1"/>
  <c r="Q44" i="110"/>
  <c r="R44" i="110" s="1"/>
  <c r="H25" i="57"/>
  <c r="X45" i="57"/>
  <c r="I49" i="125"/>
  <c r="J49" i="125" s="1"/>
  <c r="I25" i="125"/>
  <c r="J25" i="125" s="1"/>
  <c r="L17" i="154"/>
  <c r="F132" i="35"/>
  <c r="F104" i="30"/>
  <c r="S161" i="74"/>
  <c r="H8" i="22"/>
  <c r="H22" i="22" s="1"/>
  <c r="S45" i="57"/>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E22" i="160" s="1"/>
  <c r="N244" i="73"/>
  <c r="K153" i="111"/>
  <c r="F26" i="61"/>
  <c r="J26" i="61" s="1"/>
  <c r="M21" i="18"/>
  <c r="E59" i="152"/>
  <c r="R25" i="57"/>
  <c r="T45" i="57"/>
  <c r="E7" i="111"/>
  <c r="H68" i="110"/>
  <c r="M187" i="75"/>
  <c r="J25" i="57"/>
  <c r="Q25" i="57"/>
  <c r="V45" i="57"/>
  <c r="M24" i="160"/>
  <c r="H99" i="110"/>
  <c r="E31" i="66"/>
  <c r="K243" i="111"/>
  <c r="J151" i="111"/>
  <c r="L151" i="111" s="1"/>
  <c r="O187" i="75"/>
  <c r="G58" i="59"/>
  <c r="M68" i="110"/>
  <c r="H91" i="110"/>
  <c r="F6" i="43"/>
  <c r="Q11" i="61"/>
  <c r="Q26" i="61" s="1"/>
  <c r="F26" i="43"/>
  <c r="B53" i="164"/>
  <c r="B54" i="164" s="1"/>
  <c r="B55" i="164" s="1"/>
  <c r="B56" i="164" s="1"/>
  <c r="A72" i="31"/>
  <c r="A76"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F152" i="31"/>
  <c r="D65" i="31"/>
  <c r="F65" i="31" s="1"/>
  <c r="D66" i="31"/>
  <c r="F66" i="31" s="1"/>
  <c r="D93" i="31"/>
  <c r="C20" i="43"/>
  <c r="F20" i="43" s="1"/>
  <c r="F82" i="47"/>
  <c r="Q8" i="22"/>
  <c r="Q22" i="22" s="1"/>
  <c r="I47" i="125"/>
  <c r="J47" i="125" s="1"/>
  <c r="I35" i="125"/>
  <c r="J35" i="125" s="1"/>
  <c r="I23" i="125"/>
  <c r="J23" i="125" s="1"/>
  <c r="H27" i="33"/>
  <c r="F133" i="31" s="1"/>
  <c r="J64" i="111"/>
  <c r="L64" i="111" s="1"/>
  <c r="L65" i="111"/>
  <c r="K48" i="17"/>
  <c r="W16" i="22"/>
  <c r="C69" i="35" s="1"/>
  <c r="F69" i="35" s="1"/>
  <c r="C58" i="35"/>
  <c r="C57" i="35" s="1"/>
  <c r="K16" i="22"/>
  <c r="E81" i="110"/>
  <c r="F81" i="110"/>
  <c r="F46" i="57"/>
  <c r="F51" i="57" s="1"/>
  <c r="D48" i="111"/>
  <c r="G49" i="111"/>
  <c r="F241" i="111"/>
  <c r="D36" i="66"/>
  <c r="N108" i="76"/>
  <c r="M15" i="106"/>
  <c r="L49" i="72"/>
  <c r="F83" i="31" s="1"/>
  <c r="K27" i="72"/>
  <c r="F121" i="30" s="1"/>
  <c r="L65" i="110"/>
  <c r="M65" i="110" s="1"/>
  <c r="H65" i="110"/>
  <c r="H77" i="110"/>
  <c r="L77" i="110"/>
  <c r="M77" i="110" s="1"/>
  <c r="O45" i="57"/>
  <c r="W165" i="76"/>
  <c r="L40" i="110"/>
  <c r="M40" i="110" s="1"/>
  <c r="H40" i="110"/>
  <c r="L61" i="110"/>
  <c r="M61" i="110" s="1"/>
  <c r="H61" i="110"/>
  <c r="W45" i="57"/>
  <c r="L63" i="110"/>
  <c r="M63" i="110" s="1"/>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3" i="164" s="1"/>
  <c r="G23" i="164" s="1"/>
  <c r="D35" i="31"/>
  <c r="H15" i="18"/>
  <c r="C139" i="35" s="1"/>
  <c r="E155" i="111"/>
  <c r="G118" i="111"/>
  <c r="E114" i="111"/>
  <c r="E149" i="111"/>
  <c r="E192" i="111"/>
  <c r="E39" i="111"/>
  <c r="E59" i="111"/>
  <c r="T7" i="61"/>
  <c r="M27" i="72"/>
  <c r="F122" i="31" s="1"/>
  <c r="L27" i="72"/>
  <c r="F82" i="31" s="1"/>
  <c r="F81" i="31" s="1"/>
  <c r="H21" i="115"/>
  <c r="C59" i="152"/>
  <c r="E24" i="66"/>
  <c r="Y16" i="57"/>
  <c r="AC16" i="57" s="1"/>
  <c r="L25" i="57"/>
  <c r="Y30" i="57"/>
  <c r="AC30" i="57" s="1"/>
  <c r="K45" i="57"/>
  <c r="Y40" i="57"/>
  <c r="AC40" i="57" s="1"/>
  <c r="I8" i="145"/>
  <c r="E19" i="164" s="1"/>
  <c r="G19" i="164" s="1"/>
  <c r="F20" i="145"/>
  <c r="F48" i="111"/>
  <c r="D128" i="30"/>
  <c r="F128" i="30" s="1"/>
  <c r="I15" i="153"/>
  <c r="H48" i="111"/>
  <c r="E104" i="111"/>
  <c r="E117" i="111"/>
  <c r="E130" i="111"/>
  <c r="E35" i="111"/>
  <c r="E64" i="111"/>
  <c r="E46" i="111"/>
  <c r="U22" i="61"/>
  <c r="E247" i="111"/>
  <c r="G27" i="33"/>
  <c r="F90" i="31" s="1"/>
  <c r="M45" i="57"/>
  <c r="M46" i="57" s="1"/>
  <c r="M51" i="57" s="1"/>
  <c r="M30" i="110"/>
  <c r="L17" i="110"/>
  <c r="M17" i="110" s="1"/>
  <c r="V23" i="61"/>
  <c r="H10" i="67"/>
  <c r="U7" i="114"/>
  <c r="F43" i="32"/>
  <c r="F14" i="31" s="1"/>
  <c r="H93" i="33"/>
  <c r="F137" i="31" s="1"/>
  <c r="H49" i="33"/>
  <c r="F134" i="31" s="1"/>
  <c r="F15" i="43"/>
  <c r="K21" i="115"/>
  <c r="M22" i="160"/>
  <c r="M27" i="160" s="1"/>
  <c r="E22" i="164" s="1"/>
  <c r="G22" i="164" s="1"/>
  <c r="F6" i="153"/>
  <c r="E45" i="57"/>
  <c r="N45" i="57"/>
  <c r="D133" i="35"/>
  <c r="C28" i="160"/>
  <c r="U24" i="61"/>
  <c r="E67" i="111"/>
  <c r="E15" i="111"/>
  <c r="T22" i="22"/>
  <c r="G17" i="68"/>
  <c r="U6" i="61"/>
  <c r="E103" i="111"/>
  <c r="AA11" i="22"/>
  <c r="E132" i="111"/>
  <c r="E119" i="111"/>
  <c r="V6" i="61"/>
  <c r="E260" i="111"/>
  <c r="E78" i="111"/>
  <c r="E167" i="111"/>
  <c r="E163" i="111"/>
  <c r="H16" i="110"/>
  <c r="C10" i="34" s="1"/>
  <c r="F10" i="34" s="1"/>
  <c r="H12" i="110"/>
  <c r="H120"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C23" i="160"/>
  <c r="C22" i="160" s="1"/>
  <c r="E13" i="156"/>
  <c r="L74" i="110"/>
  <c r="M74" i="110" s="1"/>
  <c r="AB38" i="120"/>
  <c r="E252" i="111"/>
  <c r="E153" i="111"/>
  <c r="E146" i="111"/>
  <c r="E229" i="111"/>
  <c r="E131" i="111"/>
  <c r="E20" i="12"/>
  <c r="F82" i="32"/>
  <c r="F18" i="31" s="1"/>
  <c r="G49" i="33"/>
  <c r="F91" i="31" s="1"/>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T21" i="115"/>
  <c r="G21" i="115"/>
  <c r="H20" i="121"/>
  <c r="AA20" i="121"/>
  <c r="E13" i="164" s="1"/>
  <c r="G13" i="164" s="1"/>
  <c r="D68" i="30"/>
  <c r="F68" i="30" s="1"/>
  <c r="D44" i="30"/>
  <c r="D43" i="30" s="1"/>
  <c r="AE39" i="120"/>
  <c r="AA38" i="120"/>
  <c r="AD15" i="81"/>
  <c r="S104" i="74"/>
  <c r="S162" i="74" s="1"/>
  <c r="F24" i="32"/>
  <c r="F13" i="31" s="1"/>
  <c r="G71" i="33"/>
  <c r="F92" i="31" s="1"/>
  <c r="E249" i="111"/>
  <c r="E57" i="111"/>
  <c r="E139" i="111"/>
  <c r="K10" i="67"/>
  <c r="K40" i="21"/>
  <c r="E63" i="111"/>
  <c r="E92" i="111"/>
  <c r="E70" i="111"/>
  <c r="E173" i="111"/>
  <c r="E176" i="111"/>
  <c r="E69" i="111"/>
  <c r="E212" i="111"/>
  <c r="AD9" i="81"/>
  <c r="U17" i="61"/>
  <c r="D242" i="111"/>
  <c r="K242" i="111" s="1"/>
  <c r="H27" i="110"/>
  <c r="E4" i="36"/>
  <c r="D31" i="66"/>
  <c r="K11" i="66"/>
  <c r="S21" i="115"/>
  <c r="F21" i="115"/>
  <c r="S20" i="121"/>
  <c r="I45" i="57"/>
  <c r="D48" i="31"/>
  <c r="D45" i="31" s="1"/>
  <c r="U187" i="75"/>
  <c r="U188" i="75" s="1"/>
  <c r="R108" i="77"/>
  <c r="J91" i="111"/>
  <c r="E175" i="111"/>
  <c r="J11" i="111"/>
  <c r="L11" i="111" s="1"/>
  <c r="E228" i="111"/>
  <c r="D91"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X46" i="57" s="1"/>
  <c r="X51" i="57" s="1"/>
  <c r="D49" i="31"/>
  <c r="F49"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1" i="33"/>
  <c r="D134" i="31"/>
  <c r="H19" i="110"/>
  <c r="C11" i="34" s="1"/>
  <c r="F11" i="34" s="1"/>
  <c r="L19" i="110"/>
  <c r="M19" i="110" s="1"/>
  <c r="C8" i="34"/>
  <c r="F8" i="34" s="1"/>
  <c r="AF23" i="120"/>
  <c r="Y43" i="57"/>
  <c r="AC43" i="57" s="1"/>
  <c r="J7" i="145"/>
  <c r="M11" i="110"/>
  <c r="G22" i="145"/>
  <c r="N104" i="74"/>
  <c r="T130" i="75"/>
  <c r="T188" i="75" s="1"/>
  <c r="J17" i="66"/>
  <c r="J18" i="66" s="1"/>
  <c r="E18" i="145"/>
  <c r="K135" i="111"/>
  <c r="E135" i="111"/>
  <c r="G135" i="111"/>
  <c r="D125" i="31" s="1"/>
  <c r="D124" i="31" s="1"/>
  <c r="F101" i="32"/>
  <c r="F37" i="31" s="1"/>
  <c r="I255" i="111"/>
  <c r="L43" i="110"/>
  <c r="M43" i="110" s="1"/>
  <c r="K46" i="57"/>
  <c r="K51" i="57" s="1"/>
  <c r="O130" i="73"/>
  <c r="Y20" i="57"/>
  <c r="AC20" i="57" s="1"/>
  <c r="I17" i="145"/>
  <c r="G14" i="111"/>
  <c r="J7" i="68"/>
  <c r="N165" i="76"/>
  <c r="J20" i="67"/>
  <c r="Z16" i="22"/>
  <c r="AC41" i="120"/>
  <c r="I40" i="125"/>
  <c r="J40" i="125" s="1"/>
  <c r="B121" i="54"/>
  <c r="F121" i="35"/>
  <c r="F7" i="110"/>
  <c r="E7" i="110"/>
  <c r="Y36" i="57"/>
  <c r="AC36" i="57" s="1"/>
  <c r="J48" i="111"/>
  <c r="L48" i="111" s="1"/>
  <c r="L49" i="111"/>
  <c r="F76" i="30"/>
  <c r="D75" i="30"/>
  <c r="G40" i="59"/>
  <c r="G59" i="59" s="1"/>
  <c r="L47" i="110"/>
  <c r="M47" i="110" s="1"/>
  <c r="R187" i="73"/>
  <c r="T165" i="76"/>
  <c r="J20" i="121"/>
  <c r="V20" i="121"/>
  <c r="L13" i="154"/>
  <c r="K6" i="154"/>
  <c r="O25" i="57"/>
  <c r="O46" i="57" s="1"/>
  <c r="O51" i="57" s="1"/>
  <c r="N165" i="77"/>
  <c r="P45" i="57"/>
  <c r="P244" i="73"/>
  <c r="D5" i="153"/>
  <c r="D24" i="153" s="1"/>
  <c r="H8" i="145"/>
  <c r="F18" i="145"/>
  <c r="O244" i="73"/>
  <c r="P130" i="75"/>
  <c r="P188" i="75" s="1"/>
  <c r="L203" i="111"/>
  <c r="D34" i="66"/>
  <c r="D38" i="66" s="1"/>
  <c r="M104" i="74"/>
  <c r="T108" i="76"/>
  <c r="AF30" i="120"/>
  <c r="AD30" i="120"/>
  <c r="D165" i="31"/>
  <c r="D163" i="31" s="1"/>
  <c r="H50" i="72"/>
  <c r="E13" i="144"/>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E6" i="153" s="1"/>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3" i="31"/>
  <c r="D81" i="31" s="1"/>
  <c r="K49" i="72"/>
  <c r="F122" i="30" s="1"/>
  <c r="I36" i="125"/>
  <c r="J36" i="125" s="1"/>
  <c r="AC24" i="120"/>
  <c r="AC40" i="120"/>
  <c r="AE40" i="120"/>
  <c r="D30" i="31"/>
  <c r="E165" i="111"/>
  <c r="K165" i="111"/>
  <c r="E20" i="145"/>
  <c r="I11" i="111"/>
  <c r="L38" i="66"/>
  <c r="G7" i="67"/>
  <c r="G10" i="67" s="1"/>
  <c r="M161" i="74"/>
  <c r="M162" i="74" s="1"/>
  <c r="D18" i="31"/>
  <c r="D17" i="31" s="1"/>
  <c r="F125" i="32"/>
  <c r="J49" i="72"/>
  <c r="F62" i="30" s="1"/>
  <c r="F60" i="30" s="1"/>
  <c r="E21" i="106"/>
  <c r="M21" i="106" s="1"/>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39" i="13"/>
  <c r="H39" i="17"/>
  <c r="C136" i="35" s="1"/>
  <c r="F136" i="35" s="1"/>
  <c r="F134" i="35" s="1"/>
  <c r="F48" i="17"/>
  <c r="H48" i="17" s="1"/>
  <c r="N49" i="72"/>
  <c r="F165" i="31" s="1"/>
  <c r="F24" i="49"/>
  <c r="H45" i="58"/>
  <c r="L32" i="110"/>
  <c r="M32" i="110" s="1"/>
  <c r="H32" i="110"/>
  <c r="M39" i="110"/>
  <c r="L62" i="110"/>
  <c r="H62" i="110"/>
  <c r="L67" i="110"/>
  <c r="M67" i="110" s="1"/>
  <c r="H67" i="110"/>
  <c r="G220" i="111"/>
  <c r="K220" i="111"/>
  <c r="E220" i="111"/>
  <c r="F172" i="111"/>
  <c r="F171" i="111" s="1"/>
  <c r="G179" i="111"/>
  <c r="D67" i="31"/>
  <c r="F67" i="31" s="1"/>
  <c r="H82" i="111"/>
  <c r="I82" i="111" s="1"/>
  <c r="I88" i="111"/>
  <c r="I34" i="58"/>
  <c r="I45" i="58" s="1"/>
  <c r="F10" i="30"/>
  <c r="D42" i="111"/>
  <c r="G42" i="111" s="1"/>
  <c r="K44" i="111"/>
  <c r="P25" i="57"/>
  <c r="P46" i="57" s="1"/>
  <c r="P51" i="57" s="1"/>
  <c r="J40" i="111"/>
  <c r="L40" i="111" s="1"/>
  <c r="F22" i="145"/>
  <c r="M108" i="76"/>
  <c r="C7" i="152"/>
  <c r="C8" i="152" s="1"/>
  <c r="E8" i="152" s="1"/>
  <c r="G64" i="111"/>
  <c r="P12" i="61"/>
  <c r="P27" i="61" s="1"/>
  <c r="O108" i="77"/>
  <c r="L15" i="110"/>
  <c r="M15" i="110" s="1"/>
  <c r="K148" i="111"/>
  <c r="D143" i="111"/>
  <c r="K143" i="111" s="1"/>
  <c r="V20" i="61"/>
  <c r="U20" i="61"/>
  <c r="D14" i="31"/>
  <c r="D12" i="31" s="1"/>
  <c r="D10" i="31" s="1"/>
  <c r="F124" i="32"/>
  <c r="H71" i="33"/>
  <c r="F135" i="31" s="1"/>
  <c r="M49" i="72"/>
  <c r="F123" i="31" s="1"/>
  <c r="Q7" i="110"/>
  <c r="R7" i="110" s="1"/>
  <c r="L51" i="110"/>
  <c r="M51" i="110" s="1"/>
  <c r="L54" i="110"/>
  <c r="M54" i="110" s="1"/>
  <c r="H71" i="110"/>
  <c r="L71" i="110"/>
  <c r="M71" i="110" s="1"/>
  <c r="L75" i="110"/>
  <c r="M75" i="110" s="1"/>
  <c r="H75" i="110"/>
  <c r="F109" i="111"/>
  <c r="L187" i="111"/>
  <c r="J171" i="111"/>
  <c r="L171" i="111" s="1"/>
  <c r="F13" i="68"/>
  <c r="Y10" i="57"/>
  <c r="AC10" i="57" s="1"/>
  <c r="I10" i="153"/>
  <c r="N21" i="18"/>
  <c r="E44" i="111"/>
  <c r="L194" i="111"/>
  <c r="H11" i="110"/>
  <c r="D106" i="30" s="1"/>
  <c r="F106" i="30" s="1"/>
  <c r="L17" i="68"/>
  <c r="R244" i="73"/>
  <c r="L10" i="67"/>
  <c r="L21" i="67" s="1"/>
  <c r="H18" i="68"/>
  <c r="L7" i="68"/>
  <c r="L9" i="68" s="1"/>
  <c r="P165" i="76"/>
  <c r="M165" i="76"/>
  <c r="U108" i="76"/>
  <c r="R165" i="77"/>
  <c r="W8" i="22"/>
  <c r="H124" i="33"/>
  <c r="D99" i="31"/>
  <c r="D98" i="31" s="1"/>
  <c r="D96" i="31" s="1"/>
  <c r="G93" i="33"/>
  <c r="F94" i="31" s="1"/>
  <c r="F93" i="31" s="1"/>
  <c r="D20" i="12"/>
  <c r="AA14" i="22"/>
  <c r="AF20" i="121"/>
  <c r="H37" i="110"/>
  <c r="L37" i="110"/>
  <c r="M37" i="110" s="1"/>
  <c r="E25" i="57"/>
  <c r="Y23" i="57"/>
  <c r="AC23" i="57" s="1"/>
  <c r="I121" i="111"/>
  <c r="J13" i="68"/>
  <c r="O222" i="77"/>
  <c r="N21" i="115"/>
  <c r="I22" i="22"/>
  <c r="E8" i="22"/>
  <c r="K65" i="111"/>
  <c r="H91" i="111"/>
  <c r="I91" i="111" s="1"/>
  <c r="D14" i="104"/>
  <c r="I13" i="111"/>
  <c r="K17" i="66"/>
  <c r="F17" i="68"/>
  <c r="M21" i="115"/>
  <c r="AD44" i="120"/>
  <c r="F126" i="32"/>
  <c r="I31" i="125"/>
  <c r="J31" i="125" s="1"/>
  <c r="H21" i="106"/>
  <c r="L21" i="106" s="1"/>
  <c r="J22" i="22"/>
  <c r="F13" i="153"/>
  <c r="L10" i="154"/>
  <c r="E73" i="111"/>
  <c r="K28" i="111"/>
  <c r="K100" i="111"/>
  <c r="H9" i="68"/>
  <c r="W130" i="75"/>
  <c r="W188" i="75" s="1"/>
  <c r="V108" i="76"/>
  <c r="C21" i="115"/>
  <c r="D121" i="31"/>
  <c r="F16" i="43"/>
  <c r="F79" i="30" s="1"/>
  <c r="D91" i="111"/>
  <c r="N130" i="75"/>
  <c r="L31" i="66"/>
  <c r="L32" i="66" s="1"/>
  <c r="I41" i="125"/>
  <c r="J41" i="125" s="1"/>
  <c r="I32" i="125"/>
  <c r="J32" i="125" s="1"/>
  <c r="K7" i="18"/>
  <c r="R21" i="115"/>
  <c r="L45" i="57"/>
  <c r="L46" i="57" s="1"/>
  <c r="L51" i="57" s="1"/>
  <c r="F141" i="111"/>
  <c r="L15" i="67"/>
  <c r="V187" i="75"/>
  <c r="R130" i="75"/>
  <c r="H38" i="66"/>
  <c r="W108" i="76"/>
  <c r="W166" i="76" s="1"/>
  <c r="Z8" i="22"/>
  <c r="G50" i="72"/>
  <c r="E14" i="153"/>
  <c r="D72" i="30"/>
  <c r="D35" i="160"/>
  <c r="D33" i="160" s="1"/>
  <c r="I53" i="125"/>
  <c r="J53" i="125" s="1"/>
  <c r="I247" i="111"/>
  <c r="D152" i="31"/>
  <c r="F55" i="30"/>
  <c r="B55" i="54"/>
  <c r="F55" i="35"/>
  <c r="I10" i="145"/>
  <c r="H10" i="145"/>
  <c r="F4" i="34"/>
  <c r="F111" i="111"/>
  <c r="G113" i="111"/>
  <c r="F167" i="31"/>
  <c r="F166" i="31" s="1"/>
  <c r="F41" i="111"/>
  <c r="D8" i="162"/>
  <c r="D12" i="162" s="1"/>
  <c r="B12" i="162"/>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H79" i="110"/>
  <c r="M79" i="110"/>
  <c r="L86" i="110"/>
  <c r="M86" i="110" s="1"/>
  <c r="H86" i="110"/>
  <c r="M89" i="110"/>
  <c r="Q72" i="110"/>
  <c r="R72" i="110" s="1"/>
  <c r="F21" i="31"/>
  <c r="H31" i="66"/>
  <c r="H32" i="66" s="1"/>
  <c r="F131" i="35"/>
  <c r="B131" i="54"/>
  <c r="I21" i="125"/>
  <c r="J21" i="125" s="1"/>
  <c r="R49" i="110"/>
  <c r="L53" i="110"/>
  <c r="M53" i="110" s="1"/>
  <c r="H53" i="110"/>
  <c r="H72" i="110"/>
  <c r="L72" i="110"/>
  <c r="M72" i="110" s="1"/>
  <c r="L76" i="110"/>
  <c r="M76" i="110" s="1"/>
  <c r="C55" i="152"/>
  <c r="E55" i="152" s="1"/>
  <c r="O130" i="75"/>
  <c r="O188" i="75" s="1"/>
  <c r="L20" i="110"/>
  <c r="M20" i="110" s="1"/>
  <c r="F110" i="31"/>
  <c r="G13" i="68"/>
  <c r="G18" i="68" s="1"/>
  <c r="AA12" i="22"/>
  <c r="N8" i="22"/>
  <c r="N22" i="22" s="1"/>
  <c r="L50" i="110"/>
  <c r="M50" i="110" s="1"/>
  <c r="H50" i="110"/>
  <c r="F269" i="111"/>
  <c r="G269" i="111" s="1"/>
  <c r="G268" i="111"/>
  <c r="U46" i="57"/>
  <c r="U51" i="57" s="1"/>
  <c r="C57" i="152"/>
  <c r="E57" i="152" s="1"/>
  <c r="H6" i="153"/>
  <c r="P222" i="77"/>
  <c r="B78" i="54"/>
  <c r="C77" i="35"/>
  <c r="D55" i="111"/>
  <c r="I17" i="66"/>
  <c r="Z40" i="21"/>
  <c r="F63" i="32"/>
  <c r="F16" i="31" s="1"/>
  <c r="F129" i="35"/>
  <c r="B129" i="54"/>
  <c r="C30" i="43"/>
  <c r="F30" i="43" s="1"/>
  <c r="F109" i="47"/>
  <c r="F110" i="47" s="1"/>
  <c r="F24" i="66"/>
  <c r="F25" i="66" s="1"/>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G15" i="67" s="1"/>
  <c r="N187" i="75"/>
  <c r="D35" i="66"/>
  <c r="D14" i="67"/>
  <c r="D15" i="67" s="1"/>
  <c r="Z8" i="21"/>
  <c r="E7" i="18"/>
  <c r="D21" i="18"/>
  <c r="E21" i="18" s="1"/>
  <c r="L7" i="154"/>
  <c r="H6" i="154"/>
  <c r="H22" i="154" s="1"/>
  <c r="L15" i="154"/>
  <c r="L21" i="154"/>
  <c r="H36" i="110"/>
  <c r="M36" i="110"/>
  <c r="L69" i="110"/>
  <c r="M69" i="110" s="1"/>
  <c r="E98" i="110"/>
  <c r="J45" i="57"/>
  <c r="F27" i="111"/>
  <c r="F13" i="111" s="1"/>
  <c r="J31" i="66"/>
  <c r="J32" i="66" s="1"/>
  <c r="E15" i="67"/>
  <c r="E21" i="67" s="1"/>
  <c r="E15" i="18"/>
  <c r="J7" i="106"/>
  <c r="K7" i="106"/>
  <c r="N7" i="106" s="1"/>
  <c r="F21" i="18"/>
  <c r="H7" i="18"/>
  <c r="C138" i="35" s="1"/>
  <c r="I31" i="58"/>
  <c r="C58" i="152"/>
  <c r="E58" i="152" s="1"/>
  <c r="J255" i="111"/>
  <c r="L255" i="111" s="1"/>
  <c r="K38" i="66"/>
  <c r="H125" i="33"/>
  <c r="D142" i="31"/>
  <c r="D141" i="31" s="1"/>
  <c r="H115" i="33"/>
  <c r="F142" i="31" s="1"/>
  <c r="G104" i="110"/>
  <c r="O98" i="110" s="1"/>
  <c r="P108" i="76"/>
  <c r="G27" i="61"/>
  <c r="N130" i="73"/>
  <c r="K8" i="68"/>
  <c r="K9" i="68" s="1"/>
  <c r="K18" i="68" s="1"/>
  <c r="G115" i="33"/>
  <c r="F99" i="31" s="1"/>
  <c r="D62" i="30"/>
  <c r="D60" i="30" s="1"/>
  <c r="D50" i="72"/>
  <c r="H70" i="110"/>
  <c r="L70" i="110"/>
  <c r="M70" i="110" s="1"/>
  <c r="L95" i="110"/>
  <c r="M95" i="110" s="1"/>
  <c r="H95" i="110"/>
  <c r="E15" i="125"/>
  <c r="J8" i="145"/>
  <c r="F27" i="43"/>
  <c r="K39" i="13"/>
  <c r="N39" i="13" s="1"/>
  <c r="N40" i="13"/>
  <c r="F44" i="35"/>
  <c r="B44" i="54"/>
  <c r="L88" i="110"/>
  <c r="M88" i="110" s="1"/>
  <c r="H88" i="110"/>
  <c r="K113" i="111"/>
  <c r="I113" i="111"/>
  <c r="F121" i="31"/>
  <c r="E42" i="111"/>
  <c r="P130" i="73"/>
  <c r="J55" i="111"/>
  <c r="L55" i="111" s="1"/>
  <c r="J11" i="67"/>
  <c r="J15" i="67" s="1"/>
  <c r="J21" i="67" s="1"/>
  <c r="N187" i="73"/>
  <c r="I38" i="66"/>
  <c r="J8" i="68"/>
  <c r="N222" i="77"/>
  <c r="AC32" i="120"/>
  <c r="AE19" i="120"/>
  <c r="C11" i="43"/>
  <c r="F11" i="43" s="1"/>
  <c r="F43" i="47"/>
  <c r="E7" i="36"/>
  <c r="F7" i="36" s="1"/>
  <c r="F6" i="36" s="1"/>
  <c r="E11" i="36"/>
  <c r="F11" i="36" s="1"/>
  <c r="F9"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I21" i="18"/>
  <c r="K21" i="18" s="1"/>
  <c r="AA44" i="21"/>
  <c r="E40" i="21"/>
  <c r="M22" i="22"/>
  <c r="O20" i="121"/>
  <c r="I50" i="125"/>
  <c r="J50" i="125" s="1"/>
  <c r="AE20" i="121"/>
  <c r="I10" i="67"/>
  <c r="K31" i="66"/>
  <c r="K32" i="66" s="1"/>
  <c r="G17" i="66"/>
  <c r="G18" i="66" s="1"/>
  <c r="G39" i="66" s="1"/>
  <c r="G21" i="18"/>
  <c r="AA46" i="21"/>
  <c r="AA42" i="21"/>
  <c r="F28" i="43"/>
  <c r="F7" i="43"/>
  <c r="K20" i="67"/>
  <c r="D20" i="67"/>
  <c r="M130" i="75"/>
  <c r="M188" i="75" s="1"/>
  <c r="V130" i="75"/>
  <c r="G47" i="11"/>
  <c r="G48" i="11" s="1"/>
  <c r="T40" i="21"/>
  <c r="A37" i="120"/>
  <c r="A38" i="120" s="1"/>
  <c r="A39" i="120" s="1"/>
  <c r="A40" i="120" s="1"/>
  <c r="A41" i="120" s="1"/>
  <c r="A42" i="120" s="1"/>
  <c r="A43" i="120" s="1"/>
  <c r="A44" i="120" s="1"/>
  <c r="A45" i="120" s="1"/>
  <c r="A46" i="120" s="1"/>
  <c r="A47" i="120" s="1"/>
  <c r="H14" i="153"/>
  <c r="H13" i="153" s="1"/>
  <c r="R45" i="57"/>
  <c r="Y22" i="22"/>
  <c r="N27" i="72"/>
  <c r="F164" i="31" s="1"/>
  <c r="Q45" i="57"/>
  <c r="Q46" i="57" s="1"/>
  <c r="Q51" i="57" s="1"/>
  <c r="D171" i="111"/>
  <c r="G153" i="111"/>
  <c r="K8" i="111"/>
  <c r="R165" i="76"/>
  <c r="R166" i="76" s="1"/>
  <c r="H11" i="66"/>
  <c r="H18" i="66" s="1"/>
  <c r="M7" i="13"/>
  <c r="L15" i="106"/>
  <c r="Q21" i="115"/>
  <c r="D21" i="115"/>
  <c r="U21" i="115" s="1"/>
  <c r="AE9" i="120"/>
  <c r="E35" i="160"/>
  <c r="E33" i="160" s="1"/>
  <c r="K15" i="67"/>
  <c r="V165" i="76"/>
  <c r="V166" i="76" s="1"/>
  <c r="L7" i="13"/>
  <c r="G22" i="22"/>
  <c r="AF9" i="120"/>
  <c r="H122" i="33"/>
  <c r="C6" i="153"/>
  <c r="V25" i="57"/>
  <c r="F836" i="52"/>
  <c r="G46" i="57"/>
  <c r="G51" i="57" s="1"/>
  <c r="D109" i="111"/>
  <c r="K109" i="111" s="1"/>
  <c r="I13" i="68"/>
  <c r="C20" i="12"/>
  <c r="H40" i="21"/>
  <c r="AD20" i="121"/>
  <c r="C12" i="34"/>
  <c r="D84" i="31"/>
  <c r="F84" i="31" s="1"/>
  <c r="D30" i="160"/>
  <c r="D28" i="160" s="1"/>
  <c r="D17" i="104"/>
  <c r="D23" i="104" s="1"/>
  <c r="D6" i="104" s="1"/>
  <c r="E63" i="164" s="1"/>
  <c r="E66" i="164" s="1"/>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H49" i="21" s="1"/>
  <c r="N40" i="21"/>
  <c r="B19" i="54"/>
  <c r="B23" i="54"/>
  <c r="AA41" i="21"/>
  <c r="AA20" i="21"/>
  <c r="B16" i="54"/>
  <c r="AA11" i="21"/>
  <c r="T8" i="21"/>
  <c r="N8" i="21"/>
  <c r="W8" i="21"/>
  <c r="C65" i="35" s="1"/>
  <c r="Q8" i="21"/>
  <c r="Q49" i="21" s="1"/>
  <c r="AA43" i="21"/>
  <c r="C8" i="35"/>
  <c r="K8" i="21"/>
  <c r="K49" i="21" s="1"/>
  <c r="A37" i="17"/>
  <c r="E48" i="17"/>
  <c r="F107" i="35"/>
  <c r="N39" i="17"/>
  <c r="E39" i="17"/>
  <c r="F48" i="13"/>
  <c r="N8" i="13"/>
  <c r="K7" i="13"/>
  <c r="N7" i="13" s="1"/>
  <c r="U39" i="114"/>
  <c r="U48" i="114" s="1"/>
  <c r="F4" i="36"/>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C7" i="163"/>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F83" i="35"/>
  <c r="F104" i="35"/>
  <c r="G13" i="46"/>
  <c r="E72" i="35" s="1"/>
  <c r="D139" i="31"/>
  <c r="F136" i="31"/>
  <c r="F125" i="31"/>
  <c r="F124" i="31" s="1"/>
  <c r="D21" i="31"/>
  <c r="D110" i="31"/>
  <c r="F17" i="31"/>
  <c r="D136" i="31"/>
  <c r="D132" i="31" s="1"/>
  <c r="A56" i="30"/>
  <c r="A57" i="30" s="1"/>
  <c r="A58" i="30" s="1"/>
  <c r="A59" i="30" s="1"/>
  <c r="A60" i="30" s="1"/>
  <c r="A61" i="30" s="1"/>
  <c r="A62" i="30" s="1"/>
  <c r="A63" i="30" s="1"/>
  <c r="A64" i="30" s="1"/>
  <c r="D39" i="31"/>
  <c r="D101" i="31"/>
  <c r="F148" i="31"/>
  <c r="D144" i="31"/>
  <c r="D111" i="30"/>
  <c r="D107" i="30" s="1"/>
  <c r="F1265" i="51"/>
  <c r="D51" i="30"/>
  <c r="D47" i="30" s="1"/>
  <c r="D55" i="30"/>
  <c r="D120" i="30"/>
  <c r="F13" i="30"/>
  <c r="F11" i="30" s="1"/>
  <c r="F115" i="30"/>
  <c r="F75" i="30"/>
  <c r="D92" i="30"/>
  <c r="D86" i="30" s="1"/>
  <c r="D30" i="30"/>
  <c r="D24" i="30" s="1"/>
  <c r="D13" i="30"/>
  <c r="D11" i="30" s="1"/>
  <c r="D115" i="30"/>
  <c r="U25" i="61"/>
  <c r="I46" i="57"/>
  <c r="I51" i="57" s="1"/>
  <c r="B139" i="54"/>
  <c r="F139" i="35"/>
  <c r="L113" i="111"/>
  <c r="J111" i="111"/>
  <c r="I171" i="111"/>
  <c r="K171" i="111"/>
  <c r="C29" i="152"/>
  <c r="E29" i="152" s="1"/>
  <c r="C31" i="152"/>
  <c r="E31" i="152" s="1"/>
  <c r="C19" i="152"/>
  <c r="C28" i="152"/>
  <c r="E28" i="152" s="1"/>
  <c r="C30" i="152"/>
  <c r="E30" i="152" s="1"/>
  <c r="L41" i="111"/>
  <c r="T46" i="57"/>
  <c r="T51" i="57" s="1"/>
  <c r="W22" i="22"/>
  <c r="C68" i="35"/>
  <c r="L27" i="111"/>
  <c r="J13" i="111"/>
  <c r="C45" i="152"/>
  <c r="E45" i="152" s="1"/>
  <c r="C43" i="152"/>
  <c r="E43" i="152" s="1"/>
  <c r="C42" i="152"/>
  <c r="E42" i="152" s="1"/>
  <c r="C41" i="152"/>
  <c r="E41" i="152" s="1"/>
  <c r="C27" i="152"/>
  <c r="E27" i="152" s="1"/>
  <c r="I21" i="67"/>
  <c r="E46" i="57"/>
  <c r="C134" i="35"/>
  <c r="L11" i="66"/>
  <c r="I64" i="111"/>
  <c r="K64" i="111"/>
  <c r="K18" i="66"/>
  <c r="C21" i="152"/>
  <c r="E21" i="152" s="1"/>
  <c r="C25" i="152"/>
  <c r="E25" i="152" s="1"/>
  <c r="C24" i="152"/>
  <c r="E24" i="152" s="1"/>
  <c r="C23" i="152"/>
  <c r="E23" i="152" s="1"/>
  <c r="I151" i="111"/>
  <c r="H141" i="111"/>
  <c r="I141" i="111" s="1"/>
  <c r="E88" i="111"/>
  <c r="D82" i="111"/>
  <c r="K88" i="111"/>
  <c r="G88" i="111"/>
  <c r="H46" i="57"/>
  <c r="H51" i="57" s="1"/>
  <c r="I9" i="68"/>
  <c r="I18" i="68" s="1"/>
  <c r="F38" i="11"/>
  <c r="C47" i="11"/>
  <c r="C5" i="37" s="1"/>
  <c r="G12" i="29"/>
  <c r="L48" i="13"/>
  <c r="L49" i="13" s="1"/>
  <c r="J98" i="111"/>
  <c r="L91" i="111"/>
  <c r="L7" i="110"/>
  <c r="H7" i="110"/>
  <c r="P26" i="61"/>
  <c r="T26" i="61" s="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O165" i="77"/>
  <c r="O223" i="77" s="1"/>
  <c r="F42" i="35"/>
  <c r="B42" i="54"/>
  <c r="Y13" i="91"/>
  <c r="E72" i="111"/>
  <c r="E52" i="111"/>
  <c r="E85" i="111"/>
  <c r="E33" i="111"/>
  <c r="E66" i="111"/>
  <c r="E142" i="111"/>
  <c r="E197" i="111"/>
  <c r="E191" i="111"/>
  <c r="E254" i="111"/>
  <c r="E214" i="111"/>
  <c r="Y7" i="91"/>
  <c r="G151" i="111"/>
  <c r="E151" i="111"/>
  <c r="E113" i="111"/>
  <c r="J15" i="106"/>
  <c r="G21" i="106"/>
  <c r="F26" i="35"/>
  <c r="B26" i="54"/>
  <c r="B12" i="54"/>
  <c r="F12" i="35"/>
  <c r="E251" i="111"/>
  <c r="E210" i="111"/>
  <c r="E6" i="111"/>
  <c r="E93" i="111"/>
  <c r="E62" i="111"/>
  <c r="E96" i="111"/>
  <c r="E54" i="111"/>
  <c r="E77" i="111"/>
  <c r="E154" i="111"/>
  <c r="E257" i="111"/>
  <c r="E199" i="111"/>
  <c r="E262" i="111"/>
  <c r="E227" i="111"/>
  <c r="E48" i="111"/>
  <c r="AD6" i="81"/>
  <c r="U18" i="61"/>
  <c r="U16" i="6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19" i="33"/>
  <c r="D90" i="31"/>
  <c r="F38" i="66"/>
  <c r="I11" i="66"/>
  <c r="I18" i="66" s="1"/>
  <c r="I39" i="66" s="1"/>
  <c r="L39" i="13"/>
  <c r="P165" i="77"/>
  <c r="F103" i="35"/>
  <c r="F87" i="35"/>
  <c r="B87" i="54"/>
  <c r="I27" i="125"/>
  <c r="J27" i="125" s="1"/>
  <c r="AE46" i="120"/>
  <c r="L66" i="110"/>
  <c r="M66" i="110" s="1"/>
  <c r="H17" i="58"/>
  <c r="H11" i="145"/>
  <c r="J11" i="145" s="1"/>
  <c r="B7" i="163"/>
  <c r="M38" i="110"/>
  <c r="M62" i="110"/>
  <c r="H123" i="33"/>
  <c r="C35" i="160"/>
  <c r="C33" i="160" s="1"/>
  <c r="D76" i="35"/>
  <c r="B11" i="162"/>
  <c r="E53" i="152" l="1"/>
  <c r="J46" i="57"/>
  <c r="J51" i="57" s="1"/>
  <c r="N166" i="76"/>
  <c r="H21" i="67"/>
  <c r="F109" i="35"/>
  <c r="L18" i="66"/>
  <c r="B119" i="54"/>
  <c r="M7" i="110"/>
  <c r="G91" i="111"/>
  <c r="R245" i="73"/>
  <c r="K48" i="13"/>
  <c r="N48" i="13" s="1"/>
  <c r="K27" i="111"/>
  <c r="Q96" i="110"/>
  <c r="R96" i="110" s="1"/>
  <c r="J9" i="145"/>
  <c r="D13" i="111"/>
  <c r="H31" i="58"/>
  <c r="R46" i="57"/>
  <c r="R51" i="57" s="1"/>
  <c r="F132" i="31"/>
  <c r="F127" i="35"/>
  <c r="F138" i="35"/>
  <c r="C137" i="35"/>
  <c r="F89" i="31"/>
  <c r="L39" i="66"/>
  <c r="C5" i="153"/>
  <c r="C24" i="153" s="1"/>
  <c r="N162" i="74"/>
  <c r="F8" i="35"/>
  <c r="F7" i="35" s="1"/>
  <c r="C7" i="35"/>
  <c r="D22" i="160"/>
  <c r="N223" i="77"/>
  <c r="F32" i="66"/>
  <c r="F12" i="34"/>
  <c r="F137" i="35"/>
  <c r="J9" i="68"/>
  <c r="S46" i="57"/>
  <c r="S51" i="57" s="1"/>
  <c r="V188" i="75"/>
  <c r="F28" i="30"/>
  <c r="J12" i="61"/>
  <c r="F43" i="31"/>
  <c r="H9" i="110"/>
  <c r="B69" i="54"/>
  <c r="B49" i="54"/>
  <c r="N49" i="21"/>
  <c r="F77" i="35"/>
  <c r="E18" i="68"/>
  <c r="C9" i="34"/>
  <c r="D255" i="111"/>
  <c r="B136" i="54"/>
  <c r="W46" i="57"/>
  <c r="W51" i="57" s="1"/>
  <c r="G1259" i="51"/>
  <c r="G1258" i="51"/>
  <c r="G1257" i="51"/>
  <c r="G1256" i="5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8" i="52"/>
  <c r="G822" i="52"/>
  <c r="G827" i="52"/>
  <c r="G821" i="52"/>
  <c r="G826" i="52"/>
  <c r="G820" i="52"/>
  <c r="G825"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6" i="164"/>
  <c r="D57" i="164"/>
  <c r="B57" i="164"/>
  <c r="B58" i="164" s="1"/>
  <c r="B59" i="164" s="1"/>
  <c r="B63" i="164" s="1"/>
  <c r="E43" i="164"/>
  <c r="G43" i="164" s="1"/>
  <c r="U166" i="76"/>
  <c r="F27" i="61"/>
  <c r="R223" i="77"/>
  <c r="B127" i="54"/>
  <c r="V46" i="57"/>
  <c r="V51" i="57" s="1"/>
  <c r="T11" i="61"/>
  <c r="U11" i="61" s="1"/>
  <c r="J47" i="11"/>
  <c r="AF38" i="120"/>
  <c r="AF6" i="120"/>
  <c r="L18" i="68"/>
  <c r="E13" i="153"/>
  <c r="E5" i="153" s="1"/>
  <c r="E24" i="153" s="1"/>
  <c r="K55" i="111"/>
  <c r="E242" i="111"/>
  <c r="AA8" i="22"/>
  <c r="F5" i="153"/>
  <c r="F24" i="153" s="1"/>
  <c r="E22" i="22"/>
  <c r="L6" i="154"/>
  <c r="F13" i="36" s="1"/>
  <c r="E25" i="66"/>
  <c r="E32" i="66" s="1"/>
  <c r="E39" i="66" s="1"/>
  <c r="H33" i="110"/>
  <c r="N46" i="57"/>
  <c r="N51" i="57" s="1"/>
  <c r="K48" i="111"/>
  <c r="O245" i="73"/>
  <c r="F163" i="31"/>
  <c r="G242" i="111"/>
  <c r="AA16" i="22"/>
  <c r="A130" i="3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27" i="31"/>
  <c r="F64" i="31"/>
  <c r="F63" i="31" s="1"/>
  <c r="F79" i="31"/>
  <c r="F12" i="31"/>
  <c r="F10" i="31" s="1"/>
  <c r="F8"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48" i="31"/>
  <c r="D64" i="31"/>
  <c r="D63" i="31" s="1"/>
  <c r="C10" i="44" s="1"/>
  <c r="D123" i="30"/>
  <c r="D118" i="30" s="1"/>
  <c r="F44" i="30"/>
  <c r="F43" i="30" s="1"/>
  <c r="F63" i="30"/>
  <c r="F58" i="30" s="1"/>
  <c r="D63" i="30"/>
  <c r="B118" i="54"/>
  <c r="D8" i="31"/>
  <c r="C34" i="152"/>
  <c r="I14" i="153"/>
  <c r="K22" i="22"/>
  <c r="I7" i="153"/>
  <c r="I6" i="153" s="1"/>
  <c r="G48" i="111"/>
  <c r="P245" i="73"/>
  <c r="Z49" i="21"/>
  <c r="C17" i="152"/>
  <c r="E17" i="152" s="1"/>
  <c r="C16" i="152"/>
  <c r="E16" i="152" s="1"/>
  <c r="C14" i="152"/>
  <c r="E14" i="152" s="1"/>
  <c r="C18" i="152"/>
  <c r="E18" i="152" s="1"/>
  <c r="C15" i="152"/>
  <c r="E15" i="152" s="1"/>
  <c r="M23" i="160"/>
  <c r="C12" i="152"/>
  <c r="E12" i="152" s="1"/>
  <c r="C6" i="152"/>
  <c r="F133" i="35"/>
  <c r="H22" i="110"/>
  <c r="J39" i="66"/>
  <c r="D178" i="31" s="1"/>
  <c r="J17" i="145"/>
  <c r="I48" i="111"/>
  <c r="H40" i="111"/>
  <c r="K91" i="111"/>
  <c r="L81" i="110"/>
  <c r="M81" i="110" s="1"/>
  <c r="H81" i="110"/>
  <c r="T49" i="21"/>
  <c r="E91" i="111"/>
  <c r="U7" i="61"/>
  <c r="V7" i="61"/>
  <c r="B8" i="54"/>
  <c r="AA47" i="120"/>
  <c r="C9" i="152"/>
  <c r="E9" i="152" s="1"/>
  <c r="H46" i="58"/>
  <c r="M166" i="76"/>
  <c r="T27" i="61"/>
  <c r="U27" i="61" s="1"/>
  <c r="AE38" i="120"/>
  <c r="B58" i="54"/>
  <c r="F58" i="35"/>
  <c r="F57" i="35" s="1"/>
  <c r="AB47" i="120"/>
  <c r="E21" i="164" s="1"/>
  <c r="G21" i="164" s="1"/>
  <c r="K39" i="66"/>
  <c r="J18" i="68"/>
  <c r="H98" i="111"/>
  <c r="AC38" i="120"/>
  <c r="AD38" i="120"/>
  <c r="F9" i="34"/>
  <c r="F7" i="34" s="1"/>
  <c r="C7" i="34"/>
  <c r="V27" i="61"/>
  <c r="L143" i="111"/>
  <c r="J141" i="111"/>
  <c r="L141" i="111" s="1"/>
  <c r="H39" i="66"/>
  <c r="J20" i="145"/>
  <c r="T12" i="61"/>
  <c r="J27" i="61"/>
  <c r="I46"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I13" i="153" s="1"/>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F69" i="31"/>
  <c r="C4" i="44"/>
  <c r="F40" i="111"/>
  <c r="F81" i="111" s="1"/>
  <c r="F256" i="111" s="1"/>
  <c r="E20" i="152"/>
  <c r="B65" i="54"/>
  <c r="F65" i="35"/>
  <c r="D11" i="162"/>
  <c r="B22" i="29" s="1"/>
  <c r="B13" i="162"/>
  <c r="C13" i="34" s="1"/>
  <c r="C14" i="34" s="1"/>
  <c r="W49" i="21"/>
  <c r="C66" i="35"/>
  <c r="C64" i="35" s="1"/>
  <c r="G836" i="52"/>
  <c r="D75" i="35"/>
  <c r="D74" i="35" s="1"/>
  <c r="D142" i="35" s="1"/>
  <c r="F39" i="66"/>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E255" i="111"/>
  <c r="K255" i="111"/>
  <c r="G255" i="111"/>
  <c r="F83" i="47"/>
  <c r="G13" i="111"/>
  <c r="K13" i="111"/>
  <c r="E13" i="111"/>
  <c r="G27" i="111"/>
  <c r="G21" i="67"/>
  <c r="L14" i="154"/>
  <c r="D79" i="31"/>
  <c r="D69" i="31" s="1"/>
  <c r="O64" i="110"/>
  <c r="Q63" i="110"/>
  <c r="R63" i="110" s="1"/>
  <c r="J10" i="145"/>
  <c r="J12" i="145" s="1"/>
  <c r="E17" i="164" s="1"/>
  <c r="G17" i="164" s="1"/>
  <c r="D7" i="163"/>
  <c r="AC6" i="120"/>
  <c r="F20" i="12"/>
  <c r="C6" i="37"/>
  <c r="F6" i="37" s="1"/>
  <c r="G55" i="111"/>
  <c r="E55" i="111"/>
  <c r="G109" i="111"/>
  <c r="E109" i="111"/>
  <c r="AA22" i="22"/>
  <c r="H110" i="111"/>
  <c r="H202" i="111" s="1"/>
  <c r="I202" i="111" s="1"/>
  <c r="B138" i="54"/>
  <c r="B137" i="54" s="1"/>
  <c r="F41" i="31"/>
  <c r="F32" i="43"/>
  <c r="H73" i="110"/>
  <c r="L73" i="110"/>
  <c r="M73" i="110" s="1"/>
  <c r="E171" i="111"/>
  <c r="G171" i="111"/>
  <c r="D129" i="30" s="1"/>
  <c r="B77" i="54"/>
  <c r="C5" i="152"/>
  <c r="O103" i="110"/>
  <c r="B57" i="54"/>
  <c r="C76" i="35"/>
  <c r="C75" i="35" s="1"/>
  <c r="C48" i="35"/>
  <c r="R6" i="120"/>
  <c r="R47" i="120" s="1"/>
  <c r="E12" i="164" s="1"/>
  <c r="G12" i="164" s="1"/>
  <c r="AE6" i="120"/>
  <c r="S6" i="120"/>
  <c r="S47" i="120" s="1"/>
  <c r="AD7" i="120"/>
  <c r="AD6" i="120" s="1"/>
  <c r="Q6" i="120"/>
  <c r="Q47" i="120" s="1"/>
  <c r="AA40" i="21"/>
  <c r="AA8" i="21"/>
  <c r="B31" i="54"/>
  <c r="B48" i="54"/>
  <c r="B134" i="54"/>
  <c r="F49" i="35"/>
  <c r="F48" i="35" s="1"/>
  <c r="B109" i="54"/>
  <c r="C8" i="44"/>
  <c r="C6" i="44"/>
  <c r="G1265" i="51"/>
  <c r="G4" i="51"/>
  <c r="F118" i="30"/>
  <c r="D58" i="30"/>
  <c r="H12" i="145"/>
  <c r="L13" i="111"/>
  <c r="J81" i="111"/>
  <c r="J110" i="111"/>
  <c r="L111" i="111"/>
  <c r="G11" i="111"/>
  <c r="K11" i="111"/>
  <c r="E11" i="111"/>
  <c r="K21" i="106"/>
  <c r="N21" i="106" s="1"/>
  <c r="J21" i="106"/>
  <c r="U26" i="61"/>
  <c r="V26" i="61"/>
  <c r="F99" i="111"/>
  <c r="V11" i="61"/>
  <c r="K121" i="111"/>
  <c r="G121" i="111"/>
  <c r="E121" i="111"/>
  <c r="D111" i="111"/>
  <c r="L98" i="111"/>
  <c r="J99" i="111"/>
  <c r="L99" i="111" s="1"/>
  <c r="C133" i="35"/>
  <c r="E26" i="152"/>
  <c r="E19" i="152" s="1"/>
  <c r="C67" i="35"/>
  <c r="F68" i="35"/>
  <c r="F67" i="35" s="1"/>
  <c r="B68" i="54"/>
  <c r="B67" i="54" s="1"/>
  <c r="E82" i="111"/>
  <c r="G82" i="111"/>
  <c r="K82" i="111"/>
  <c r="D98" i="111"/>
  <c r="E40" i="152"/>
  <c r="C5" i="44"/>
  <c r="D89" i="31"/>
  <c r="C48" i="11"/>
  <c r="C7" i="46"/>
  <c r="D7" i="46" s="1"/>
  <c r="F47" i="11"/>
  <c r="F46" i="35"/>
  <c r="F39" i="35" s="1"/>
  <c r="B46" i="54"/>
  <c r="B39" i="54" s="1"/>
  <c r="C39" i="35"/>
  <c r="E51" i="57"/>
  <c r="Y51" i="57" s="1"/>
  <c r="AC51" i="57" s="1"/>
  <c r="D16" i="48"/>
  <c r="E16" i="48" s="1"/>
  <c r="E97" i="31" s="1"/>
  <c r="F97" i="31" s="1"/>
  <c r="D19" i="48"/>
  <c r="E19" i="48" s="1"/>
  <c r="D20" i="48"/>
  <c r="E20" i="48" s="1"/>
  <c r="D17" i="48"/>
  <c r="E17" i="48" s="1"/>
  <c r="E100" i="31" s="1"/>
  <c r="F100" i="31" s="1"/>
  <c r="F98" i="31" s="1"/>
  <c r="D11" i="48"/>
  <c r="E11" i="48" s="1"/>
  <c r="D10" i="48"/>
  <c r="E10" i="48" s="1"/>
  <c r="D8" i="48"/>
  <c r="E8" i="48" s="1"/>
  <c r="D13" i="48"/>
  <c r="E13" i="48" s="1"/>
  <c r="D14" i="48"/>
  <c r="E14" i="48" s="1"/>
  <c r="D7" i="48"/>
  <c r="E7" i="48" s="1"/>
  <c r="D25" i="48"/>
  <c r="E25" i="48" s="1"/>
  <c r="D26" i="48"/>
  <c r="E26" i="48" s="1"/>
  <c r="E147" i="31" s="1"/>
  <c r="F147" i="31" s="1"/>
  <c r="D23" i="48"/>
  <c r="E23" i="48" s="1"/>
  <c r="E143" i="31" s="1"/>
  <c r="F143" i="31" s="1"/>
  <c r="F141" i="31" s="1"/>
  <c r="D22" i="48"/>
  <c r="E22" i="48" s="1"/>
  <c r="E140" i="31" s="1"/>
  <c r="F140" i="31" s="1"/>
  <c r="B7" i="54" l="1"/>
  <c r="D179" i="31"/>
  <c r="I110" i="111"/>
  <c r="K49" i="13"/>
  <c r="Y46" i="57"/>
  <c r="AC46" i="57" s="1"/>
  <c r="D13" i="162"/>
  <c r="F13" i="34" s="1"/>
  <c r="F14" i="34" s="1"/>
  <c r="B19" i="29" s="1"/>
  <c r="E7" i="152"/>
  <c r="I5" i="153"/>
  <c r="I24" i="153" s="1"/>
  <c r="AF47" i="120"/>
  <c r="D59" i="164"/>
  <c r="E42" i="164"/>
  <c r="G42" i="164" s="1"/>
  <c r="AD47" i="120"/>
  <c r="D58" i="164"/>
  <c r="D143" i="35"/>
  <c r="D144" i="35" s="1"/>
  <c r="H104" i="110"/>
  <c r="A125" i="30"/>
  <c r="A128" i="30" s="1"/>
  <c r="A129" i="30" s="1"/>
  <c r="A130" i="30" s="1"/>
  <c r="A172" i="31"/>
  <c r="A173" i="31" s="1"/>
  <c r="A174" i="31" s="1"/>
  <c r="A175" i="31" s="1"/>
  <c r="A176" i="31" s="1"/>
  <c r="A177" i="31" s="1"/>
  <c r="A178" i="31" s="1"/>
  <c r="A179" i="31" s="1"/>
  <c r="A180" i="31" s="1"/>
  <c r="B64" i="164"/>
  <c r="B65" i="164" s="1"/>
  <c r="B66" i="164" s="1"/>
  <c r="AC47" i="120"/>
  <c r="I40" i="111"/>
  <c r="H81" i="111"/>
  <c r="I81" i="111" s="1"/>
  <c r="E13" i="152"/>
  <c r="J23" i="145"/>
  <c r="E20" i="164" s="1"/>
  <c r="G20" i="164" s="1"/>
  <c r="I98" i="111"/>
  <c r="H99" i="111"/>
  <c r="I99" i="111" s="1"/>
  <c r="AE47" i="120"/>
  <c r="G26" i="160"/>
  <c r="F27" i="160"/>
  <c r="H37" i="160"/>
  <c r="G32" i="160"/>
  <c r="G37" i="160"/>
  <c r="H27" i="160"/>
  <c r="G27" i="160"/>
  <c r="F36" i="160"/>
  <c r="F31" i="160"/>
  <c r="H31" i="160"/>
  <c r="H36" i="160"/>
  <c r="F26" i="160"/>
  <c r="F32" i="160"/>
  <c r="H26" i="160"/>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Q103" i="110"/>
  <c r="R103" i="110" s="1"/>
  <c r="AA49" i="21"/>
  <c r="G13" i="29"/>
  <c r="G14" i="29" s="1"/>
  <c r="L104" i="110"/>
  <c r="M104" i="110" s="1"/>
  <c r="Q101" i="110"/>
  <c r="R101" i="110" s="1"/>
  <c r="O104" i="110"/>
  <c r="F23" i="43"/>
  <c r="F129" i="30"/>
  <c r="B14" i="29" s="1"/>
  <c r="G45" i="66"/>
  <c r="D29" i="31" s="1"/>
  <c r="D27"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B6" i="54"/>
  <c r="B5" i="54" s="1"/>
  <c r="E145" i="31"/>
  <c r="F145" i="31" s="1"/>
  <c r="F144" i="31" s="1"/>
  <c r="E159" i="31"/>
  <c r="F159" i="31" s="1"/>
  <c r="I14" i="48"/>
  <c r="H14" i="48"/>
  <c r="I7" i="48"/>
  <c r="H7" i="48"/>
  <c r="I13" i="48"/>
  <c r="H13" i="48"/>
  <c r="I8" i="48"/>
  <c r="H8" i="48"/>
  <c r="I10" i="48"/>
  <c r="H10" i="48"/>
  <c r="H11" i="48"/>
  <c r="I11" i="48"/>
  <c r="E104" i="31"/>
  <c r="F104" i="31" s="1"/>
  <c r="E33" i="30"/>
  <c r="F33" i="30" s="1"/>
  <c r="E95" i="30"/>
  <c r="F95" i="30" s="1"/>
  <c r="F139" i="31"/>
  <c r="E52" i="30"/>
  <c r="F52" i="30" s="1"/>
  <c r="F51" i="30" s="1"/>
  <c r="E112" i="30"/>
  <c r="F112" i="30" s="1"/>
  <c r="F111" i="30" s="1"/>
  <c r="E31" i="30"/>
  <c r="F31" i="30" s="1"/>
  <c r="E117" i="31"/>
  <c r="F117" i="31" s="1"/>
  <c r="E102" i="31"/>
  <c r="F102" i="31" s="1"/>
  <c r="E93" i="30"/>
  <c r="F93" i="30" s="1"/>
  <c r="F96" i="31"/>
  <c r="E6" i="152" l="1"/>
  <c r="E5" i="152" s="1"/>
  <c r="F7" i="37"/>
  <c r="F10" i="37" s="1"/>
  <c r="B24" i="29" s="1"/>
  <c r="C7" i="37"/>
  <c r="C10" i="37" s="1"/>
  <c r="H25" i="160"/>
  <c r="H23" i="160" s="1"/>
  <c r="F30" i="160"/>
  <c r="D66" i="164"/>
  <c r="G30" i="160"/>
  <c r="G28" i="160" s="1"/>
  <c r="B140" i="54"/>
  <c r="F35" i="160"/>
  <c r="D43" i="164"/>
  <c r="D42" i="164"/>
  <c r="H256" i="111"/>
  <c r="I256" i="111" s="1"/>
  <c r="C32" i="152"/>
  <c r="C4" i="152" s="1"/>
  <c r="C63" i="152" s="1"/>
  <c r="G25" i="160"/>
  <c r="E34" i="152"/>
  <c r="E33" i="152" s="1"/>
  <c r="F25" i="160"/>
  <c r="E47" i="152"/>
  <c r="E46" i="152" s="1"/>
  <c r="H30" i="160"/>
  <c r="H28" i="160" s="1"/>
  <c r="H22" i="160" s="1"/>
  <c r="C143" i="35"/>
  <c r="G35" i="160"/>
  <c r="G33" i="160" s="1"/>
  <c r="F131" i="32"/>
  <c r="F33" i="160"/>
  <c r="H35" i="160"/>
  <c r="H33" i="160" s="1"/>
  <c r="D38" i="31" s="1"/>
  <c r="E40" i="111"/>
  <c r="K40" i="111"/>
  <c r="D81" i="111"/>
  <c r="G40" i="111"/>
  <c r="F11" i="48"/>
  <c r="G11" i="48" s="1"/>
  <c r="J11" i="48" s="1"/>
  <c r="E32" i="31" s="1"/>
  <c r="F32" i="31" s="1"/>
  <c r="C4" i="35"/>
  <c r="C72" i="35" s="1"/>
  <c r="F72" i="35" s="1"/>
  <c r="Q104" i="110"/>
  <c r="R104" i="110" s="1"/>
  <c r="F4" i="35"/>
  <c r="C70" i="35" s="1"/>
  <c r="F70" i="35" s="1"/>
  <c r="C71" i="35" s="1"/>
  <c r="F14" i="48"/>
  <c r="G14" i="48" s="1"/>
  <c r="F13" i="48"/>
  <c r="G13" i="48" s="1"/>
  <c r="J13" i="48" s="1"/>
  <c r="F7" i="48"/>
  <c r="G7" i="48" s="1"/>
  <c r="J7" i="48" s="1"/>
  <c r="E28" i="31" s="1"/>
  <c r="F28" i="31" s="1"/>
  <c r="F4" i="37"/>
  <c r="D202" i="111"/>
  <c r="G110" i="111"/>
  <c r="E110" i="111"/>
  <c r="K110" i="111"/>
  <c r="E99" i="111"/>
  <c r="K99" i="111"/>
  <c r="G99" i="111"/>
  <c r="J256" i="111"/>
  <c r="L256" i="111" s="1"/>
  <c r="B70" i="54"/>
  <c r="C38" i="54" s="1"/>
  <c r="D38" i="54" s="1"/>
  <c r="J10" i="48"/>
  <c r="E31" i="31" s="1"/>
  <c r="F31" i="31" s="1"/>
  <c r="J8" i="48"/>
  <c r="E29" i="31" s="1"/>
  <c r="F29" i="31" s="1"/>
  <c r="F101" i="31"/>
  <c r="F92" i="30"/>
  <c r="F30" i="30"/>
  <c r="E32" i="152" l="1"/>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71" i="30" s="1"/>
  <c r="F70" i="30" s="1"/>
  <c r="F125" i="35"/>
  <c r="D21" i="30"/>
  <c r="F23" i="160"/>
  <c r="F22" i="160" s="1"/>
  <c r="D36" i="31"/>
  <c r="D34" i="31" s="1"/>
  <c r="D26" i="31" s="1"/>
  <c r="F38" i="31"/>
  <c r="F36" i="31" s="1"/>
  <c r="F34" i="31" s="1"/>
  <c r="G23" i="160"/>
  <c r="G22" i="160" s="1"/>
  <c r="D9" i="30"/>
  <c r="K81" i="111"/>
  <c r="G81" i="111"/>
  <c r="E81" i="111"/>
  <c r="E40" i="31"/>
  <c r="F40" i="31" s="1"/>
  <c r="E87" i="30"/>
  <c r="F87" i="30" s="1"/>
  <c r="J14" i="48"/>
  <c r="E46" i="31"/>
  <c r="F46" i="31" s="1"/>
  <c r="F45" i="31" s="1"/>
  <c r="E108" i="30"/>
  <c r="F108" i="30" s="1"/>
  <c r="F107" i="30" s="1"/>
  <c r="G202" i="111"/>
  <c r="K202" i="111"/>
  <c r="E202" i="111"/>
  <c r="D256" i="111"/>
  <c r="F30"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F47" i="30" s="1"/>
  <c r="E25" i="30"/>
  <c r="F25" i="30" s="1"/>
  <c r="F27" i="31"/>
  <c r="E77" i="54" l="1"/>
  <c r="D71" i="30"/>
  <c r="D70" i="30" s="1"/>
  <c r="E135" i="54"/>
  <c r="E134" i="54" s="1"/>
  <c r="E133" i="54" s="1"/>
  <c r="E119" i="54"/>
  <c r="E127" i="54"/>
  <c r="D119" i="54"/>
  <c r="D137" i="54"/>
  <c r="E137" i="54"/>
  <c r="E109" i="54"/>
  <c r="D82" i="30"/>
  <c r="D85" i="30" s="1"/>
  <c r="F85" i="30" s="1"/>
  <c r="F83" i="30"/>
  <c r="F82" i="30" s="1"/>
  <c r="F119" i="35"/>
  <c r="F118" i="35" s="1"/>
  <c r="F75" i="35" s="1"/>
  <c r="F74" i="35" s="1"/>
  <c r="C140" i="35" s="1"/>
  <c r="F140" i="35" s="1"/>
  <c r="C141" i="35" s="1"/>
  <c r="D109" i="54"/>
  <c r="D77" i="54"/>
  <c r="D127" i="54"/>
  <c r="F9" i="30"/>
  <c r="F7" i="30" s="1"/>
  <c r="F6" i="30" s="1"/>
  <c r="D7" i="30"/>
  <c r="D6" i="30" s="1"/>
  <c r="D7" i="31"/>
  <c r="C7" i="44"/>
  <c r="F21" i="30"/>
  <c r="F20" i="30" s="1"/>
  <c r="D20" i="30"/>
  <c r="E27" i="30"/>
  <c r="F27" i="30" s="1"/>
  <c r="F24" i="30" s="1"/>
  <c r="E89" i="30"/>
  <c r="F89" i="30" s="1"/>
  <c r="F86" i="30" s="1"/>
  <c r="D133" i="54"/>
  <c r="C7" i="54"/>
  <c r="E20" i="104"/>
  <c r="E15" i="104"/>
  <c r="E18" i="104"/>
  <c r="E16" i="104"/>
  <c r="D156" i="31" s="1"/>
  <c r="E19" i="104"/>
  <c r="E11" i="104"/>
  <c r="E13" i="104"/>
  <c r="D60" i="31" s="1"/>
  <c r="E12" i="104"/>
  <c r="D57" i="31" s="1"/>
  <c r="E21" i="104"/>
  <c r="E118" i="54"/>
  <c r="E42" i="31"/>
  <c r="F42" i="31" s="1"/>
  <c r="F39" i="31" s="1"/>
  <c r="F26" i="31"/>
  <c r="B18" i="29" s="1"/>
  <c r="G256" i="111"/>
  <c r="E256" i="111"/>
  <c r="K256" i="111"/>
  <c r="C64" i="54"/>
  <c r="D65" i="54"/>
  <c r="D64" i="54" s="1"/>
  <c r="D8" i="54"/>
  <c r="D7" i="54" s="1"/>
  <c r="D40" i="54"/>
  <c r="D39" i="54" s="1"/>
  <c r="C39" i="54"/>
  <c r="D50" i="54"/>
  <c r="D49" i="54" s="1"/>
  <c r="C49" i="54"/>
  <c r="D58" i="54"/>
  <c r="D57" i="54" s="1"/>
  <c r="C57" i="54"/>
  <c r="C67" i="54"/>
  <c r="D68" i="54"/>
  <c r="D67" i="54" s="1"/>
  <c r="F80" i="30" l="1"/>
  <c r="E76" i="54"/>
  <c r="D118" i="54"/>
  <c r="D80" i="30"/>
  <c r="D76" i="54"/>
  <c r="E75" i="54"/>
  <c r="E140" i="54" s="1"/>
  <c r="E141" i="54" s="1"/>
  <c r="E141" i="35" s="1"/>
  <c r="F141" i="35" s="1"/>
  <c r="F143" i="35" s="1"/>
  <c r="B21" i="29" s="1"/>
  <c r="D23" i="30"/>
  <c r="F23" i="30" s="1"/>
  <c r="F18" i="30" s="1"/>
  <c r="F57" i="31"/>
  <c r="F56" i="31" s="1"/>
  <c r="D56" i="31"/>
  <c r="F60" i="31"/>
  <c r="F59" i="31" s="1"/>
  <c r="D59" i="31"/>
  <c r="E14" i="104"/>
  <c r="D53" i="31"/>
  <c r="F156" i="31"/>
  <c r="F155" i="31" s="1"/>
  <c r="D155" i="31"/>
  <c r="D130" i="31" s="1"/>
  <c r="D41" i="30"/>
  <c r="E22" i="104"/>
  <c r="D114" i="31"/>
  <c r="E17" i="104"/>
  <c r="D103" i="30"/>
  <c r="C48" i="54"/>
  <c r="C6" i="54"/>
  <c r="F7" i="31"/>
  <c r="D63" i="54"/>
  <c r="C63" i="54"/>
  <c r="D48" i="54"/>
  <c r="D6" i="54"/>
  <c r="D75" i="54" l="1"/>
  <c r="D140" i="54" s="1"/>
  <c r="D18" i="30"/>
  <c r="C5" i="54"/>
  <c r="D55" i="31"/>
  <c r="D113" i="31"/>
  <c r="F114" i="31"/>
  <c r="F113" i="31" s="1"/>
  <c r="F87" i="31" s="1"/>
  <c r="F53" i="31"/>
  <c r="F52" i="31" s="1"/>
  <c r="D52" i="31"/>
  <c r="E23" i="104"/>
  <c r="D40" i="30"/>
  <c r="F41" i="30"/>
  <c r="F40" i="30" s="1"/>
  <c r="F16" i="30" s="1"/>
  <c r="F5" i="30" s="1"/>
  <c r="D102" i="30"/>
  <c r="D78" i="30" s="1"/>
  <c r="D69" i="30" s="1"/>
  <c r="F103" i="30"/>
  <c r="F102" i="30" s="1"/>
  <c r="F78" i="30" s="1"/>
  <c r="F69" i="30" s="1"/>
  <c r="F55" i="31"/>
  <c r="C70" i="54"/>
  <c r="D5" i="54"/>
  <c r="D70" i="54" s="1"/>
  <c r="D16" i="30" l="1"/>
  <c r="D5" i="30" s="1"/>
  <c r="D130" i="30" s="1"/>
  <c r="D71" i="54"/>
  <c r="E71" i="35" s="1"/>
  <c r="F71" i="35" s="1"/>
  <c r="F73" i="35" s="1"/>
  <c r="D51" i="31"/>
  <c r="D50" i="31" s="1"/>
  <c r="C9" i="44" s="1"/>
  <c r="C11" i="44" s="1"/>
  <c r="F51" i="31"/>
  <c r="F50" i="31" s="1"/>
  <c r="F130" i="30"/>
  <c r="B12" i="29" s="1"/>
  <c r="B13" i="29" s="1"/>
  <c r="D172" i="31"/>
  <c r="F172" i="31" s="1"/>
  <c r="D87" i="31"/>
  <c r="D86" i="31" s="1"/>
  <c r="D5" i="31" l="1"/>
  <c r="D180" i="31" s="1"/>
  <c r="F144" i="35"/>
  <c r="B20" i="29"/>
  <c r="F130" i="31"/>
  <c r="F86" i="31" s="1"/>
  <c r="B17" i="29"/>
  <c r="D85" i="31"/>
  <c r="F5" i="31"/>
  <c r="D174" i="31"/>
  <c r="D4" i="44"/>
  <c r="E4" i="44" s="1"/>
  <c r="D7" i="44"/>
  <c r="E7" i="44" s="1"/>
  <c r="D9" i="44"/>
  <c r="E9" i="44" s="1"/>
  <c r="D8" i="44"/>
  <c r="E8" i="44" s="1"/>
  <c r="D10" i="44"/>
  <c r="E10" i="44" s="1"/>
  <c r="D5" i="44"/>
  <c r="E5" i="44" s="1"/>
  <c r="D6" i="44"/>
  <c r="E6" i="44" s="1"/>
  <c r="E11" i="44" l="1"/>
  <c r="E12" i="44" s="1"/>
  <c r="E174" i="31" l="1"/>
  <c r="F174" i="31" s="1"/>
  <c r="E85" i="31"/>
  <c r="F85" i="31" s="1"/>
  <c r="F180"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1" i="164" s="1"/>
  <c r="G8" i="164"/>
  <c r="C25" i="29"/>
  <c r="G49" i="164" l="1"/>
  <c r="G56" i="164" s="1"/>
  <c r="G57" i="164" l="1"/>
  <c r="E13" i="163" s="1"/>
  <c r="F13" i="163" s="1"/>
  <c r="G13" i="163" s="1"/>
  <c r="E14" i="164" s="1"/>
  <c r="G14" i="164" s="1"/>
  <c r="G32" i="164" s="1"/>
  <c r="G59" i="164" s="1"/>
  <c r="B27" i="29" s="1"/>
  <c r="B28" i="29" s="1"/>
  <c r="G58"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<sst xmlns="http://schemas.openxmlformats.org/spreadsheetml/2006/main" count="17416" uniqueCount="8577">
  <si>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</si>
  <si>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</si>
  <si>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</si>
  <si>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</si>
  <si>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</si>
  <si>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</si>
  <si>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</si>
  <si>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</si>
  <si>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</si>
  <si>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</si>
  <si>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</si>
  <si>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</si>
  <si>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</si>
  <si>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</si>
  <si>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</si>
  <si>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</si>
  <si>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</si>
  <si>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</si>
  <si>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</si>
  <si>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</si>
  <si>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</si>
  <si>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</si>
  <si>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</si>
  <si>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</si>
  <si>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</si>
  <si>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</si>
  <si>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</si>
  <si>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</si>
  <si>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</si>
  <si>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</si>
  <si>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</si>
  <si>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</si>
  <si>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</si>
  <si>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</si>
  <si>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</si>
  <si>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</si>
  <si>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</si>
  <si>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</si>
  <si>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</si>
  <si>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</si>
  <si>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</si>
  <si>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</si>
  <si>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</si>
  <si>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</si>
  <si>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</si>
  <si>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</si>
  <si>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</si>
  <si>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</si>
  <si>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</si>
  <si>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</si>
  <si>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</si>
  <si>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</si>
  <si>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</si>
  <si>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</si>
  <si>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</si>
  <si>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</si>
  <si>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</si>
  <si>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</si>
  <si>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</si>
  <si>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</si>
  <si>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</si>
  <si>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</si>
  <si>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</si>
  <si>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</si>
  <si>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</si>
  <si>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</si>
  <si>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</si>
  <si>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</si>
  <si>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</si>
  <si>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</si>
  <si>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</si>
  <si>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</si>
  <si>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</si>
  <si>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</si>
  <si>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</si>
  <si>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</si>
  <si>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</si>
  <si>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</si>
  <si>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</si>
  <si>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</si>
  <si>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</si>
  <si>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</si>
  <si>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</si>
  <si>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</si>
  <si>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</si>
  <si>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30" type="noConversion"/>
  </si>
  <si>
    <t>險別</t>
  </si>
  <si>
    <t>再保費收入</t>
  </si>
  <si>
    <t>再保賠款</t>
  </si>
  <si>
    <t>最近收盤日市價總金額</t>
  </si>
  <si>
    <t>發行公司</t>
  </si>
  <si>
    <t>到期日</t>
    <phoneticPr fontId="30" type="noConversion"/>
  </si>
  <si>
    <t>Herfindahl Index</t>
    <phoneticPr fontId="30" type="noConversion"/>
  </si>
  <si>
    <t>表30-12：核保風險之成長風險係數試算表</t>
    <phoneticPr fontId="30" type="noConversion"/>
  </si>
  <si>
    <t>一、自留賠款準備金之成長風險（3a.4）</t>
    <phoneticPr fontId="30" type="noConversion"/>
  </si>
  <si>
    <t>直接簽單保費</t>
    <phoneticPr fontId="30" type="noConversion"/>
  </si>
  <si>
    <t>再保費收入</t>
    <phoneticPr fontId="30" type="noConversion"/>
  </si>
  <si>
    <t>總保費收入</t>
    <phoneticPr fontId="30" type="noConversion"/>
  </si>
  <si>
    <t>年化倍數</t>
    <phoneticPr fontId="30" type="noConversion"/>
  </si>
  <si>
    <t>成長率</t>
    <phoneticPr fontId="30" type="noConversion"/>
  </si>
  <si>
    <t>(a)</t>
    <phoneticPr fontId="30" type="noConversion"/>
  </si>
  <si>
    <t>(b)</t>
    <phoneticPr fontId="30" type="noConversion"/>
  </si>
  <si>
    <t>(c)＝(a)＋(b)</t>
    <phoneticPr fontId="30" type="noConversion"/>
  </si>
  <si>
    <t>(d)註1</t>
    <phoneticPr fontId="30" type="noConversion"/>
  </si>
  <si>
    <t>(e)=[ (c)*(d)／前一年(c) ]－1</t>
    <phoneticPr fontId="30" type="noConversion"/>
  </si>
  <si>
    <t>(e)</t>
    <phoneticPr fontId="30" type="noConversion"/>
  </si>
  <si>
    <t xml:space="preserve"> (1)  當年度</t>
    <phoneticPr fontId="39" type="noConversion"/>
  </si>
  <si>
    <t xml:space="preserve"> (2)  前一年</t>
    <phoneticPr fontId="39" type="noConversion"/>
  </si>
  <si>
    <t xml:space="preserve"> (3)  前二年</t>
    <phoneticPr fontId="39" type="noConversion"/>
  </si>
  <si>
    <t xml:space="preserve"> (4)  前三年</t>
    <phoneticPr fontId="39" type="noConversion"/>
  </si>
  <si>
    <t xml:space="preserve"> (6)  過度成長率 = (5d) -10%；但介於0~30%</t>
    <phoneticPr fontId="39" type="noConversion"/>
  </si>
  <si>
    <t xml:space="preserve"> (7)  風險係數 = (6d) × 45%</t>
    <phoneticPr fontId="39" type="noConversion"/>
  </si>
  <si>
    <t>二、自留保費之成長風險（3b.4）</t>
    <phoneticPr fontId="30" type="noConversion"/>
  </si>
  <si>
    <t xml:space="preserve"> (8)  過度成長率 = (6)</t>
    <phoneticPr fontId="39" type="noConversion"/>
  </si>
  <si>
    <t xml:space="preserve"> (9)  風險係數 = (8) × 22.5%</t>
    <phoneticPr fontId="39" type="noConversion"/>
  </si>
  <si>
    <t>註1 總保費收入之數值，若僅為半年度之累積數，以乘2的倍數方式予以表示年化資料；如已為一年度之累積數，以乘以1的倍數方式表示年化資料。</t>
    <phoneticPr fontId="30" type="noConversion"/>
  </si>
  <si>
    <t>3b.2自留保費風險--非比例性業務</t>
    <phoneticPr fontId="30" type="noConversion"/>
  </si>
  <si>
    <t>自留保費總計</t>
    <phoneticPr fontId="30" type="noConversion"/>
  </si>
  <si>
    <t>Herfindahl Index</t>
    <phoneticPr fontId="30" type="noConversion"/>
  </si>
  <si>
    <t>Herfindahl Index 係數表</t>
    <phoneticPr fontId="30" type="noConversion"/>
  </si>
  <si>
    <t>係數</t>
    <phoneticPr fontId="30" type="noConversion"/>
  </si>
  <si>
    <t>備註</t>
    <phoneticPr fontId="30" type="noConversion"/>
  </si>
  <si>
    <t>(1)</t>
    <phoneticPr fontId="30" type="noConversion"/>
  </si>
  <si>
    <t>註</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</si>
  <si>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</si>
  <si>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</si>
  <si>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</si>
  <si>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</si>
  <si>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</si>
  <si>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(9)</t>
    <phoneticPr fontId="30" type="noConversion"/>
  </si>
  <si>
    <t>(10)(註1)</t>
    <phoneticPr fontId="30" type="noConversion"/>
  </si>
  <si>
    <t>(11)</t>
    <phoneticPr fontId="30" type="noConversion"/>
  </si>
  <si>
    <t>(12)=(10)/(9)</t>
    <phoneticPr fontId="30" type="noConversion"/>
  </si>
  <si>
    <t>(13)</t>
    <phoneticPr fontId="30" type="noConversion"/>
  </si>
  <si>
    <t>(14)(註1)</t>
    <phoneticPr fontId="30" type="noConversion"/>
  </si>
  <si>
    <t>(15)</t>
    <phoneticPr fontId="30" type="noConversion"/>
  </si>
  <si>
    <t>(16)=(14)/(13)</t>
    <phoneticPr fontId="30" type="noConversion"/>
  </si>
  <si>
    <t>國內再保業務</t>
    <phoneticPr fontId="32" type="noConversion"/>
  </si>
  <si>
    <t>(18)</t>
  </si>
  <si>
    <t>(19)</t>
  </si>
  <si>
    <t>(20)</t>
  </si>
  <si>
    <t>(21)</t>
  </si>
  <si>
    <t>(22)</t>
  </si>
  <si>
    <t>國外再保業務</t>
    <phoneticPr fontId="32" type="noConversion"/>
  </si>
  <si>
    <t>填報上半年度報表時, 上(半)年度係指前一年度自7/1至12/31之金額</t>
    <phoneticPr fontId="32" type="noConversion"/>
  </si>
  <si>
    <t>如為上半年度報表時, 自留滿期賠款(21)=(3)+(9)-(12)+(15)+(21)-(24)+(6)+(18)</t>
    <phoneticPr fontId="32" type="noConversion"/>
  </si>
  <si>
    <t>15</t>
    <phoneticPr fontId="32" type="noConversion"/>
  </si>
  <si>
    <t>代號</t>
  </si>
  <si>
    <t>是否為關係人</t>
  </si>
  <si>
    <t>再保險人</t>
  </si>
  <si>
    <t>評等等級請依最新信用評等機構評定填寫，若無者請填無。</t>
  </si>
  <si>
    <t>表19-3-1：未適格再保險準備明細表(財產再保險)</t>
    <phoneticPr fontId="32" type="noConversion"/>
  </si>
  <si>
    <t>單位：新台幣元,%</t>
    <phoneticPr fontId="30" type="noConversion"/>
  </si>
  <si>
    <t>再保險經紀人</t>
    <phoneticPr fontId="18" type="noConversion"/>
  </si>
  <si>
    <t>未逾九個月之已付賠款應攤回再保賠款與給付</t>
    <phoneticPr fontId="30" type="noConversion"/>
  </si>
  <si>
    <t>再保險存入保證金</t>
    <phoneticPr fontId="30" type="noConversion"/>
  </si>
  <si>
    <t>本期未適格再保險準備餘額</t>
    <phoneticPr fontId="30" type="noConversion"/>
  </si>
  <si>
    <t>上期未適格再保險準備餘額</t>
    <phoneticPr fontId="30" type="noConversion"/>
  </si>
  <si>
    <t>本期應增提或迴轉未適格再保險準備</t>
    <phoneticPr fontId="30" type="noConversion"/>
  </si>
  <si>
    <t>代號</t>
    <phoneticPr fontId="30" type="noConversion"/>
  </si>
  <si>
    <t>名稱</t>
    <phoneticPr fontId="30" type="noConversion"/>
  </si>
  <si>
    <t>信用評等機構</t>
    <phoneticPr fontId="30" type="noConversion"/>
  </si>
  <si>
    <t>評等等級</t>
    <phoneticPr fontId="30" type="noConversion"/>
  </si>
  <si>
    <t>是否為關係人</t>
    <phoneticPr fontId="30" type="noConversion"/>
  </si>
  <si>
    <t>代號</t>
    <phoneticPr fontId="18" type="noConversion"/>
  </si>
  <si>
    <t>名稱</t>
    <phoneticPr fontId="18" type="noConversion"/>
  </si>
  <si>
    <t>是否適格</t>
    <phoneticPr fontId="18" type="noConversion"/>
  </si>
  <si>
    <t>再保佣金收入</t>
  </si>
  <si>
    <t>再保險存入       保證金</t>
  </si>
  <si>
    <t>單位：新台幣元,%</t>
    <phoneticPr fontId="18" type="noConversion"/>
  </si>
  <si>
    <t>本期提存未適格再保險準備餘額
(15)=(11)+(12)+
(13)-(14)</t>
    <phoneticPr fontId="30" type="noConversion"/>
  </si>
  <si>
    <t>上期提存
未適格再保險準備餘額</t>
    <phoneticPr fontId="30" type="noConversion"/>
  </si>
  <si>
    <t>本期應增提或迴轉
未適格再保險準備</t>
    <phoneticPr fontId="30" type="noConversion"/>
  </si>
  <si>
    <t>發行機構信用評等</t>
    <phoneticPr fontId="30" type="noConversion"/>
  </si>
  <si>
    <t>Moody's</t>
    <phoneticPr fontId="30" type="noConversion"/>
  </si>
  <si>
    <t>(1)</t>
    <phoneticPr fontId="18" type="noConversion"/>
  </si>
  <si>
    <t>(2)</t>
    <phoneticPr fontId="18" type="noConversion"/>
  </si>
  <si>
    <t>(3)</t>
    <phoneticPr fontId="18" type="noConversion"/>
  </si>
  <si>
    <t>(4)</t>
    <phoneticPr fontId="18" type="noConversion"/>
  </si>
  <si>
    <t>列號</t>
    <phoneticPr fontId="32" type="noConversion"/>
  </si>
  <si>
    <t>備註</t>
    <phoneticPr fontId="32" type="noConversion"/>
  </si>
  <si>
    <t>列號</t>
    <phoneticPr fontId="30" type="noConversion"/>
  </si>
  <si>
    <t>金額</t>
    <phoneticPr fontId="30" type="noConversion"/>
  </si>
  <si>
    <t>(2)</t>
    <phoneticPr fontId="30" type="noConversion"/>
  </si>
  <si>
    <t>單位：新台幣元</t>
    <phoneticPr fontId="30" type="noConversion"/>
  </si>
  <si>
    <t>(22)</t>
    <phoneticPr fontId="30" type="noConversion"/>
  </si>
  <si>
    <t>轉再保賠款率</t>
    <phoneticPr fontId="32" type="noConversion"/>
  </si>
  <si>
    <t>合計</t>
    <phoneticPr fontId="32" type="noConversion"/>
  </si>
  <si>
    <t>註：</t>
    <phoneticPr fontId="30" type="noConversion"/>
  </si>
  <si>
    <t>攤回再保賠款係指帳列攤回已決再保賠款</t>
    <phoneticPr fontId="30" type="noConversion"/>
  </si>
  <si>
    <t>本年度</t>
    <phoneticPr fontId="32" type="noConversion"/>
  </si>
  <si>
    <t>上年度</t>
    <phoneticPr fontId="32" type="noConversion"/>
  </si>
  <si>
    <t>自留保費</t>
    <phoneticPr fontId="32" type="noConversion"/>
  </si>
  <si>
    <t>(14)</t>
    <phoneticPr fontId="32" type="noConversion"/>
  </si>
  <si>
    <t>(15)=(13)-(14)</t>
    <phoneticPr fontId="32" type="noConversion"/>
  </si>
  <si>
    <t>(16)</t>
    <phoneticPr fontId="32" type="noConversion"/>
  </si>
  <si>
    <t>(17)</t>
    <phoneticPr fontId="32" type="noConversion"/>
  </si>
  <si>
    <t>(18)=(16)-(17)</t>
    <phoneticPr fontId="32" type="noConversion"/>
  </si>
  <si>
    <t>(19)</t>
    <phoneticPr fontId="32" type="noConversion"/>
  </si>
  <si>
    <t>(20)</t>
    <phoneticPr fontId="32" type="noConversion"/>
  </si>
  <si>
    <t>(21)=(19)+(20)</t>
    <phoneticPr fontId="32" type="noConversion"/>
  </si>
  <si>
    <t>(22)</t>
    <phoneticPr fontId="32" type="noConversion"/>
  </si>
  <si>
    <t>(23)</t>
    <phoneticPr fontId="32" type="noConversion"/>
  </si>
  <si>
    <t>(24)=(22)+(23)</t>
    <phoneticPr fontId="32" type="noConversion"/>
  </si>
  <si>
    <t>表24-2：賠款準備金及自留滿期賠款計算表(人身再保險)</t>
    <phoneticPr fontId="32" type="noConversion"/>
  </si>
  <si>
    <t>已報未付</t>
    <phoneticPr fontId="32" type="noConversion"/>
  </si>
  <si>
    <t>已報未付</t>
    <phoneticPr fontId="32" type="noConversion"/>
  </si>
  <si>
    <t>再保賠款</t>
    <phoneticPr fontId="32" type="noConversion"/>
  </si>
  <si>
    <t>攤回再保賠款</t>
    <phoneticPr fontId="32" type="noConversion"/>
  </si>
  <si>
    <t>(3)=(1)-(2)</t>
    <phoneticPr fontId="32" type="noConversion"/>
  </si>
  <si>
    <t>(6)=(4)-(5)</t>
    <phoneticPr fontId="32" type="noConversion"/>
  </si>
  <si>
    <t>(9)=(7)+(8)</t>
    <phoneticPr fontId="32" type="noConversion"/>
  </si>
  <si>
    <t>(10)</t>
    <phoneticPr fontId="32" type="noConversion"/>
  </si>
  <si>
    <t>(11)</t>
    <phoneticPr fontId="32" type="noConversion"/>
  </si>
  <si>
    <t>(14)</t>
    <phoneticPr fontId="32" type="noConversion"/>
  </si>
  <si>
    <t>(15)=(13)-(14)</t>
    <phoneticPr fontId="32" type="noConversion"/>
  </si>
  <si>
    <t>(18)=(16)-(17)</t>
    <phoneticPr fontId="32" type="noConversion"/>
  </si>
  <si>
    <t>(21)=(19)+(20)</t>
    <phoneticPr fontId="32" type="noConversion"/>
  </si>
  <si>
    <t>(24)=(22)+(23)</t>
    <phoneticPr fontId="32" type="noConversion"/>
  </si>
  <si>
    <t>未實現損益</t>
    <phoneticPr fontId="30" type="noConversion"/>
  </si>
  <si>
    <t>保管銀行</t>
    <phoneticPr fontId="30" type="noConversion"/>
  </si>
  <si>
    <t>風險係數</t>
    <phoneticPr fontId="30" type="noConversion"/>
  </si>
  <si>
    <t>名稱</t>
  </si>
  <si>
    <t>評等等級</t>
  </si>
  <si>
    <t>信用評等機構</t>
  </si>
  <si>
    <t>(11)</t>
  </si>
  <si>
    <t>(12)</t>
  </si>
  <si>
    <t>列號</t>
  </si>
  <si>
    <t>備註</t>
  </si>
  <si>
    <t xml:space="preserve">  危     險     變     動     準     備</t>
    <phoneticPr fontId="32" type="noConversion"/>
  </si>
  <si>
    <t>異常業務損失準備</t>
    <phoneticPr fontId="32" type="noConversion"/>
  </si>
  <si>
    <t>3a.1自留賠款準備金風險--比例性業務</t>
    <phoneticPr fontId="30" type="noConversion"/>
  </si>
  <si>
    <t>再保險業</t>
    <phoneticPr fontId="32" type="noConversion"/>
  </si>
  <si>
    <t>( CENTRAL REINSURANCE CORPORATION )</t>
    <phoneticPr fontId="32" type="noConversion"/>
  </si>
  <si>
    <t>信用評等等級(註2)</t>
    <phoneticPr fontId="30" type="noConversion"/>
  </si>
  <si>
    <t>3.投資具控制與從屬關係之關係人貨幣型受益憑證</t>
    <phoneticPr fontId="30" type="noConversion"/>
  </si>
  <si>
    <t>4.投資非控制與從屬關係之關係人存款</t>
    <phoneticPr fontId="30" type="noConversion"/>
  </si>
  <si>
    <t>5.投資非控制與從屬關係之關係人債劵型受益憑證</t>
    <phoneticPr fontId="30" type="noConversion"/>
  </si>
  <si>
    <t>6.投資非控制與從屬關係之關係人貨幣型受益憑證</t>
    <phoneticPr fontId="30" type="noConversion"/>
  </si>
  <si>
    <t>非關係人總計(7＋8)</t>
    <phoneticPr fontId="30"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</si>
  <si>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30" type="noConversion"/>
  </si>
  <si>
    <t>單位：新台幣元</t>
  </si>
  <si>
    <t>(23)</t>
  </si>
  <si>
    <t>(24)</t>
  </si>
  <si>
    <t>(25)</t>
  </si>
  <si>
    <t>(26)</t>
  </si>
  <si>
    <t>(27)</t>
  </si>
  <si>
    <t>(28)</t>
  </si>
  <si>
    <t>(29)</t>
  </si>
  <si>
    <t>(30)</t>
  </si>
  <si>
    <t>3a.2自留賠款準備金風險--非比例性業務</t>
    <phoneticPr fontId="30" type="noConversion"/>
  </si>
  <si>
    <t>3b.1 自留保費風險-比例性業務</t>
    <phoneticPr fontId="30" type="noConversion"/>
  </si>
  <si>
    <t>航空保險(國外分入)</t>
    <phoneticPr fontId="32" type="noConversion"/>
  </si>
  <si>
    <t>工程保險(國外分入)</t>
    <phoneticPr fontId="32" type="noConversion"/>
  </si>
  <si>
    <t>其他保險(國外分入)</t>
    <phoneticPr fontId="32" type="noConversion"/>
  </si>
  <si>
    <t>政策性地震保險業務依據「住宅地震保險危險分散機制實施辦法」之規定提存</t>
    <phoneticPr fontId="32" type="noConversion"/>
  </si>
  <si>
    <t>表25-2：特別準備金計算表(人身再保險)</t>
    <phoneticPr fontId="30" type="noConversion"/>
  </si>
  <si>
    <t>註:</t>
  </si>
  <si>
    <t>單位：新台幣元,%</t>
    <phoneticPr fontId="18" type="noConversion"/>
  </si>
  <si>
    <t>表30-15：無評等不動產(REAT)及金融資產受益證券(含資產基礎證券)風險資本額計算表</t>
    <phoneticPr fontId="30" type="noConversion"/>
  </si>
  <si>
    <t>證券代碼 (註1)</t>
    <phoneticPr fontId="30" type="noConversion"/>
  </si>
  <si>
    <t>證券名稱</t>
    <phoneticPr fontId="30" type="noConversion"/>
  </si>
  <si>
    <t>資產金額</t>
    <phoneticPr fontId="30" type="noConversion"/>
  </si>
  <si>
    <t>風險係數(註2)</t>
    <phoneticPr fontId="30" type="noConversion"/>
  </si>
  <si>
    <t>證券風險係數代碼統一由財團法人保險事業發展中心編列</t>
    <phoneticPr fontId="30" type="noConversion"/>
  </si>
  <si>
    <t>證券風險係數由各公司自行計算後，送交主管機關審核，建立無評等之不動產(REAT)及金融資產受益證券(含資產基礎證券)風險係數資料庫，並將證券編碼後提供各公司填報計算</t>
    <phoneticPr fontId="30" type="noConversion"/>
  </si>
  <si>
    <t>建議之風險係數計算通式如下：</t>
    <phoneticPr fontId="30" type="noConversion"/>
  </si>
  <si>
    <t>表30-16：國外借券再投資風險資本額計算表</t>
    <phoneticPr fontId="30" type="noConversion"/>
  </si>
  <si>
    <t>證券種類</t>
    <phoneticPr fontId="30" type="noConversion"/>
  </si>
  <si>
    <t>票面利率</t>
    <phoneticPr fontId="30" type="noConversion"/>
  </si>
  <si>
    <t>付息方式</t>
    <phoneticPr fontId="30" type="noConversion"/>
  </si>
  <si>
    <t>總投資成本</t>
    <phoneticPr fontId="30" type="noConversion"/>
  </si>
  <si>
    <t>總投資市值</t>
    <phoneticPr fontId="30" type="noConversion"/>
  </si>
  <si>
    <t>項目</t>
  </si>
  <si>
    <t>(13)</t>
  </si>
  <si>
    <t>(14)</t>
  </si>
  <si>
    <t>(15)</t>
  </si>
  <si>
    <t>(16)</t>
  </si>
  <si>
    <t>(17)</t>
  </si>
  <si>
    <t>保留盈餘(累積虧損)</t>
  </si>
  <si>
    <t xml:space="preserve">    法定盈餘公積</t>
  </si>
  <si>
    <t xml:space="preserve">    特別盈餘公積</t>
  </si>
  <si>
    <t>表03：資產負債表</t>
    <phoneticPr fontId="32" type="noConversion"/>
  </si>
  <si>
    <t>單位：新台幣元,%</t>
    <phoneticPr fontId="32" type="noConversion"/>
  </si>
  <si>
    <t xml:space="preserve">本期 </t>
    <phoneticPr fontId="32" type="noConversion"/>
  </si>
  <si>
    <t>上期</t>
    <phoneticPr fontId="32" type="noConversion"/>
  </si>
  <si>
    <t>帳載金額比較增減</t>
    <phoneticPr fontId="32" type="noConversion"/>
  </si>
  <si>
    <t>本期</t>
    <phoneticPr fontId="32" type="noConversion"/>
  </si>
  <si>
    <t>帳載負債比較增減</t>
    <phoneticPr fontId="32" type="noConversion"/>
  </si>
  <si>
    <t>非認許資產</t>
    <phoneticPr fontId="30" type="noConversion"/>
  </si>
  <si>
    <t>淨認許資產</t>
    <phoneticPr fontId="30" type="noConversion"/>
  </si>
  <si>
    <t>帳載金額</t>
    <phoneticPr fontId="32" type="noConversion"/>
  </si>
  <si>
    <t>帳載金額%</t>
    <phoneticPr fontId="32" type="noConversion"/>
  </si>
  <si>
    <t>金額</t>
    <phoneticPr fontId="32" type="noConversion"/>
  </si>
  <si>
    <t>%</t>
    <phoneticPr fontId="32" type="noConversion"/>
  </si>
  <si>
    <t>(1)</t>
    <phoneticPr fontId="32" type="noConversion"/>
  </si>
  <si>
    <t>(3)</t>
    <phoneticPr fontId="30" type="noConversion"/>
  </si>
  <si>
    <t>(4)</t>
    <phoneticPr fontId="30" type="noConversion"/>
  </si>
  <si>
    <t>填報上半年度報表時, 上(半)年度係指前一年度自7/1至12/31之金額</t>
  </si>
  <si>
    <t>表22-3：自留保費明細表(財產再保險)</t>
    <phoneticPr fontId="32" type="noConversion"/>
  </si>
  <si>
    <t>單位：新台幣元</t>
    <phoneticPr fontId="18" type="noConversion"/>
  </si>
  <si>
    <t>險別</t>
    <phoneticPr fontId="32" type="noConversion"/>
  </si>
  <si>
    <t>比例性再保險業務</t>
    <phoneticPr fontId="32" type="noConversion"/>
  </si>
  <si>
    <t>非比例性再保險業務</t>
    <phoneticPr fontId="32" type="noConversion"/>
  </si>
  <si>
    <t>再保費支出</t>
    <phoneticPr fontId="32" type="noConversion"/>
  </si>
  <si>
    <t>(1)</t>
    <phoneticPr fontId="32" type="noConversion"/>
  </si>
  <si>
    <t>(3)=(1)-(2)</t>
    <phoneticPr fontId="32" type="noConversion"/>
  </si>
  <si>
    <t>(4)</t>
    <phoneticPr fontId="32" type="noConversion"/>
  </si>
  <si>
    <t>(6)=(4)-(5)</t>
    <phoneticPr fontId="32" type="noConversion"/>
  </si>
  <si>
    <t>(7)</t>
    <phoneticPr fontId="32" type="noConversion"/>
  </si>
  <si>
    <t>(9)=(7)-(8)</t>
    <phoneticPr fontId="32" type="noConversion"/>
  </si>
  <si>
    <t>(11)</t>
    <phoneticPr fontId="32" type="noConversion"/>
  </si>
  <si>
    <t>(12)=(10)-(11)</t>
    <phoneticPr fontId="32" type="noConversion"/>
  </si>
  <si>
    <t>註:</t>
    <phoneticPr fontId="32" type="noConversion"/>
  </si>
  <si>
    <t>表22-4：自留保費明細表(人身再保險)</t>
    <phoneticPr fontId="32" type="noConversion"/>
  </si>
  <si>
    <t>表23-1：未滿期保費準備金及自留滿期保費計算比較表(財產再保險)</t>
    <phoneticPr fontId="32" type="noConversion"/>
  </si>
  <si>
    <t>提存方式</t>
    <phoneticPr fontId="32" type="noConversion"/>
  </si>
  <si>
    <t>提存未
滿期保費準備</t>
    <phoneticPr fontId="32" type="noConversion"/>
  </si>
  <si>
    <t>收回上期未
滿期保費準備</t>
    <phoneticPr fontId="32" type="noConversion"/>
  </si>
  <si>
    <t>(3)</t>
    <phoneticPr fontId="32" type="noConversion"/>
  </si>
  <si>
    <t>(6)</t>
    <phoneticPr fontId="32" type="noConversion"/>
  </si>
  <si>
    <t>(13)</t>
    <phoneticPr fontId="32" type="noConversion"/>
  </si>
  <si>
    <t>長期業務之提存方式請另附件計算</t>
    <phoneticPr fontId="32" type="noConversion"/>
  </si>
  <si>
    <t>收回(上期)未
滿期保費準備</t>
    <phoneticPr fontId="32" type="noConversion"/>
  </si>
  <si>
    <t>表24-1：賠款準備金及自留滿期賠款計算表(財產再保險)</t>
    <phoneticPr fontId="32" type="noConversion"/>
  </si>
  <si>
    <t>單位：新台幣元</t>
    <phoneticPr fontId="18" type="noConversion"/>
  </si>
  <si>
    <t>列號</t>
    <phoneticPr fontId="32" type="noConversion"/>
  </si>
  <si>
    <t>比例性業務</t>
    <phoneticPr fontId="32" type="noConversion"/>
  </si>
  <si>
    <t>非比例性業務</t>
    <phoneticPr fontId="32" type="noConversion"/>
  </si>
  <si>
    <t>已報未付</t>
    <phoneticPr fontId="32" type="noConversion"/>
  </si>
  <si>
    <t>未報</t>
    <phoneticPr fontId="32" type="noConversion"/>
  </si>
  <si>
    <t>已報未付</t>
    <phoneticPr fontId="32" type="noConversion"/>
  </si>
  <si>
    <t>(25)=(3)+(9)-(12)+(15)+(21)-(24)</t>
    <phoneticPr fontId="32" type="noConversion"/>
  </si>
  <si>
    <t>再保賠款</t>
    <phoneticPr fontId="32" type="noConversion"/>
  </si>
  <si>
    <t>攤回再保賠款</t>
    <phoneticPr fontId="32" type="noConversion"/>
  </si>
  <si>
    <t>再保賠款</t>
    <phoneticPr fontId="32" type="noConversion"/>
  </si>
  <si>
    <t>(3)=(1)-(2)</t>
    <phoneticPr fontId="32" type="noConversion"/>
  </si>
  <si>
    <t>(6)=(4)-(5)</t>
    <phoneticPr fontId="32" type="noConversion"/>
  </si>
  <si>
    <t>(9)=(7)+(8)</t>
    <phoneticPr fontId="32" type="noConversion"/>
  </si>
  <si>
    <t>(10)</t>
    <phoneticPr fontId="32" type="noConversion"/>
  </si>
  <si>
    <t>(11)</t>
    <phoneticPr fontId="32" type="noConversion"/>
  </si>
  <si>
    <t>(12)=(10)+(11)</t>
    <phoneticPr fontId="32" type="noConversion"/>
  </si>
  <si>
    <t>(13)</t>
    <phoneticPr fontId="32" type="noConversion"/>
  </si>
  <si>
    <t>自留賠款</t>
    <phoneticPr fontId="32" type="noConversion"/>
  </si>
  <si>
    <t>(2)(註1)</t>
  </si>
  <si>
    <t>政策性住宅地震基本保險</t>
  </si>
  <si>
    <t>表20-1：分入再保險業務業績比較分析表(財產再保險)</t>
    <phoneticPr fontId="32" type="noConversion"/>
  </si>
  <si>
    <t>單位：新台幣元,%</t>
    <phoneticPr fontId="18" type="noConversion"/>
  </si>
  <si>
    <t>列號</t>
    <phoneticPr fontId="32" type="noConversion"/>
  </si>
  <si>
    <t>再保佣金支出</t>
    <phoneticPr fontId="32" type="noConversion"/>
  </si>
  <si>
    <t>再保分入賠款率</t>
    <phoneticPr fontId="32" type="noConversion"/>
  </si>
  <si>
    <t>(3)</t>
    <phoneticPr fontId="32" type="noConversion"/>
  </si>
  <si>
    <t>(4)=(2)/(1)</t>
    <phoneticPr fontId="32" type="noConversion"/>
  </si>
  <si>
    <t>(5)</t>
    <phoneticPr fontId="32" type="noConversion"/>
  </si>
  <si>
    <t>(6)(註1)</t>
    <phoneticPr fontId="32" type="noConversion"/>
  </si>
  <si>
    <t>(7)</t>
    <phoneticPr fontId="32" type="noConversion"/>
  </si>
  <si>
    <t>(8)=(6)/(5)</t>
    <phoneticPr fontId="32" type="noConversion"/>
  </si>
  <si>
    <t>(1)</t>
    <phoneticPr fontId="30"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</si>
  <si>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</si>
  <si>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</si>
  <si>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30" type="noConversion"/>
  </si>
  <si>
    <t>自留賠款準備金總計</t>
    <phoneticPr fontId="30" type="noConversion"/>
  </si>
  <si>
    <t>Herfindahl Index</t>
    <phoneticPr fontId="30" type="noConversion"/>
  </si>
  <si>
    <t>二、業務集中調整係數（3b.3）</t>
    <phoneticPr fontId="30" type="noConversion"/>
  </si>
  <si>
    <t>風險項目</t>
    <phoneticPr fontId="30" type="noConversion"/>
  </si>
  <si>
    <t>7.非關係人債券型共同基金(註4)</t>
    <phoneticPr fontId="30" type="noConversion"/>
  </si>
  <si>
    <t>8.非關係人貨幣型共同基金(註4)</t>
    <phoneticPr fontId="30" type="noConversion"/>
  </si>
  <si>
    <t>本項目資產不包含國外資產在內。</t>
    <phoneticPr fontId="30" type="noConversion"/>
  </si>
  <si>
    <t>E-MAIL</t>
    <phoneticPr fontId="32" type="noConversion"/>
  </si>
  <si>
    <t>無</t>
    <phoneticPr fontId="32" type="noConversion"/>
  </si>
  <si>
    <t>(2)</t>
    <phoneticPr fontId="32" type="noConversion"/>
  </si>
  <si>
    <t>(5)</t>
    <phoneticPr fontId="32" type="noConversion"/>
  </si>
  <si>
    <t>(8)</t>
    <phoneticPr fontId="32" type="noConversion"/>
  </si>
  <si>
    <t>(9)</t>
    <phoneticPr fontId="32" type="noConversion"/>
  </si>
  <si>
    <t>(10)</t>
    <phoneticPr fontId="32" type="noConversion"/>
  </si>
  <si>
    <t>人壽保險</t>
  </si>
  <si>
    <t>傷害保險</t>
  </si>
  <si>
    <t>年金保險</t>
  </si>
  <si>
    <t>財務再保險</t>
  </si>
  <si>
    <t>合計</t>
  </si>
  <si>
    <t>註：</t>
  </si>
  <si>
    <t>註:</t>
    <phoneticPr fontId="32" type="noConversion"/>
  </si>
  <si>
    <t>本年度損失率與15年平均損失率差</t>
    <phoneticPr fontId="32" type="noConversion"/>
  </si>
  <si>
    <t>列號</t>
    <phoneticPr fontId="30" type="noConversion"/>
  </si>
  <si>
    <t>(5)</t>
    <phoneticPr fontId="18" type="noConversion"/>
  </si>
  <si>
    <t>(6)</t>
    <phoneticPr fontId="18" type="noConversion"/>
  </si>
  <si>
    <t>Herfindahl Index</t>
  </si>
  <si>
    <t>關係人總計(1＋2＋3＋4＋5＋6)</t>
  </si>
  <si>
    <t>單位：新台幣元</t>
    <phoneticPr fontId="30" type="noConversion"/>
  </si>
  <si>
    <t>風險資本額</t>
    <phoneticPr fontId="30" type="noConversion"/>
  </si>
  <si>
    <t xml:space="preserve"> </t>
  </si>
  <si>
    <t>(3)</t>
    <phoneticPr fontId="30" type="noConversion"/>
  </si>
  <si>
    <t>特別準備</t>
    <phoneticPr fontId="32" type="noConversion"/>
  </si>
  <si>
    <t>自留滿期保費</t>
    <phoneticPr fontId="30" type="noConversion"/>
  </si>
  <si>
    <t>自留損失率</t>
    <phoneticPr fontId="32" type="noConversion"/>
  </si>
  <si>
    <t>最近15年度平均損失率</t>
    <phoneticPr fontId="32" type="noConversion"/>
  </si>
  <si>
    <t>(18)</t>
    <phoneticPr fontId="32" type="noConversion"/>
  </si>
  <si>
    <t>一年期住宅火災保險</t>
    <phoneticPr fontId="30" type="noConversion"/>
  </si>
  <si>
    <t>長期住宅火災保險</t>
    <phoneticPr fontId="30" type="noConversion"/>
  </si>
  <si>
    <t>一年期商業火災保險</t>
    <phoneticPr fontId="30" type="noConversion"/>
  </si>
  <si>
    <t>長期商業火災保險</t>
    <phoneticPr fontId="30" type="noConversion"/>
  </si>
  <si>
    <t>內陸運輸保險</t>
    <phoneticPr fontId="30" type="noConversion"/>
  </si>
  <si>
    <t>貨物運輸保險</t>
    <phoneticPr fontId="30" type="noConversion"/>
  </si>
  <si>
    <t>船體保險</t>
    <phoneticPr fontId="30" type="noConversion"/>
  </si>
  <si>
    <t>漁船保險</t>
    <phoneticPr fontId="30" type="noConversion"/>
  </si>
  <si>
    <t>航空保險</t>
    <phoneticPr fontId="30" type="noConversion"/>
  </si>
  <si>
    <t>一般自用汽車財產損失保險</t>
    <phoneticPr fontId="30" type="noConversion"/>
  </si>
  <si>
    <t>一般商業汽車財產損失保險</t>
    <phoneticPr fontId="30" type="noConversion"/>
  </si>
  <si>
    <t>一般自用汽車責任保險</t>
    <phoneticPr fontId="30" type="noConversion"/>
  </si>
  <si>
    <t>一般商業汽車責任保險</t>
    <phoneticPr fontId="30" type="noConversion"/>
  </si>
  <si>
    <t>強制自用汽車責任保險</t>
    <phoneticPr fontId="30" type="noConversion"/>
  </si>
  <si>
    <t>強制商業汽車責任保險</t>
    <phoneticPr fontId="30" type="noConversion"/>
  </si>
  <si>
    <t>強制機車責任保險</t>
    <phoneticPr fontId="30" type="noConversion"/>
  </si>
  <si>
    <t>一般責任保險</t>
    <phoneticPr fontId="30" type="noConversion"/>
  </si>
  <si>
    <t>專業責任保險</t>
    <phoneticPr fontId="30" type="noConversion"/>
  </si>
  <si>
    <t>工程保險</t>
    <phoneticPr fontId="30" type="noConversion"/>
  </si>
  <si>
    <t>核能保險</t>
    <phoneticPr fontId="30" type="noConversion"/>
  </si>
  <si>
    <t>保證保險</t>
    <phoneticPr fontId="30" type="noConversion"/>
  </si>
  <si>
    <t>信用保險</t>
    <phoneticPr fontId="30" type="noConversion"/>
  </si>
  <si>
    <t>其他財產保險</t>
    <phoneticPr fontId="30" type="noConversion"/>
  </si>
  <si>
    <t>傷害保險</t>
    <phoneticPr fontId="30" type="noConversion"/>
  </si>
  <si>
    <t>商業性地震保險</t>
    <phoneticPr fontId="30" type="noConversion"/>
  </si>
  <si>
    <t>個人綜合保險</t>
    <phoneticPr fontId="30" type="noConversion"/>
  </si>
  <si>
    <t>商業綜合保險</t>
    <phoneticPr fontId="30" type="noConversion"/>
  </si>
  <si>
    <t>颱風、洪水保險</t>
    <phoneticPr fontId="30" type="noConversion"/>
  </si>
  <si>
    <t>火災保險(國外分入)</t>
    <phoneticPr fontId="30" type="noConversion"/>
  </si>
  <si>
    <t>貨物海上保險(國外分入)</t>
    <phoneticPr fontId="32" type="noConversion"/>
  </si>
  <si>
    <t>船體保險(國外分入)</t>
    <phoneticPr fontId="32" type="noConversion"/>
  </si>
  <si>
    <t>漁船保險(國外分入)</t>
    <phoneticPr fontId="30" type="noConversion"/>
  </si>
  <si>
    <t>汽車保險(國外分入)</t>
    <phoneticPr fontId="32" type="noConversion"/>
  </si>
  <si>
    <t>本表險種分類比照產險業年度報表之險別，另依本公司特色將國外分進業務再細分為八種</t>
    <phoneticPr fontId="32" type="noConversion"/>
  </si>
  <si>
    <t>再保賠款係指帳列已決再保賠款</t>
    <phoneticPr fontId="32" type="noConversion"/>
  </si>
  <si>
    <t>表20-2：分入再保險業務業績比較分析表(人身再保險)</t>
    <phoneticPr fontId="32" type="noConversion"/>
  </si>
  <si>
    <t>列號</t>
    <phoneticPr fontId="30" type="noConversion"/>
  </si>
  <si>
    <t>險別</t>
    <phoneticPr fontId="30" type="noConversion"/>
  </si>
  <si>
    <t>註：</t>
    <phoneticPr fontId="30" type="noConversion"/>
  </si>
  <si>
    <t>再保賠款係指帳列已決再保賠款</t>
    <phoneticPr fontId="32" type="noConversion"/>
  </si>
  <si>
    <t>再保費支出</t>
  </si>
  <si>
    <t>攤回再保賠款</t>
  </si>
  <si>
    <t>表21-1：分出再保險業務業績比較分析表(財產再保險)</t>
    <phoneticPr fontId="30" type="noConversion"/>
  </si>
  <si>
    <t>險別</t>
    <phoneticPr fontId="30" type="noConversion"/>
  </si>
  <si>
    <t>國內</t>
    <phoneticPr fontId="30" type="noConversion"/>
  </si>
  <si>
    <t>國外</t>
    <phoneticPr fontId="30" type="noConversion"/>
  </si>
  <si>
    <t>再保佣金收入</t>
    <phoneticPr fontId="30" type="noConversion"/>
  </si>
  <si>
    <t>(5)=(2)-(4)</t>
    <phoneticPr fontId="30" type="noConversion"/>
  </si>
  <si>
    <t>(6)</t>
    <phoneticPr fontId="30" type="noConversion"/>
  </si>
  <si>
    <t>%</t>
    <phoneticPr fontId="32" type="noConversion"/>
  </si>
  <si>
    <t>(1)</t>
    <phoneticPr fontId="32" type="noConversion"/>
  </si>
  <si>
    <t>(12)</t>
    <phoneticPr fontId="32" type="noConversion"/>
  </si>
  <si>
    <t>(10)</t>
    <phoneticPr fontId="30" type="noConversion"/>
  </si>
  <si>
    <t>(12)</t>
    <phoneticPr fontId="30" type="noConversion"/>
  </si>
  <si>
    <t>表30-11：核保風險之損失及業務集中調整係數試算表</t>
    <phoneticPr fontId="30" type="noConversion"/>
  </si>
  <si>
    <t>一、損失集中調整係數（3a.3）</t>
    <phoneticPr fontId="30" type="noConversion"/>
  </si>
  <si>
    <t>風險項目</t>
    <phoneticPr fontId="30" type="noConversion"/>
  </si>
  <si>
    <t>(8)</t>
    <phoneticPr fontId="30" type="noConversion"/>
  </si>
  <si>
    <t>(9)</t>
    <phoneticPr fontId="30" type="noConversion"/>
  </si>
  <si>
    <t>(10)</t>
    <phoneticPr fontId="30" type="noConversion"/>
  </si>
  <si>
    <t>(11)</t>
    <phoneticPr fontId="30" type="noConversion"/>
  </si>
  <si>
    <t>(13)</t>
    <phoneticPr fontId="30" type="noConversion"/>
  </si>
  <si>
    <t>(14)</t>
    <phoneticPr fontId="30" type="noConversion"/>
  </si>
  <si>
    <t>(15)</t>
    <phoneticPr fontId="30" type="noConversion"/>
  </si>
  <si>
    <t>(16)</t>
    <phoneticPr fontId="30" type="noConversion"/>
  </si>
  <si>
    <t>(17)</t>
    <phoneticPr fontId="30" type="noConversion"/>
  </si>
  <si>
    <t>(18)</t>
    <phoneticPr fontId="30" type="noConversion"/>
  </si>
  <si>
    <t>(19)</t>
    <phoneticPr fontId="30" type="noConversion"/>
  </si>
  <si>
    <t>(20)</t>
    <phoneticPr fontId="30" type="noConversion"/>
  </si>
  <si>
    <t>(21)</t>
    <phoneticPr fontId="30" type="noConversion"/>
  </si>
  <si>
    <t>小計</t>
    <phoneticPr fontId="30" type="noConversion"/>
  </si>
  <si>
    <t>2</t>
    <phoneticPr fontId="30" type="noConversion"/>
  </si>
  <si>
    <t>(12)</t>
    <phoneticPr fontId="30" type="noConversion"/>
  </si>
  <si>
    <t>合計</t>
    <phoneticPr fontId="30" type="noConversion"/>
  </si>
  <si>
    <t>2</t>
    <phoneticPr fontId="30" type="noConversion"/>
  </si>
  <si>
    <t>5</t>
    <phoneticPr fontId="30" type="noConversion"/>
  </si>
  <si>
    <t>6</t>
    <phoneticPr fontId="30" type="noConversion"/>
  </si>
  <si>
    <t>(22)</t>
    <phoneticPr fontId="30" type="noConversion"/>
  </si>
  <si>
    <t>(23)</t>
    <phoneticPr fontId="30" type="noConversion"/>
  </si>
  <si>
    <t>(24)</t>
    <phoneticPr fontId="30" type="noConversion"/>
  </si>
  <si>
    <t>註:</t>
    <phoneticPr fontId="30" type="noConversion"/>
  </si>
  <si>
    <t>2</t>
    <phoneticPr fontId="30" type="noConversion"/>
  </si>
  <si>
    <t>5</t>
    <phoneticPr fontId="30" type="noConversion"/>
  </si>
  <si>
    <t>若再保險經紀人不適格，僅填該再保險經紀人分出總數；如係再保險人不適格，則填該再保險人分出總數。</t>
    <phoneticPr fontId="18" type="noConversion"/>
  </si>
  <si>
    <t>代號為財團法人保險事業發展中心所統一配賦之代號。</t>
    <phoneticPr fontId="18" type="noConversion"/>
  </si>
  <si>
    <t>評等等級請依 valuation date 時之最新信用評等機構評定填寫,若無信用評等者請填無。</t>
    <phoneticPr fontId="18" type="noConversion"/>
  </si>
  <si>
    <t>再保險經紀人欄之填列係指再保險分出(分入)業務第一手分出(分入)時透過之再保險經紀人。請填列其代號及名稱,若無者請填無。</t>
    <phoneticPr fontId="18" type="noConversion"/>
  </si>
  <si>
    <t>未適格再保險人應分別填列其代號、名稱、信用評等機構、評等等級、是否為關係人。</t>
    <phoneticPr fontId="18"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</si>
  <si>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8" type="noConversion"/>
  </si>
  <si>
    <t>佣金包含盈餘佣金。</t>
    <phoneticPr fontId="18" type="noConversion"/>
  </si>
  <si>
    <t>(15)=(11)+(12)+(13)-(14)</t>
    <phoneticPr fontId="30"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</si>
  <si>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8" type="noConversion"/>
  </si>
  <si>
    <t>計算半年度之未適格再保險準備時應考慮前一年度7月1日至本年度6月30日止之所有影響數</t>
    <phoneticPr fontId="30" type="noConversion"/>
  </si>
  <si>
    <t>表30-9：信用評等資訊調整表</t>
    <phoneticPr fontId="30" type="noConversion"/>
  </si>
  <si>
    <t>風險項目</t>
    <phoneticPr fontId="30" type="noConversion"/>
  </si>
  <si>
    <t>信用評等等級</t>
    <phoneticPr fontId="30" type="noConversion"/>
  </si>
  <si>
    <t>投資金額</t>
    <phoneticPr fontId="30" type="noConversion"/>
  </si>
  <si>
    <t>風險係數</t>
    <phoneticPr fontId="30" type="noConversion"/>
  </si>
  <si>
    <t>折扣後之風險係數</t>
    <phoneticPr fontId="30" type="noConversion"/>
  </si>
  <si>
    <t>抵減之風險資本額</t>
    <phoneticPr fontId="30" type="noConversion"/>
  </si>
  <si>
    <t>一、關係人資產</t>
    <phoneticPr fontId="30" type="noConversion"/>
  </si>
  <si>
    <t>1.投資具控制與從屬關係關係人存款</t>
    <phoneticPr fontId="30" type="noConversion"/>
  </si>
  <si>
    <t>2.投資具控制與從屬關係關係人債劵型受益憑證</t>
    <phoneticPr fontId="30" type="noConversion"/>
  </si>
  <si>
    <t>3.投資具控制與從屬關係關係人貨幣型受益憑證</t>
    <phoneticPr fontId="30" type="noConversion"/>
  </si>
  <si>
    <t>4.投資非控制與從屬關係關係人存款</t>
    <phoneticPr fontId="30" type="noConversion"/>
  </si>
  <si>
    <t>5.投資非控制與從屬關係關係人債劵型受益憑證</t>
    <phoneticPr fontId="30" type="noConversion"/>
  </si>
  <si>
    <t>6.投資非控制與從屬關係關係人貨幣型受益憑證</t>
    <phoneticPr fontId="30" type="noConversion"/>
  </si>
  <si>
    <t>關係人資產風險調整總計</t>
    <phoneticPr fontId="30" type="noConversion"/>
  </si>
  <si>
    <t>二、非關係人資產</t>
    <phoneticPr fontId="30" type="noConversion"/>
  </si>
  <si>
    <t>受益憑證</t>
    <phoneticPr fontId="30" type="noConversion"/>
  </si>
  <si>
    <t>(1)債券型共同基金(註1)</t>
    <phoneticPr fontId="30" type="noConversion"/>
  </si>
  <si>
    <t>(2)貨幣型共同基金(註1)</t>
    <phoneticPr fontId="30" type="noConversion"/>
  </si>
  <si>
    <t>非關係人資產風險調整總計</t>
    <phoneticPr fontId="30" type="noConversion"/>
  </si>
  <si>
    <t>註1.本項目資產不包含國外資產在內。</t>
    <phoneticPr fontId="30" type="noConversion"/>
  </si>
  <si>
    <t>表30-13：投資資產信用評等資訊表</t>
    <phoneticPr fontId="30" type="noConversion"/>
  </si>
  <si>
    <t>項目</t>
    <phoneticPr fontId="30" type="noConversion"/>
  </si>
  <si>
    <t>投資機構/標的名稱</t>
    <phoneticPr fontId="30" type="noConversion"/>
  </si>
  <si>
    <t>信用評等機構(註3)</t>
    <phoneticPr fontId="30" type="noConversion"/>
  </si>
  <si>
    <t>投資金額</t>
    <phoneticPr fontId="30" type="noConversion"/>
  </si>
  <si>
    <t>(1)</t>
    <phoneticPr fontId="30" type="noConversion"/>
  </si>
  <si>
    <t>(4)</t>
    <phoneticPr fontId="30" type="noConversion"/>
  </si>
  <si>
    <t>(5)</t>
    <phoneticPr fontId="30" type="noConversion"/>
  </si>
  <si>
    <t>(3)</t>
    <phoneticPr fontId="30" type="noConversion"/>
  </si>
  <si>
    <t>1.投資具控制與從屬關係之關係人存款</t>
    <phoneticPr fontId="30" type="noConversion"/>
  </si>
  <si>
    <t>2.投資具控制與從屬關係之關係人債劵型受益憑證</t>
    <phoneticPr fontId="30" type="noConversion"/>
  </si>
  <si>
    <t>單位：新台幣元</t>
    <phoneticPr fontId="30" type="noConversion"/>
  </si>
  <si>
    <t>表21-2：分出再保險業務業績比較分析表(人身再保險)</t>
    <phoneticPr fontId="32" type="noConversion"/>
  </si>
  <si>
    <t>單位：新台幣元,%</t>
    <phoneticPr fontId="18" type="noConversion"/>
  </si>
  <si>
    <t>列號</t>
    <phoneticPr fontId="30" type="noConversion"/>
  </si>
  <si>
    <t>險別</t>
    <phoneticPr fontId="30" type="noConversion"/>
  </si>
  <si>
    <t>國內</t>
    <phoneticPr fontId="30" type="noConversion"/>
  </si>
  <si>
    <t>國外</t>
    <phoneticPr fontId="30" type="noConversion"/>
  </si>
  <si>
    <t>再保佣金收入</t>
    <phoneticPr fontId="30" type="noConversion"/>
  </si>
  <si>
    <t>轉再保賠款率</t>
    <phoneticPr fontId="32" type="noConversion"/>
  </si>
  <si>
    <t>(3)</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</si>
  <si>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</si>
  <si>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</si>
  <si>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</si>
  <si>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</si>
  <si>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</si>
  <si>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(9)</t>
    <phoneticPr fontId="30" type="noConversion"/>
  </si>
  <si>
    <t>(10)(註1)</t>
    <phoneticPr fontId="30" type="noConversion"/>
  </si>
  <si>
    <t>(11)</t>
    <phoneticPr fontId="30" type="noConversion"/>
  </si>
  <si>
    <t>(12)=(10)/(9)</t>
    <phoneticPr fontId="30" type="noConversion"/>
  </si>
  <si>
    <t>(13)</t>
    <phoneticPr fontId="30" type="noConversion"/>
  </si>
  <si>
    <t>(14)(註1)</t>
    <phoneticPr fontId="30" type="noConversion"/>
  </si>
  <si>
    <t>(15)</t>
    <phoneticPr fontId="30" type="noConversion"/>
  </si>
  <si>
    <t>(16)=(14)/(13)</t>
    <phoneticPr fontId="30" type="noConversion"/>
  </si>
  <si>
    <t>註：</t>
    <phoneticPr fontId="30" type="noConversion"/>
  </si>
  <si>
    <t>攤回再保賠款係指帳列攤回已決再保賠款</t>
    <phoneticPr fontId="32" type="noConversion"/>
  </si>
  <si>
    <t>人壽保險包括學生團體保險</t>
    <phoneticPr fontId="32" type="noConversion"/>
  </si>
  <si>
    <t>twCCC+</t>
    <phoneticPr fontId="30" type="noConversion"/>
  </si>
  <si>
    <t>twCCC</t>
    <phoneticPr fontId="30" type="noConversion"/>
  </si>
  <si>
    <t>Ba3</t>
    <phoneticPr fontId="30" type="noConversion"/>
  </si>
  <si>
    <t>C</t>
    <phoneticPr fontId="32" type="noConversion"/>
  </si>
  <si>
    <t>C</t>
    <phoneticPr fontId="32" type="noConversion"/>
  </si>
  <si>
    <t>1</t>
    <phoneticPr fontId="30" type="noConversion"/>
  </si>
  <si>
    <t>AAA</t>
    <phoneticPr fontId="30" type="noConversion"/>
  </si>
  <si>
    <t>AA</t>
    <phoneticPr fontId="30" type="noConversion"/>
  </si>
  <si>
    <t>A</t>
    <phoneticPr fontId="30" type="noConversion"/>
  </si>
  <si>
    <t>AAA</t>
    <phoneticPr fontId="30" type="noConversion"/>
  </si>
  <si>
    <t>AA</t>
    <phoneticPr fontId="30" type="noConversion"/>
  </si>
  <si>
    <t>A</t>
    <phoneticPr fontId="30" type="noConversion"/>
  </si>
  <si>
    <t>無</t>
    <phoneticPr fontId="30" type="noConversion"/>
  </si>
  <si>
    <t>已報未付之分出賠款準備</t>
    <phoneticPr fontId="30" type="noConversion"/>
  </si>
  <si>
    <t>比例性再保險業務</t>
    <phoneticPr fontId="30" type="noConversion"/>
  </si>
  <si>
    <t>非比例性再保險業務</t>
    <phoneticPr fontId="30" type="noConversion"/>
  </si>
  <si>
    <t>(15)</t>
    <phoneticPr fontId="32" type="noConversion"/>
  </si>
  <si>
    <t>(19)=((1)-(2)-(4)+(5))+((6)-(7)-(9)+(10))</t>
    <phoneticPr fontId="32" type="noConversion"/>
  </si>
  <si>
    <t>表23-2：未滿期保費準備金及自留滿期保費計算比較表(人身再保險)</t>
    <phoneticPr fontId="32" type="noConversion"/>
  </si>
  <si>
    <t>1/24法</t>
    <phoneticPr fontId="30" type="noConversion"/>
  </si>
  <si>
    <t>各險請依「專業再保險業財務業務管理辦法」之規定提存及收回。</t>
    <phoneticPr fontId="32" type="noConversion"/>
  </si>
  <si>
    <t>如為上半年度報表時, 自留滿期保費(19)=[(1)-(2)-(4)+(5)+(6)-(7)-(9)+(10)]+[(11)-(12)-(13)+(14)+(15)-(16)-(17)+(18)]</t>
    <phoneticPr fontId="32" type="noConversion"/>
  </si>
  <si>
    <t xml:space="preserve">如為上半年度報表時, 自留滿期保費(19)=[(1)-(2)-(4)+(5)+(6)-(7)-(9)+(10)]+[(11)-(12)-(13)+(14)+(15)-(16)-(17)+(18)]
</t>
    <phoneticPr fontId="32" type="noConversion"/>
  </si>
  <si>
    <t>強制汽機車責任險共保業務係依據「強制汽車責任保險各種準備金管理辦法」之規定提存。</t>
    <phoneticPr fontId="32" type="noConversion"/>
  </si>
  <si>
    <t>餘各險請依「專業再保險業財務業務管理辦法」之規定提存及收回。</t>
    <phoneticPr fontId="32" type="noConversion"/>
  </si>
  <si>
    <t>年度檢查報表</t>
    <phoneticPr fontId="32" type="noConversion"/>
  </si>
  <si>
    <t>中華民國XX年度</t>
    <phoneticPr fontId="32" type="noConversion"/>
  </si>
  <si>
    <t>(1)</t>
    <phoneticPr fontId="30" type="noConversion"/>
  </si>
  <si>
    <t>逾清償日期之期間(註1)</t>
    <phoneticPr fontId="30" type="noConversion"/>
  </si>
  <si>
    <t>爭議款項(逾清償日期之期間)</t>
    <phoneticPr fontId="30" type="noConversion"/>
  </si>
  <si>
    <t>超過清償日期9個月比率</t>
    <phoneticPr fontId="30" type="noConversion"/>
  </si>
  <si>
    <t>超過清償日期2年比率</t>
    <phoneticPr fontId="30" type="noConversion"/>
  </si>
  <si>
    <t>＜3個月</t>
  </si>
  <si>
    <t>3個月～6個月（不含）</t>
  </si>
  <si>
    <t>6個月～9個月（不含）</t>
  </si>
  <si>
    <t>9個月～12個月（不含）</t>
  </si>
  <si>
    <t>12個月～18個月（不含）</t>
  </si>
  <si>
    <t>18個月～24個月（不含）</t>
  </si>
  <si>
    <t>≧24個月</t>
    <phoneticPr fontId="30" type="noConversion"/>
  </si>
  <si>
    <t>＜6個月</t>
    <phoneticPr fontId="30" type="noConversion"/>
  </si>
  <si>
    <t>≧6個月</t>
    <phoneticPr fontId="30" type="noConversion"/>
  </si>
  <si>
    <t>(10)
=(3)+(4)+(5)           +(6)+(7)+(8)+(9)</t>
    <phoneticPr fontId="30" type="noConversion"/>
  </si>
  <si>
    <t>(13)
=[(6)+(7)+(8)+(9)] / (10)</t>
    <phoneticPr fontId="30" type="noConversion"/>
  </si>
  <si>
    <t>(14)
=(9)/(10)</t>
    <phoneticPr fontId="30" type="noConversion"/>
  </si>
  <si>
    <t>除再保險契約另有訂定外，採用保險賠款賠付日為清償日期。</t>
    <phoneticPr fontId="30" type="noConversion"/>
  </si>
  <si>
    <t>(10)
=(3)+(4)+(5)
+(6)+(7)+(8)+(9)</t>
    <phoneticPr fontId="30" type="noConversion"/>
  </si>
  <si>
    <t>(13)
=[(6)+(7)+(8)+(9)]/(10)</t>
    <phoneticPr fontId="30" type="noConversion"/>
  </si>
  <si>
    <t>除於決（結）算時估計之分出入再保業務款項外，採用入帳日計算清償日期。</t>
    <phoneticPr fontId="30" type="noConversion"/>
  </si>
  <si>
    <t>不動產種類</t>
    <phoneticPr fontId="30" type="noConversion"/>
  </si>
  <si>
    <t>風險資本額</t>
    <phoneticPr fontId="32" type="noConversion"/>
  </si>
  <si>
    <t>不動產種類</t>
    <phoneticPr fontId="32" type="noConversion"/>
  </si>
  <si>
    <t>風險係數</t>
    <phoneticPr fontId="32" type="noConversion"/>
  </si>
  <si>
    <t>國內投資用不動產</t>
    <phoneticPr fontId="30" type="noConversion"/>
  </si>
  <si>
    <t>投資用不動產投資</t>
    <phoneticPr fontId="32" type="noConversion"/>
  </si>
  <si>
    <t>A</t>
    <phoneticPr fontId="32" type="noConversion"/>
  </si>
  <si>
    <t>投資用承受擔保品---協議取得</t>
  </si>
  <si>
    <t>B</t>
    <phoneticPr fontId="32" type="noConversion"/>
  </si>
  <si>
    <t>投資用承受擔保品---經法院拍賣取得</t>
    <phoneticPr fontId="32" type="noConversion"/>
  </si>
  <si>
    <t>國外投資</t>
    <phoneticPr fontId="30" type="noConversion"/>
  </si>
  <si>
    <t>D</t>
    <phoneticPr fontId="32" type="noConversion"/>
  </si>
  <si>
    <t>E</t>
    <phoneticPr fontId="32" type="noConversion"/>
  </si>
  <si>
    <t>五年內取自關係人之不動產</t>
    <phoneticPr fontId="30" type="noConversion"/>
  </si>
  <si>
    <t>具控制與從屬關係--具收益性之不動產</t>
    <phoneticPr fontId="32" type="noConversion"/>
  </si>
  <si>
    <t>F</t>
    <phoneticPr fontId="32" type="noConversion"/>
  </si>
  <si>
    <t>具控制與從屬關係--其他不動產</t>
    <phoneticPr fontId="32" type="noConversion"/>
  </si>
  <si>
    <t>G</t>
    <phoneticPr fontId="32" type="noConversion"/>
  </si>
  <si>
    <t>非控制與從屬關係--具收益性之不動產</t>
    <phoneticPr fontId="32" type="noConversion"/>
  </si>
  <si>
    <t>H</t>
    <phoneticPr fontId="32" type="noConversion"/>
  </si>
  <si>
    <t>非控制與從屬關係--其他不動產</t>
    <phoneticPr fontId="32" type="noConversion"/>
  </si>
  <si>
    <t>I</t>
    <phoneticPr fontId="32" type="noConversion"/>
  </si>
  <si>
    <t>合     計</t>
    <phoneticPr fontId="32" type="noConversion"/>
  </si>
  <si>
    <t>不動產種類</t>
    <phoneticPr fontId="30" type="noConversion"/>
  </si>
  <si>
    <t>不動產座落地點</t>
    <phoneticPr fontId="30" type="noConversion"/>
  </si>
  <si>
    <t>金額</t>
    <phoneticPr fontId="30" type="noConversion"/>
  </si>
  <si>
    <t>風險係數</t>
    <phoneticPr fontId="32" type="noConversion"/>
  </si>
  <si>
    <t>加計倍數</t>
    <phoneticPr fontId="32" type="noConversion"/>
  </si>
  <si>
    <t>調整後風險係數</t>
    <phoneticPr fontId="32" type="noConversion"/>
  </si>
  <si>
    <t>風險資本額</t>
    <phoneticPr fontId="32" type="noConversion"/>
  </si>
  <si>
    <t>(4)</t>
    <phoneticPr fontId="32" type="noConversion"/>
  </si>
  <si>
    <t>(5)</t>
    <phoneticPr fontId="32" type="noConversion"/>
  </si>
  <si>
    <t>註：　</t>
    <phoneticPr fontId="32" type="noConversion"/>
  </si>
  <si>
    <t>列號</t>
    <phoneticPr fontId="32" type="noConversion"/>
  </si>
  <si>
    <t>表25-1：特別準備金計算表(財產再保險)</t>
    <phoneticPr fontId="30" type="noConversion"/>
  </si>
  <si>
    <t>單位：新台幣元,%</t>
    <phoneticPr fontId="18" type="noConversion"/>
  </si>
  <si>
    <t xml:space="preserve">  危     險     變     動     準     備</t>
    <phoneticPr fontId="32" type="noConversion"/>
  </si>
  <si>
    <t>異常業務損失準備</t>
    <phoneticPr fontId="32" type="noConversion"/>
  </si>
  <si>
    <t>特別準備</t>
    <phoneticPr fontId="32" type="noConversion"/>
  </si>
  <si>
    <t>自留滿期保費</t>
    <phoneticPr fontId="30" type="noConversion"/>
  </si>
  <si>
    <t>自留損失率</t>
    <phoneticPr fontId="32" type="noConversion"/>
  </si>
  <si>
    <t>最近15年度平均損失率</t>
    <phoneticPr fontId="32" type="noConversion"/>
  </si>
  <si>
    <t>本年度損失率與15年平均損失率差</t>
    <phoneticPr fontId="32" type="noConversion"/>
  </si>
  <si>
    <t>(2)</t>
    <phoneticPr fontId="32" type="noConversion"/>
  </si>
  <si>
    <t>(3)</t>
    <phoneticPr fontId="32" type="noConversion"/>
  </si>
  <si>
    <t>(4)</t>
    <phoneticPr fontId="32" type="noConversion"/>
  </si>
  <si>
    <t>(5)=(3)-(4)</t>
    <phoneticPr fontId="32" type="noConversion"/>
  </si>
  <si>
    <t>國內再保業務</t>
    <phoneticPr fontId="32" type="noConversion"/>
  </si>
  <si>
    <t>一年期住宅火災保險</t>
    <phoneticPr fontId="30" type="noConversion"/>
  </si>
  <si>
    <t>長期住宅火災保險</t>
    <phoneticPr fontId="30" type="noConversion"/>
  </si>
  <si>
    <t>一年期商業火災保險</t>
    <phoneticPr fontId="30" type="noConversion"/>
  </si>
  <si>
    <t>長期商業火災保險</t>
    <phoneticPr fontId="30" type="noConversion"/>
  </si>
  <si>
    <t>內陸運輸保險</t>
    <phoneticPr fontId="30" type="noConversion"/>
  </si>
  <si>
    <t>貨物運輸保險</t>
    <phoneticPr fontId="30" type="noConversion"/>
  </si>
  <si>
    <t>船體保險</t>
    <phoneticPr fontId="30" type="noConversion"/>
  </si>
  <si>
    <t>漁船保險</t>
    <phoneticPr fontId="30" type="noConversion"/>
  </si>
  <si>
    <t>航空保險</t>
    <phoneticPr fontId="30" type="noConversion"/>
  </si>
  <si>
    <t>一般自用汽車財產損失保險</t>
    <phoneticPr fontId="30" type="noConversion"/>
  </si>
  <si>
    <t>一般商業汽車財產損失保險</t>
    <phoneticPr fontId="30" type="noConversion"/>
  </si>
  <si>
    <t>一般自用汽車責任保險</t>
    <phoneticPr fontId="30" type="noConversion"/>
  </si>
  <si>
    <t>一般商業汽車責任保險</t>
    <phoneticPr fontId="30" type="noConversion"/>
  </si>
  <si>
    <t>強制自用汽車責任保險</t>
    <phoneticPr fontId="30" type="noConversion"/>
  </si>
  <si>
    <t>強制商業汽車責任保險</t>
    <phoneticPr fontId="30" type="noConversion"/>
  </si>
  <si>
    <t>強制機車責任保險</t>
    <phoneticPr fontId="30" type="noConversion"/>
  </si>
  <si>
    <t>一般責任保險</t>
    <phoneticPr fontId="30" type="noConversion"/>
  </si>
  <si>
    <t>專業責任保險</t>
    <phoneticPr fontId="30" type="noConversion"/>
  </si>
  <si>
    <t>工程保險</t>
    <phoneticPr fontId="30" type="noConversion"/>
  </si>
  <si>
    <t>核能保險</t>
    <phoneticPr fontId="30" type="noConversion"/>
  </si>
  <si>
    <t>保證保險</t>
    <phoneticPr fontId="30" type="noConversion"/>
  </si>
  <si>
    <t>信用保險</t>
    <phoneticPr fontId="30" type="noConversion"/>
  </si>
  <si>
    <t>其他財產保險</t>
    <phoneticPr fontId="30" type="noConversion"/>
  </si>
  <si>
    <t>傷害保險</t>
    <phoneticPr fontId="30" type="noConversion"/>
  </si>
  <si>
    <t>商業性地震保險</t>
    <phoneticPr fontId="30" type="noConversion"/>
  </si>
  <si>
    <t>個人綜合保險</t>
    <phoneticPr fontId="30" type="noConversion"/>
  </si>
  <si>
    <t>商業綜合保險</t>
    <phoneticPr fontId="30" type="noConversion"/>
  </si>
  <si>
    <t>颱風、洪水保險</t>
    <phoneticPr fontId="30" type="noConversion"/>
  </si>
  <si>
    <t>健康保險</t>
    <phoneticPr fontId="30" type="noConversion"/>
  </si>
  <si>
    <t>國外再保業務</t>
    <phoneticPr fontId="32" type="noConversion"/>
  </si>
  <si>
    <t>火災保險(國外分入)</t>
    <phoneticPr fontId="30" type="noConversion"/>
  </si>
  <si>
    <t>貨物海上保險(國外分入)</t>
    <phoneticPr fontId="32" type="noConversion"/>
  </si>
  <si>
    <t>船體保險(國外分入)</t>
    <phoneticPr fontId="32" type="noConversion"/>
  </si>
  <si>
    <t>漁船保險(國外分入)</t>
    <phoneticPr fontId="30" type="noConversion"/>
  </si>
  <si>
    <t>汽車保險(國外分入)</t>
    <phoneticPr fontId="32" type="noConversion"/>
  </si>
  <si>
    <t>航空保險(國外分入)</t>
    <phoneticPr fontId="32" type="noConversion"/>
  </si>
  <si>
    <t>工程保險(國外分入)</t>
    <phoneticPr fontId="32" type="noConversion"/>
  </si>
  <si>
    <t>其他保險(國外分入)</t>
    <phoneticPr fontId="32" type="noConversion"/>
  </si>
  <si>
    <t>註:</t>
    <phoneticPr fontId="32" type="noConversion"/>
  </si>
  <si>
    <t>特別準備金之提存係國內外分進業務合併為之，國外分進業務之自留滿期總保費等數字均經歸併入國內分進業務之適當險別內</t>
    <phoneticPr fontId="30" type="noConversion"/>
  </si>
  <si>
    <t>最近十五年度平均賠率係指本表年度前一年起(含前一年)前推十五年，本表之提存不關未適格再保人</t>
    <phoneticPr fontId="30" type="noConversion"/>
  </si>
  <si>
    <t>自留滿期保費=再保費收入-再保費支出-提存未滿期保費準備+收回未滿期保費準備</t>
    <phoneticPr fontId="32" type="noConversion"/>
  </si>
  <si>
    <t>自留滿期賠款=再保賠款-攤回再保賠款+提存未決賠款準備-收回未決賠款準備</t>
    <phoneticPr fontId="32" type="noConversion"/>
  </si>
  <si>
    <t>本表之保證保險未包含住宅抵押貸款信用保證保險</t>
    <phoneticPr fontId="32" type="noConversion"/>
  </si>
  <si>
    <t>國內再保業務</t>
    <phoneticPr fontId="30" type="noConversion"/>
  </si>
  <si>
    <t>國外再保業務</t>
    <phoneticPr fontId="30" type="noConversion"/>
  </si>
  <si>
    <t>註:</t>
    <phoneticPr fontId="32" type="noConversion"/>
  </si>
  <si>
    <t>本期應提存之分出未滿期保費準備</t>
    <phoneticPr fontId="30" type="noConversion"/>
  </si>
  <si>
    <t>未逾九個月之已付賠款應攤回再保賠款與給付</t>
    <phoneticPr fontId="30" type="noConversion"/>
  </si>
  <si>
    <t>已報未付之分出賠款準備</t>
    <phoneticPr fontId="30" type="noConversion"/>
  </si>
  <si>
    <t>註：</t>
    <phoneticPr fontId="32" type="noConversion"/>
  </si>
  <si>
    <t>所稱本期及上期於填報月報資料時係指當月份及上月份餘額;於填報(半)年報時係指當(半)年度及上(半)年度餘額</t>
    <phoneticPr fontId="32" type="noConversion"/>
  </si>
  <si>
    <t>自投資日起三個月內到期之附買回條件之債券投資列入現金及約當現金</t>
    <phoneticPr fontId="32" type="noConversion"/>
  </si>
  <si>
    <t>19-1</t>
    <phoneticPr fontId="32" type="noConversion"/>
  </si>
  <si>
    <t>3a.1.1財產保險業</t>
    <phoneticPr fontId="30" type="noConversion"/>
  </si>
  <si>
    <t>3a.1.1.1國內業務</t>
    <phoneticPr fontId="30" type="noConversion"/>
  </si>
  <si>
    <t>3a.1.1.1.1   一年期住宅火災保險</t>
    <phoneticPr fontId="30" type="noConversion"/>
  </si>
  <si>
    <t>3a.1.1.1.2   長期住宅火災保險</t>
    <phoneticPr fontId="30" type="noConversion"/>
  </si>
  <si>
    <t>3a.1.1.1.3   一年期商業火災保險</t>
    <phoneticPr fontId="30" type="noConversion"/>
  </si>
  <si>
    <t>3a.1.1.1.4   長期商業火災保險</t>
    <phoneticPr fontId="30" type="noConversion"/>
  </si>
  <si>
    <t>3a.1.1.1.5   內陸運輸保險</t>
    <phoneticPr fontId="30" type="noConversion"/>
  </si>
  <si>
    <t>3a.1.1.1.6   貨物運輸保險</t>
    <phoneticPr fontId="30" type="noConversion"/>
  </si>
  <si>
    <t>3a.1.1.1.7   船體保險</t>
    <phoneticPr fontId="30" type="noConversion"/>
  </si>
  <si>
    <t>3a.1.1.1.8   漁船保險</t>
    <phoneticPr fontId="30" type="noConversion"/>
  </si>
  <si>
    <t>3a.1.1.1.9   航空保險</t>
    <phoneticPr fontId="30" type="noConversion"/>
  </si>
  <si>
    <t xml:space="preserve">3a.1.1.1.10 一般自用汽車財產損失保險 </t>
    <phoneticPr fontId="30" type="noConversion"/>
  </si>
  <si>
    <t>3a.1.1.1.11 一般商業汽車財產損失保險</t>
    <phoneticPr fontId="30" type="noConversion"/>
  </si>
  <si>
    <t>3a.1.1.1.12 一般自用汽車責任保險</t>
    <phoneticPr fontId="30" type="noConversion"/>
  </si>
  <si>
    <t>3a.1.1.1.13 一般商業汽車責任保險</t>
    <phoneticPr fontId="30" type="noConversion"/>
  </si>
  <si>
    <t>3a.1.1.1.14 強制自用汽車責任保險</t>
    <phoneticPr fontId="30" type="noConversion"/>
  </si>
  <si>
    <t>3a.1.1.1.15 強制商業汽車責任保險</t>
    <phoneticPr fontId="30" type="noConversion"/>
  </si>
  <si>
    <t>3a.1.1.1.16 強制機車責任保險</t>
    <phoneticPr fontId="30" type="noConversion"/>
  </si>
  <si>
    <t>3a.1.1.1.17 一般責任保險</t>
    <phoneticPr fontId="30" type="noConversion"/>
  </si>
  <si>
    <t>3a.1.1.1.18 專業責任保險</t>
    <phoneticPr fontId="30" type="noConversion"/>
  </si>
  <si>
    <t>3a.1.1.1.19 工程保險</t>
    <phoneticPr fontId="30" type="noConversion"/>
  </si>
  <si>
    <t>3a.1.1.1.20 核能保險</t>
    <phoneticPr fontId="30" type="noConversion"/>
  </si>
  <si>
    <t>3a.1.1.1.28 保證保險</t>
    <phoneticPr fontId="30" type="noConversion"/>
  </si>
  <si>
    <t>3a.1.1.1.22 信用保險</t>
    <phoneticPr fontId="30" type="noConversion"/>
  </si>
  <si>
    <t>3a.1.1.1.23 其他財產保險</t>
    <phoneticPr fontId="30" type="noConversion"/>
  </si>
  <si>
    <t>3a.1.1.1.24 傷害保險</t>
    <phoneticPr fontId="30" type="noConversion"/>
  </si>
  <si>
    <t>3a.1.1.1.25 非政策性地震險</t>
    <phoneticPr fontId="30" type="noConversion"/>
  </si>
  <si>
    <t>3a.1.1.1.26 個人綜合保險</t>
    <phoneticPr fontId="30" type="noConversion"/>
  </si>
  <si>
    <t>3a.1.1.1.27 商業綜合保險</t>
    <phoneticPr fontId="30" type="noConversion"/>
  </si>
  <si>
    <t>3a.1.1.1.28 颱風、洪水保險</t>
    <phoneticPr fontId="30" type="noConversion"/>
  </si>
  <si>
    <t>3a.1.1.1.29 政策性住宅地震基本保險</t>
    <phoneticPr fontId="30" type="noConversion"/>
  </si>
  <si>
    <t>3a.1.1.1.30 健康保險</t>
    <phoneticPr fontId="30" type="noConversion"/>
  </si>
  <si>
    <t>3a.1.1.2國外業務</t>
    <phoneticPr fontId="30" type="noConversion"/>
  </si>
  <si>
    <t>3a.1.2人身保險業</t>
    <phoneticPr fontId="30" type="noConversion"/>
  </si>
  <si>
    <t>3a.1.2.1國內業務</t>
    <phoneticPr fontId="30" type="noConversion"/>
  </si>
  <si>
    <t>3a.1.2.2國外業務</t>
    <phoneticPr fontId="30" type="noConversion"/>
  </si>
  <si>
    <t>3a.2.1財產保險業</t>
    <phoneticPr fontId="30" type="noConversion"/>
  </si>
  <si>
    <t>3a.2.2人身保險業</t>
    <phoneticPr fontId="30" type="noConversion"/>
  </si>
  <si>
    <t>3b.2.1.1 國內業務</t>
    <phoneticPr fontId="30" type="noConversion"/>
  </si>
  <si>
    <t>3b.2.1.2 國外業務</t>
    <phoneticPr fontId="30" type="noConversion"/>
  </si>
  <si>
    <t>3b.2.2.1 國內業務</t>
    <phoneticPr fontId="30" type="noConversion"/>
  </si>
  <si>
    <t>3b.2.2.2 國外業務</t>
    <phoneticPr fontId="30" type="noConversion"/>
  </si>
  <si>
    <t>3b.2.2人身保險業</t>
    <phoneticPr fontId="30" type="noConversion"/>
  </si>
  <si>
    <t>3b.2.1財產保險業</t>
    <phoneticPr fontId="30" type="noConversion"/>
  </si>
  <si>
    <t>3a.1.1.2.1 火災保險</t>
    <phoneticPr fontId="30" type="noConversion"/>
  </si>
  <si>
    <t>3a.1.1.2.2 貨物海上保險</t>
    <phoneticPr fontId="30" type="noConversion"/>
  </si>
  <si>
    <t>3a.1.1.2.3 船體保險</t>
    <phoneticPr fontId="30" type="noConversion"/>
  </si>
  <si>
    <t>3a.1.1.2.4 漁船保險</t>
    <phoneticPr fontId="30" type="noConversion"/>
  </si>
  <si>
    <t>3a.1.1.2.5 汽車保險</t>
    <phoneticPr fontId="30" type="noConversion"/>
  </si>
  <si>
    <t>3a.1.1.2.6 航空保險</t>
    <phoneticPr fontId="30" type="noConversion"/>
  </si>
  <si>
    <t>3a.1.1.2.7 工程保險</t>
    <phoneticPr fontId="30" type="noConversion"/>
  </si>
  <si>
    <t>3a.1.1.2.8 其他財產保險</t>
    <phoneticPr fontId="30" type="noConversion"/>
  </si>
  <si>
    <t>3a.1.2.1.1 人壽保險</t>
    <phoneticPr fontId="30" type="noConversion"/>
  </si>
  <si>
    <t>3a.1.2.1.2 傷害保險</t>
    <phoneticPr fontId="30" type="noConversion"/>
  </si>
  <si>
    <t>3a.1.2.1.4 年金保險</t>
    <phoneticPr fontId="30" type="noConversion"/>
  </si>
  <si>
    <t>3a.1.2.1.5 財務再保險</t>
    <phoneticPr fontId="30" type="noConversion"/>
  </si>
  <si>
    <t>3a.1.2.2.1 人壽保險</t>
    <phoneticPr fontId="30" type="noConversion"/>
  </si>
  <si>
    <t>3a.1.2.2.2 傷害保險</t>
    <phoneticPr fontId="30" type="noConversion"/>
  </si>
  <si>
    <t>3a.1.2.2.4 年金保險</t>
    <phoneticPr fontId="30" type="noConversion"/>
  </si>
  <si>
    <t>3a.1.2.2.5 財務再保險</t>
    <phoneticPr fontId="30" type="noConversion"/>
  </si>
  <si>
    <t>3a.2.1.1 國內業務</t>
    <phoneticPr fontId="30" type="noConversion"/>
  </si>
  <si>
    <t>3a.2.1.2 國外業務</t>
    <phoneticPr fontId="30" type="noConversion"/>
  </si>
  <si>
    <t>3a.2.2.1 國內業務</t>
    <phoneticPr fontId="30" type="noConversion"/>
  </si>
  <si>
    <t>3a.2.2.2 國外業務</t>
    <phoneticPr fontId="30" type="noConversion"/>
  </si>
  <si>
    <t>3b.1.1財產保險業</t>
    <phoneticPr fontId="30" type="noConversion"/>
  </si>
  <si>
    <t>3b.1.1.1國內業務</t>
    <phoneticPr fontId="30" type="noConversion"/>
  </si>
  <si>
    <t>3b.1.1.1.1   一年期住宅火災保險</t>
    <phoneticPr fontId="30" type="noConversion"/>
  </si>
  <si>
    <t>3b.1.1.1.2   長期住宅火災保險</t>
    <phoneticPr fontId="30" type="noConversion"/>
  </si>
  <si>
    <t>3b.1.1.1.3   一年期商業火災保險</t>
    <phoneticPr fontId="30" type="noConversion"/>
  </si>
  <si>
    <t>3b.1.1.1.4   長期商業火災保險</t>
    <phoneticPr fontId="30" type="noConversion"/>
  </si>
  <si>
    <t>3b.1.1.1.5   內陸運輸保險</t>
    <phoneticPr fontId="30" type="noConversion"/>
  </si>
  <si>
    <t>3b.1.1.1.6   貨物運輸保險</t>
    <phoneticPr fontId="30" type="noConversion"/>
  </si>
  <si>
    <t>3b.1.1.1.7   船體保險</t>
    <phoneticPr fontId="30" type="noConversion"/>
  </si>
  <si>
    <t>3b.1.1.1.8   漁船保險</t>
    <phoneticPr fontId="30" type="noConversion"/>
  </si>
  <si>
    <t>3b.1.1.1.9   航空保險</t>
    <phoneticPr fontId="30" type="noConversion"/>
  </si>
  <si>
    <t xml:space="preserve">3b.1.1.1.10 一般自用汽車財產損失保險 </t>
    <phoneticPr fontId="30" type="noConversion"/>
  </si>
  <si>
    <t>3b.1.1.1.11 一般商業汽車財產損失保險</t>
    <phoneticPr fontId="30" type="noConversion"/>
  </si>
  <si>
    <t>3b.1.1.1.12 一般自用汽車責任保險</t>
    <phoneticPr fontId="30" type="noConversion"/>
  </si>
  <si>
    <t>3b.1.1.1.13 一般商業汽車責任保險</t>
    <phoneticPr fontId="30" type="noConversion"/>
  </si>
  <si>
    <t>3b.1.1.1.14 強制自用汽車責任保險</t>
    <phoneticPr fontId="30" type="noConversion"/>
  </si>
  <si>
    <t>3b.1.1.1.15 強制商業汽車責任保險</t>
    <phoneticPr fontId="30" type="noConversion"/>
  </si>
  <si>
    <t>3b.1.1.1.17 一般責任保險</t>
    <phoneticPr fontId="30" type="noConversion"/>
  </si>
  <si>
    <t>3b.1.1.1.18 專業責任保險</t>
    <phoneticPr fontId="30" type="noConversion"/>
  </si>
  <si>
    <t>3b.1.1.1.19 工程保險</t>
    <phoneticPr fontId="30" type="noConversion"/>
  </si>
  <si>
    <t>3b.1.1.1.20 核能保險</t>
    <phoneticPr fontId="30" type="noConversion"/>
  </si>
  <si>
    <t>3b.1.1.1.21 保證保險</t>
    <phoneticPr fontId="30" type="noConversion"/>
  </si>
  <si>
    <t>3b.1.1.1.22 信用保險</t>
    <phoneticPr fontId="30" type="noConversion"/>
  </si>
  <si>
    <t>3b.1.1.1.23 其他財產保險</t>
    <phoneticPr fontId="30" type="noConversion"/>
  </si>
  <si>
    <t>3b.1.1.1.24 傷害保險</t>
    <phoneticPr fontId="30" type="noConversion"/>
  </si>
  <si>
    <t>3b.1.1.1.25 非政策性地震險</t>
    <phoneticPr fontId="30" type="noConversion"/>
  </si>
  <si>
    <t>3b.1.1.1.26 個人綜合保險</t>
    <phoneticPr fontId="30" type="noConversion"/>
  </si>
  <si>
    <t>3b.1.1.1.27 商業綜合保險</t>
    <phoneticPr fontId="30" type="noConversion"/>
  </si>
  <si>
    <t>3b.1.1.1.28颱風、洪水保險</t>
    <phoneticPr fontId="30" type="noConversion"/>
  </si>
  <si>
    <t>3b.1.1.1.29 政策性住宅地震基本保險</t>
    <phoneticPr fontId="30" type="noConversion"/>
  </si>
  <si>
    <t>3b.1.1.1.30 健康保險</t>
    <phoneticPr fontId="30" type="noConversion"/>
  </si>
  <si>
    <t>3b.1.1.2國外業務</t>
    <phoneticPr fontId="30" type="noConversion"/>
  </si>
  <si>
    <t>3b.1.1.2.1 火災保險</t>
    <phoneticPr fontId="30" type="noConversion"/>
  </si>
  <si>
    <t>3b.1.1.2.2 貨物海上保險</t>
    <phoneticPr fontId="30" type="noConversion"/>
  </si>
  <si>
    <t>3b.1.1.2.3 船體保險</t>
    <phoneticPr fontId="30" type="noConversion"/>
  </si>
  <si>
    <t>3b.1.1.2.4 漁船保險</t>
    <phoneticPr fontId="30" type="noConversion"/>
  </si>
  <si>
    <t>3b.1.1.2.5 汽車保險</t>
    <phoneticPr fontId="30" type="noConversion"/>
  </si>
  <si>
    <t>3b.1.1.2.6 航空保險</t>
    <phoneticPr fontId="30" type="noConversion"/>
  </si>
  <si>
    <t>3b.1.1.2.7 工程保險</t>
    <phoneticPr fontId="30" type="noConversion"/>
  </si>
  <si>
    <t>3b.1.1.2.8 其他財產保險</t>
    <phoneticPr fontId="30" type="noConversion"/>
  </si>
  <si>
    <t>3b.1.2.1國內業務</t>
    <phoneticPr fontId="30" type="noConversion"/>
  </si>
  <si>
    <t>3b.1.2人身保險業</t>
    <phoneticPr fontId="30" type="noConversion"/>
  </si>
  <si>
    <t>3b.1.2.1.1 人壽保險</t>
    <phoneticPr fontId="30" type="noConversion"/>
  </si>
  <si>
    <t>3b.1.2.1.2 傷害保險</t>
    <phoneticPr fontId="30" type="noConversion"/>
  </si>
  <si>
    <t>3b.1.2.1.4 年金保險</t>
    <phoneticPr fontId="30" type="noConversion"/>
  </si>
  <si>
    <t>3b.1.2.1.5 財務再保險</t>
    <phoneticPr fontId="30" type="noConversion"/>
  </si>
  <si>
    <t>3b.1.2.2國外業務</t>
    <phoneticPr fontId="30" type="noConversion"/>
  </si>
  <si>
    <t>3b.1.2.2.1 人壽保險</t>
    <phoneticPr fontId="30" type="noConversion"/>
  </si>
  <si>
    <t>3b.1.2.2.2 傷害保險</t>
    <phoneticPr fontId="30" type="noConversion"/>
  </si>
  <si>
    <t>3b.1.2.2.4 年金保險</t>
    <phoneticPr fontId="30" type="noConversion"/>
  </si>
  <si>
    <t>3b.1.2.2.5 財務再保險</t>
    <phoneticPr fontId="30" type="noConversion"/>
  </si>
  <si>
    <t>不動產使用狀態</t>
    <phoneticPr fontId="32" type="noConversion"/>
  </si>
  <si>
    <t xml:space="preserve"> (11)=(8)*(10)+(8)</t>
    <phoneticPr fontId="32" type="noConversion"/>
  </si>
  <si>
    <t xml:space="preserve"> (12)=(7)*(11)</t>
    <phoneticPr fontId="32" type="noConversion"/>
  </si>
  <si>
    <t>單位：新台幣元</t>
    <phoneticPr fontId="32" type="noConversion"/>
  </si>
  <si>
    <t>(24)</t>
    <phoneticPr fontId="32" type="noConversion"/>
  </si>
  <si>
    <t>(25)</t>
    <phoneticPr fontId="34" type="noConversion"/>
  </si>
  <si>
    <t>(24)</t>
    <phoneticPr fontId="34" type="noConversion"/>
  </si>
  <si>
    <t>(5a)</t>
    <phoneticPr fontId="30" type="noConversion"/>
  </si>
  <si>
    <t>(5b)</t>
    <phoneticPr fontId="30" type="noConversion"/>
  </si>
  <si>
    <t>(5c)</t>
    <phoneticPr fontId="30" type="noConversion"/>
  </si>
  <si>
    <t>(5d)</t>
    <phoneticPr fontId="30" type="noConversion"/>
  </si>
  <si>
    <t>(5)
=(5a)+(5b)-(5c)-(5d)</t>
    <phoneticPr fontId="30" type="noConversion"/>
  </si>
  <si>
    <t>(6a)</t>
    <phoneticPr fontId="30" type="noConversion"/>
  </si>
  <si>
    <t>(6b)</t>
    <phoneticPr fontId="30" type="noConversion"/>
  </si>
  <si>
    <t>(64c)</t>
    <phoneticPr fontId="30" type="noConversion"/>
  </si>
  <si>
    <t>(6d)</t>
    <phoneticPr fontId="30" type="noConversion"/>
  </si>
  <si>
    <t>(6)
=(6a)+(6b)-(6c)-(6d)</t>
    <phoneticPr fontId="30" type="noConversion"/>
  </si>
  <si>
    <t>(7a)</t>
    <phoneticPr fontId="30" type="noConversion"/>
  </si>
  <si>
    <t>(7b)</t>
    <phoneticPr fontId="30" type="noConversion"/>
  </si>
  <si>
    <t>(7)
=(7a)-(7b)</t>
    <phoneticPr fontId="30" type="noConversion"/>
  </si>
  <si>
    <t>(8a)</t>
    <phoneticPr fontId="30" type="noConversion"/>
  </si>
  <si>
    <t>(8b)</t>
    <phoneticPr fontId="30" type="noConversion"/>
  </si>
  <si>
    <t>(8c)</t>
    <phoneticPr fontId="30" type="noConversion"/>
  </si>
  <si>
    <t>(8)
=(8a)+(8b)-(8c)</t>
    <phoneticPr fontId="30" type="noConversion"/>
  </si>
  <si>
    <t>(9a)</t>
    <phoneticPr fontId="30" type="noConversion"/>
  </si>
  <si>
    <t>(9b)</t>
    <phoneticPr fontId="30" type="noConversion"/>
  </si>
  <si>
    <t>(9)
=(9a)-(9b)</t>
    <phoneticPr fontId="30" type="noConversion"/>
  </si>
  <si>
    <t>(10a)</t>
    <phoneticPr fontId="30" type="noConversion"/>
  </si>
  <si>
    <t>(10b)</t>
    <phoneticPr fontId="30" type="noConversion"/>
  </si>
  <si>
    <t>(10)
=(10a)-(10b)</t>
    <phoneticPr fontId="30" type="noConversion"/>
  </si>
  <si>
    <t>(11a)</t>
    <phoneticPr fontId="30" type="noConversion"/>
  </si>
  <si>
    <t>(1b)</t>
    <phoneticPr fontId="30" type="noConversion"/>
  </si>
  <si>
    <t>(11)
=(11a)-(11b)</t>
    <phoneticPr fontId="30" type="noConversion"/>
  </si>
  <si>
    <t>(12)
=(7)+(8)
+(9)+(10)
+(11)</t>
    <phoneticPr fontId="30" type="noConversion"/>
  </si>
  <si>
    <t>(13)
=(5)+(6)
+(12)</t>
    <phoneticPr fontId="30" type="noConversion"/>
  </si>
  <si>
    <t>單位：新台幣元</t>
    <phoneticPr fontId="30" type="noConversion"/>
  </si>
  <si>
    <t>列號</t>
    <phoneticPr fontId="30" type="noConversion"/>
  </si>
  <si>
    <t>發行機構信用評等</t>
    <phoneticPr fontId="30" type="noConversion"/>
  </si>
  <si>
    <t>應列入本表計算風險資本額之再保險資產
(註)</t>
    <phoneticPr fontId="30" type="noConversion"/>
  </si>
  <si>
    <t>風險係數</t>
    <phoneticPr fontId="30" type="noConversion"/>
  </si>
  <si>
    <t>再保險資產風險資本額</t>
    <phoneticPr fontId="30" type="noConversion"/>
  </si>
  <si>
    <t>Moody's</t>
    <phoneticPr fontId="30" type="noConversion"/>
  </si>
  <si>
    <t>(1)</t>
    <phoneticPr fontId="18" type="noConversion"/>
  </si>
  <si>
    <t>(2)</t>
    <phoneticPr fontId="30" type="noConversion"/>
  </si>
  <si>
    <t>(3)</t>
    <phoneticPr fontId="32" type="noConversion"/>
  </si>
  <si>
    <t>(4)</t>
    <phoneticPr fontId="32" type="noConversion"/>
  </si>
  <si>
    <t>Aa</t>
  </si>
  <si>
    <t>Baa</t>
  </si>
  <si>
    <t>Ba</t>
  </si>
  <si>
    <t>Caa-C</t>
  </si>
  <si>
    <t>合 計</t>
    <phoneticPr fontId="32" type="noConversion"/>
  </si>
  <si>
    <t>註：</t>
    <phoneticPr fontId="30" type="noConversion"/>
  </si>
  <si>
    <t>分出保費不足及分出負債適足準備項目，若無法拆分至各再保險人時，指定為最差信評等級(投資等級Baa)，</t>
    <phoneticPr fontId="30" type="noConversion"/>
  </si>
  <si>
    <t>或按已有的各信用評等分配之比例予以拆分。</t>
    <phoneticPr fontId="32" type="noConversion"/>
  </si>
  <si>
    <t>若再保險人為國內共保組織請分別依下列信用評等級予以填列：</t>
    <phoneticPr fontId="30" type="noConversion"/>
  </si>
  <si>
    <t>(1)住宅地震保險共保--&gt;Aaa、(2)強制汽車責任保險共保--&gt;Aa、(3)其他--&gt;A。</t>
    <phoneticPr fontId="32" type="noConversion"/>
  </si>
  <si>
    <t>若再保險人為國內依法設立之保險公司且未有信用評等者，請依該再保險人最近一期已公告之RBC比率等級予以填列：</t>
    <phoneticPr fontId="30" type="noConversion"/>
  </si>
  <si>
    <t>百分之三百以上</t>
  </si>
  <si>
    <t>百分之二百以上，未達百分之三百</t>
  </si>
  <si>
    <t>未達百分之二百</t>
  </si>
  <si>
    <t>負值</t>
  </si>
  <si>
    <t>(2)</t>
    <phoneticPr fontId="32" type="noConversion"/>
  </si>
  <si>
    <t>(5)=(3)-(2)</t>
    <phoneticPr fontId="32" type="noConversion"/>
  </si>
  <si>
    <t>(6)=(4)-(2)</t>
    <phoneticPr fontId="32" type="noConversion"/>
  </si>
  <si>
    <t>(7)</t>
    <phoneticPr fontId="32" type="noConversion"/>
  </si>
  <si>
    <t>(21)</t>
    <phoneticPr fontId="32" type="noConversion"/>
  </si>
  <si>
    <t>項目</t>
    <phoneticPr fontId="32" type="noConversion"/>
  </si>
  <si>
    <t>期末餘額</t>
    <phoneticPr fontId="30" type="noConversion"/>
  </si>
  <si>
    <t>期初餘額</t>
    <phoneticPr fontId="30" type="noConversion"/>
  </si>
  <si>
    <t>增減數</t>
    <phoneticPr fontId="30" type="noConversion"/>
  </si>
  <si>
    <t>(3)=(1)-(2)</t>
    <phoneticPr fontId="30" type="noConversion"/>
  </si>
  <si>
    <t>總　　　　　　　計</t>
    <phoneticPr fontId="30" type="noConversion"/>
  </si>
  <si>
    <t>請依保險法及強制汽車責任保險法、保險業各種準備金提存辦法、專業再保險業財務業務管理辦法及其相關解釋函令之規定提列</t>
    <phoneticPr fontId="30" type="noConversion"/>
  </si>
  <si>
    <t>，並保存工作底稿備查</t>
    <phoneticPr fontId="30" type="noConversion"/>
  </si>
  <si>
    <t>RBC 比率</t>
  </si>
  <si>
    <t>表25-3：帳列負債之特別準備明細表</t>
    <phoneticPr fontId="30" type="noConversion"/>
  </si>
  <si>
    <t>損失率差為正時得沖減準備</t>
    <phoneticPr fontId="32" type="noConversion"/>
  </si>
  <si>
    <t>損失率為負時應提存準備</t>
    <phoneticPr fontId="30" type="noConversion"/>
  </si>
  <si>
    <t>自留再保費</t>
    <phoneticPr fontId="30" type="noConversion"/>
  </si>
  <si>
    <t>本年度沖減/收回金額</t>
    <phoneticPr fontId="32" type="noConversion"/>
  </si>
  <si>
    <t>(6)</t>
    <phoneticPr fontId="32" type="noConversion"/>
  </si>
  <si>
    <t>(9)</t>
    <phoneticPr fontId="32" type="noConversion"/>
  </si>
  <si>
    <t>(11)</t>
    <phoneticPr fontId="32" type="noConversion"/>
  </si>
  <si>
    <t>(14)=-(9)-(11)</t>
    <phoneticPr fontId="32" type="noConversion"/>
  </si>
  <si>
    <t>(16)=(6)+(14)</t>
    <phoneticPr fontId="32" type="noConversion"/>
  </si>
  <si>
    <t>(18)</t>
    <phoneticPr fontId="30" type="noConversion"/>
  </si>
  <si>
    <t>(20)</t>
    <phoneticPr fontId="30" type="noConversion"/>
  </si>
  <si>
    <t>(23)</t>
    <phoneticPr fontId="30" type="noConversion"/>
  </si>
  <si>
    <t>(25)=(18)-(23)</t>
    <phoneticPr fontId="30" type="noConversion"/>
  </si>
  <si>
    <t>(27)=(14)-(23)</t>
    <phoneticPr fontId="32" type="noConversion"/>
  </si>
  <si>
    <t>(29)=(16)+(25)</t>
    <phoneticPr fontId="32" type="noConversion"/>
  </si>
  <si>
    <t>現金及約當現金</t>
    <phoneticPr fontId="30" type="noConversion"/>
  </si>
  <si>
    <t>應收款項</t>
    <phoneticPr fontId="32" type="noConversion"/>
  </si>
  <si>
    <t xml:space="preserve">    應收票據--關係人</t>
    <phoneticPr fontId="30" type="noConversion"/>
  </si>
  <si>
    <t xml:space="preserve">    　應收票據--關係人(非控制與從屬關係)</t>
    <phoneticPr fontId="32" type="noConversion"/>
  </si>
  <si>
    <t xml:space="preserve">    應收保費</t>
    <phoneticPr fontId="30" type="noConversion"/>
  </si>
  <si>
    <t xml:space="preserve">    應收利息及收益</t>
    <phoneticPr fontId="30" type="noConversion"/>
  </si>
  <si>
    <t xml:space="preserve">    其他應收款</t>
    <phoneticPr fontId="30" type="noConversion"/>
  </si>
  <si>
    <t>待出售資產</t>
    <phoneticPr fontId="32" type="noConversion"/>
  </si>
  <si>
    <t>透過損益按公允價值衡量之金融資產</t>
    <phoneticPr fontId="32" type="noConversion"/>
  </si>
  <si>
    <t xml:space="preserve">    公債、庫券及儲蓄券</t>
    <phoneticPr fontId="32" type="noConversion"/>
  </si>
  <si>
    <t xml:space="preserve">    金融債券及其他經主管機關核准購買之有價證券</t>
    <phoneticPr fontId="32" type="noConversion"/>
  </si>
  <si>
    <t xml:space="preserve">    公司股票(評價調整＄                    )</t>
    <phoneticPr fontId="32" type="noConversion"/>
  </si>
  <si>
    <t xml:space="preserve">    公司債</t>
    <phoneticPr fontId="32" type="noConversion"/>
  </si>
  <si>
    <t xml:space="preserve">    專案運用公共及社會福利事業投資</t>
    <phoneticPr fontId="32" type="noConversion"/>
  </si>
  <si>
    <t xml:space="preserve">    國外投資</t>
    <phoneticPr fontId="32" type="noConversion"/>
  </si>
  <si>
    <t>其他金融資產</t>
    <phoneticPr fontId="30" type="noConversion"/>
  </si>
  <si>
    <t>投資性不動產</t>
    <phoneticPr fontId="30" type="noConversion"/>
  </si>
  <si>
    <t>放款</t>
    <phoneticPr fontId="30" type="noConversion"/>
  </si>
  <si>
    <t xml:space="preserve">    壽險貸款</t>
    <phoneticPr fontId="30" type="noConversion"/>
  </si>
  <si>
    <t xml:space="preserve">    應攤回再保賠款與給付</t>
    <phoneticPr fontId="32" type="noConversion"/>
  </si>
  <si>
    <t xml:space="preserve">    應攤回再保賠款與給付--催收款項</t>
    <phoneticPr fontId="30" type="noConversion"/>
  </si>
  <si>
    <t xml:space="preserve">    應收再保往來款項--催收款項</t>
    <phoneticPr fontId="30" type="noConversion"/>
  </si>
  <si>
    <t xml:space="preserve">    分出責任準備</t>
    <phoneticPr fontId="32" type="noConversion"/>
  </si>
  <si>
    <t xml:space="preserve">    分出保費不足準備</t>
    <phoneticPr fontId="32" type="noConversion"/>
  </si>
  <si>
    <t xml:space="preserve">    分出負債適足準備</t>
    <phoneticPr fontId="32" type="noConversion"/>
  </si>
  <si>
    <t>不動產及設備</t>
    <phoneticPr fontId="30" type="noConversion"/>
  </si>
  <si>
    <t xml:space="preserve">    租賃資產</t>
    <phoneticPr fontId="32" type="noConversion"/>
  </si>
  <si>
    <t xml:space="preserve">    在建工程及預付房地設備款</t>
    <phoneticPr fontId="30" type="noConversion"/>
  </si>
  <si>
    <t xml:space="preserve">    商譽</t>
    <phoneticPr fontId="30" type="noConversion"/>
  </si>
  <si>
    <t xml:space="preserve">    預付款項</t>
    <phoneticPr fontId="30" type="noConversion"/>
  </si>
  <si>
    <t xml:space="preserve">    遞延取得成本</t>
    <phoneticPr fontId="32" type="noConversion"/>
  </si>
  <si>
    <t xml:space="preserve">    非營業資產</t>
    <phoneticPr fontId="32" type="noConversion"/>
  </si>
  <si>
    <t xml:space="preserve">    特殊用途基金</t>
    <phoneticPr fontId="32" type="noConversion"/>
  </si>
  <si>
    <t xml:space="preserve">    投資型保險商品資產</t>
    <phoneticPr fontId="32" type="noConversion"/>
  </si>
  <si>
    <t xml:space="preserve">    勞退年金保險商品資產</t>
    <phoneticPr fontId="32" type="noConversion"/>
  </si>
  <si>
    <t>資產總計</t>
    <phoneticPr fontId="30" type="noConversion"/>
  </si>
  <si>
    <t>短期債務</t>
    <phoneticPr fontId="32" type="noConversion"/>
  </si>
  <si>
    <t>應付款項</t>
    <phoneticPr fontId="32" type="noConversion"/>
  </si>
  <si>
    <t xml:space="preserve">    應付票據-非關係人</t>
    <phoneticPr fontId="30" type="noConversion"/>
  </si>
  <si>
    <t xml:space="preserve">    應付再保賠款與給付</t>
    <phoneticPr fontId="32" type="noConversion"/>
  </si>
  <si>
    <t xml:space="preserve">    應付佣金</t>
    <phoneticPr fontId="30" type="noConversion"/>
  </si>
  <si>
    <t>　  應付再保往來款項</t>
    <phoneticPr fontId="30" type="noConversion"/>
  </si>
  <si>
    <t xml:space="preserve">    其他應付款</t>
    <phoneticPr fontId="32" type="noConversion"/>
  </si>
  <si>
    <t>應付債券</t>
    <phoneticPr fontId="32" type="noConversion"/>
  </si>
  <si>
    <t>特別股負債</t>
    <phoneticPr fontId="30" type="noConversion"/>
  </si>
  <si>
    <t>其他金融負債</t>
    <phoneticPr fontId="30" type="noConversion"/>
  </si>
  <si>
    <t xml:space="preserve">   </t>
    <phoneticPr fontId="30" type="noConversion"/>
  </si>
  <si>
    <t>保險負債-帳載</t>
    <phoneticPr fontId="32" type="noConversion"/>
  </si>
  <si>
    <t>保險負債-認許</t>
    <phoneticPr fontId="32" type="noConversion"/>
  </si>
  <si>
    <t xml:space="preserve">    未滿期保費準備</t>
    <phoneticPr fontId="30" type="noConversion"/>
  </si>
  <si>
    <t xml:space="preserve">    特別準備</t>
    <phoneticPr fontId="30" type="noConversion"/>
  </si>
  <si>
    <t xml:space="preserve">    未適格再保險準備</t>
    <phoneticPr fontId="32" type="noConversion"/>
  </si>
  <si>
    <t>外匯價格變動準備</t>
    <phoneticPr fontId="32" type="noConversion"/>
  </si>
  <si>
    <t xml:space="preserve">    員工福利負債準備</t>
    <phoneticPr fontId="32" type="noConversion"/>
  </si>
  <si>
    <t>遞延所得稅負債-帳載</t>
    <phoneticPr fontId="32" type="noConversion"/>
  </si>
  <si>
    <t xml:space="preserve">    土地增值稅準備</t>
    <phoneticPr fontId="30" type="noConversion"/>
  </si>
  <si>
    <t xml:space="preserve">        投資用</t>
    <phoneticPr fontId="30" type="noConversion"/>
  </si>
  <si>
    <t xml:space="preserve">    其他遞延所得稅負債</t>
    <phoneticPr fontId="30" type="noConversion"/>
  </si>
  <si>
    <t>其他負債</t>
    <phoneticPr fontId="32" type="noConversion"/>
  </si>
  <si>
    <t xml:space="preserve">    預收款項</t>
    <phoneticPr fontId="30" type="noConversion"/>
  </si>
  <si>
    <t xml:space="preserve">    存入再保責任準備金</t>
    <phoneticPr fontId="30" type="noConversion"/>
  </si>
  <si>
    <t xml:space="preserve">    信託代理及保證負債</t>
    <phoneticPr fontId="32" type="noConversion"/>
  </si>
  <si>
    <t xml:space="preserve">    暫收及待結轉帳項</t>
    <phoneticPr fontId="30" type="noConversion"/>
  </si>
  <si>
    <t>分離帳戶保險商品負債</t>
    <phoneticPr fontId="32" type="noConversion"/>
  </si>
  <si>
    <t>負債合計-帳載</t>
    <phoneticPr fontId="30" type="noConversion"/>
  </si>
  <si>
    <t>負債合計-認許</t>
    <phoneticPr fontId="30" type="noConversion"/>
  </si>
  <si>
    <t>股本</t>
    <phoneticPr fontId="30" type="noConversion"/>
  </si>
  <si>
    <t xml:space="preserve">    普通股(每股面額、授權股數、已發行股數) </t>
    <phoneticPr fontId="30" type="noConversion"/>
  </si>
  <si>
    <t xml:space="preserve">    特別股(每股面額、授權股數、已發行股數) </t>
    <phoneticPr fontId="30" type="noConversion"/>
  </si>
  <si>
    <t xml:space="preserve">    待分配股票股利</t>
    <phoneticPr fontId="32" type="noConversion"/>
  </si>
  <si>
    <t>帳載負債及權益總計</t>
    <phoneticPr fontId="32" type="noConversion"/>
  </si>
  <si>
    <t>淨認許負債及權益總計</t>
    <phoneticPr fontId="30" type="noConversion"/>
  </si>
  <si>
    <t>自留滿期賠款(扣除該險以異常業務損失準備金沖減)</t>
    <phoneticPr fontId="30" type="noConversion"/>
  </si>
  <si>
    <t>人壽保險(國外分入)</t>
    <phoneticPr fontId="30" type="noConversion"/>
  </si>
  <si>
    <t>傷害保險(國外分入)</t>
    <phoneticPr fontId="30" type="noConversion"/>
  </si>
  <si>
    <t>健康保險(國外分入)</t>
    <phoneticPr fontId="30" type="noConversion"/>
  </si>
  <si>
    <t>年金保險(國外分入)</t>
    <phoneticPr fontId="30" type="noConversion"/>
  </si>
  <si>
    <t>財務再保險(國外分入)</t>
    <phoneticPr fontId="30" type="noConversion"/>
  </si>
  <si>
    <t>表19-3-2：未適格再保險準備明細表(人身再保險)</t>
    <phoneticPr fontId="32" type="noConversion"/>
  </si>
  <si>
    <t>上年末累積總數
(保險負債)</t>
    <phoneticPr fontId="30" type="noConversion"/>
  </si>
  <si>
    <t>上年末累積總數
(特別盈餘公積)</t>
    <phoneticPr fontId="30" type="noConversion"/>
  </si>
  <si>
    <t>擬沖減危險變動準備
(保險負債)</t>
    <phoneticPr fontId="30" type="noConversion"/>
  </si>
  <si>
    <t>擬沖減危險變動準備
(特別盈餘公積)</t>
    <phoneticPr fontId="30" type="noConversion"/>
  </si>
  <si>
    <t>準備累積超過當年度自留滿期保費60%時得收回準備
(保險負債)</t>
    <phoneticPr fontId="30" type="noConversion"/>
  </si>
  <si>
    <t>準備累積超過當年度自留滿期保費60%時得收回準備
(特別盈餘公積)</t>
    <phoneticPr fontId="30" type="noConversion"/>
  </si>
  <si>
    <t>本年度淨增減危險變動準備
(保險負債)</t>
    <phoneticPr fontId="30" type="noConversion"/>
  </si>
  <si>
    <t>本年度淨增減危險變動準備
(特別盈餘公積)</t>
    <phoneticPr fontId="30" type="noConversion"/>
  </si>
  <si>
    <t>本年度帳列餘額
(保險負債)</t>
    <phoneticPr fontId="30" type="noConversion"/>
  </si>
  <si>
    <t>本年度帳列餘額
(特別盈餘公積)</t>
    <phoneticPr fontId="32" type="noConversion"/>
  </si>
  <si>
    <t>上年度帳列餘額
(保險負債)</t>
    <phoneticPr fontId="32" type="noConversion"/>
  </si>
  <si>
    <t>上年度帳列餘額
(特別盈餘公積)</t>
    <phoneticPr fontId="32" type="noConversion"/>
  </si>
  <si>
    <t>本年度沖減/收回金額
(保險負債)</t>
    <phoneticPr fontId="32" type="noConversion"/>
  </si>
  <si>
    <t>本年度沖減/收回金額
(特別盈餘公積)</t>
    <phoneticPr fontId="32" type="noConversion"/>
  </si>
  <si>
    <t>本年度帳列餘額
(保險負債)</t>
    <phoneticPr fontId="32" type="noConversion"/>
  </si>
  <si>
    <t>本年度淨提存金額
(保險負債)</t>
    <phoneticPr fontId="32" type="noConversion"/>
  </si>
  <si>
    <t>本年度淨提存金額
(特別盈餘公積)</t>
    <phoneticPr fontId="32" type="noConversion"/>
  </si>
  <si>
    <t>(7)</t>
    <phoneticPr fontId="32" type="noConversion"/>
  </si>
  <si>
    <t>(8)</t>
    <phoneticPr fontId="30" type="noConversion"/>
  </si>
  <si>
    <t>(10)</t>
    <phoneticPr fontId="30" type="noConversion"/>
  </si>
  <si>
    <t>(12)</t>
    <phoneticPr fontId="30" type="noConversion"/>
  </si>
  <si>
    <t>(13)=(1)*(5)*30%</t>
    <phoneticPr fontId="30" type="noConversion"/>
  </si>
  <si>
    <t>(15)=(13)-(10)-(12)</t>
    <phoneticPr fontId="30" type="noConversion"/>
  </si>
  <si>
    <t>(17)=(7)+(15)</t>
    <phoneticPr fontId="32" type="noConversion"/>
  </si>
  <si>
    <t>(19)</t>
    <phoneticPr fontId="30" type="noConversion"/>
  </si>
  <si>
    <t>(21)</t>
    <phoneticPr fontId="32" type="noConversion"/>
  </si>
  <si>
    <t>(22)</t>
    <phoneticPr fontId="30" type="noConversion"/>
  </si>
  <si>
    <t>(24)</t>
    <phoneticPr fontId="30" type="noConversion"/>
  </si>
  <si>
    <t>(26)=(19)+(21)-(24)</t>
    <phoneticPr fontId="32" type="noConversion"/>
  </si>
  <si>
    <t>(28)=(15)+(21)-(24)</t>
    <phoneticPr fontId="32" type="noConversion"/>
  </si>
  <si>
    <t>(30)=(17)+(26)</t>
    <phoneticPr fontId="32" type="noConversion"/>
  </si>
  <si>
    <t xml:space="preserve">    責任準備</t>
    <phoneticPr fontId="30" type="noConversion"/>
  </si>
  <si>
    <t xml:space="preserve"> 其他什項資產</t>
    <phoneticPr fontId="30"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</si>
  <si>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30" type="noConversion"/>
  </si>
  <si>
    <t>是否為關係人請依序填列A.是,B.否,C.其他;所稱關係人係依國際會計準則第二十四號公報及公司法第369-1~369-3條、第369-9條、及第369-11條之規定。</t>
    <phoneticPr fontId="30" type="noConversion"/>
  </si>
  <si>
    <t xml:space="preserve">餘各險請依「專業再保險業財務業務管理辦法」及其相關解釋函令之相關規定提存及收回。
</t>
    <phoneticPr fontId="32" type="noConversion"/>
  </si>
  <si>
    <t>(18)</t>
    <phoneticPr fontId="32" type="noConversion"/>
  </si>
  <si>
    <t>(19)</t>
    <phoneticPr fontId="32" type="noConversion"/>
  </si>
  <si>
    <t>(20)=(15)-(18)</t>
    <phoneticPr fontId="32" type="noConversion"/>
  </si>
  <si>
    <t>(21)=(19)-(20)</t>
    <phoneticPr fontId="32" type="noConversion"/>
  </si>
  <si>
    <t>(22)</t>
    <phoneticPr fontId="32" type="noConversion"/>
  </si>
  <si>
    <t>(23)</t>
    <phoneticPr fontId="32" type="noConversion"/>
  </si>
  <si>
    <t>(31)</t>
  </si>
  <si>
    <t>(32)</t>
  </si>
  <si>
    <t>(34)</t>
  </si>
  <si>
    <t>1</t>
  </si>
  <si>
    <t>人壽保險－超過一年之人身保險業務</t>
    <phoneticPr fontId="32" type="noConversion"/>
  </si>
  <si>
    <t>年金保險－超過一年之人身保險業務</t>
    <phoneticPr fontId="32" type="noConversion"/>
  </si>
  <si>
    <t>超過一年之人身保險業務之再保賠款包含賠款與給付</t>
  </si>
  <si>
    <t>國內再保業務及合計兩者之再保分入賠款率不含超過一年之人身保險業務</t>
    <phoneticPr fontId="32" type="noConversion"/>
  </si>
  <si>
    <t>除特別說明為「超過一年之人身保險業務」者，其他皆為短年期。</t>
    <phoneticPr fontId="32"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</si>
  <si>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</si>
  <si>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</si>
  <si>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</si>
  <si>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30" type="noConversion"/>
  </si>
  <si>
    <t>除特別說明為「超過一年之人身保險業務」者，其他皆為短年期。</t>
  </si>
  <si>
    <t>除特別說明為「超過一年之人身保險業務」者，其他皆為短年期。</t>
    <phoneticPr fontId="32" type="noConversion"/>
  </si>
  <si>
    <t>本(半)年度</t>
    <phoneticPr fontId="32" type="noConversion"/>
  </si>
  <si>
    <t>上(半)年度(註3)</t>
    <phoneticPr fontId="32" type="noConversion"/>
  </si>
  <si>
    <t>超過一年之人身保險業務之再保賠款及攤回再保賠款包含賠款與給付。</t>
    <phoneticPr fontId="30" type="noConversion"/>
  </si>
  <si>
    <t>特別準備金之提存係國內外分進業務合併為之，國外分進業務之自留滿期總保費等數字均經歸併入國內分進業務之適當險別內</t>
    <phoneticPr fontId="30" type="noConversion"/>
  </si>
  <si>
    <t>最近十五年度平均賠率係指本表年度前一年起(含前一年)前推十五年，本表之提存不關未適格再保人</t>
    <phoneticPr fontId="30" type="noConversion"/>
  </si>
  <si>
    <t xml:space="preserve">餘各險請依「專業再保險業財務業務管理辦法」及其相關解釋函令之相關規定提存及收回。
</t>
    <phoneticPr fontId="32" type="noConversion"/>
  </si>
  <si>
    <t>自留滿期保費=再保費收入-再保費支出-提存未滿期保費準備+收回未滿期保費準備</t>
    <phoneticPr fontId="32" type="noConversion"/>
  </si>
  <si>
    <t>自留滿期賠款=再保賠款-攤回再保賠款+提存未決賠款準備-收回未決賠款準備</t>
    <phoneticPr fontId="32" type="noConversion"/>
  </si>
  <si>
    <t>超過一年之人身保險業務之再保賠款及攤回再保賠款包含賠款與給付。</t>
    <phoneticPr fontId="30"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</si>
  <si>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</si>
  <si>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</si>
  <si>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</si>
  <si>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</si>
  <si>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</si>
  <si>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</si>
  <si>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</si>
  <si>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</si>
  <si>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30" type="noConversion"/>
  </si>
  <si>
    <t xml:space="preserve">2.1.1.1 終身保險                      </t>
  </si>
  <si>
    <t xml:space="preserve">2.1.1.1.1 非自由分紅保單                     </t>
  </si>
  <si>
    <t>「表30-5-2：淨危險保額報告表」第(8)欄第(4)列</t>
  </si>
  <si>
    <t xml:space="preserve">第一級金額 -- 不滿600億元    </t>
    <phoneticPr fontId="30" type="noConversion"/>
  </si>
  <si>
    <t>第二級金額 -- 600億元(含) ~ 1000億元(不含)</t>
    <phoneticPr fontId="30" type="noConversion"/>
  </si>
  <si>
    <t>第三級金額 -- 1000億元(含) ~ 2000億元(不含)</t>
    <phoneticPr fontId="30" type="noConversion"/>
  </si>
  <si>
    <t>第四級金額 -- 2000億元(含) ~ 1兆元(不含)</t>
    <phoneticPr fontId="30" type="noConversion"/>
  </si>
  <si>
    <t>第五級金額 -- 1兆元以上</t>
  </si>
  <si>
    <t xml:space="preserve">2.1.1.1.2 自由分紅保單                      </t>
  </si>
  <si>
    <t>「表30-5-2：淨危險保額報告表」第(8)欄第(5)列</t>
  </si>
  <si>
    <t xml:space="preserve">第一級金額 -- 不滿600億元    </t>
    <phoneticPr fontId="30" type="noConversion"/>
  </si>
  <si>
    <t xml:space="preserve">2.1.1.2 定期保險                        </t>
  </si>
  <si>
    <t xml:space="preserve">2.1.1.2.1 非自由分紅保單                        </t>
  </si>
  <si>
    <t>「表30-5-2：淨危險保額報告表」第(8)欄第(7)列</t>
  </si>
  <si>
    <t xml:space="preserve">第一級金額 -- 不滿200億元  </t>
    <phoneticPr fontId="30" type="noConversion"/>
  </si>
  <si>
    <t>第二級金額 -- 200億元(含) ~ 500億元(不含)</t>
    <phoneticPr fontId="30" type="noConversion"/>
  </si>
  <si>
    <t>第三級金額 -- 500億元(含) ~ 1000億元(不含)</t>
    <phoneticPr fontId="30" type="noConversion"/>
  </si>
  <si>
    <t>第四級金額 -- 1000億元(含) ~ 5000億元(不含)</t>
    <phoneticPr fontId="30" type="noConversion"/>
  </si>
  <si>
    <t>第五級金額 -- 5000億元以上</t>
    <phoneticPr fontId="30" type="noConversion"/>
  </si>
  <si>
    <t>2.1.1.2.2 自由分紅保單</t>
    <phoneticPr fontId="30" type="noConversion"/>
  </si>
  <si>
    <t>「表30-5-2：淨危險保額報告表」第(8)欄第(8)列</t>
  </si>
  <si>
    <t>第四級金額 -- 1000億元(含) ~ 5000億元(不含)</t>
    <phoneticPr fontId="30" type="noConversion"/>
  </si>
  <si>
    <t>第五級金額 -- 5000億元以上</t>
    <phoneticPr fontId="30" type="noConversion"/>
  </si>
  <si>
    <t>2.1.2 生死合險</t>
    <phoneticPr fontId="30"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</si>
  <si>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</si>
  <si>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</si>
  <si>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</si>
  <si>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</si>
  <si>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</si>
  <si>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30" type="noConversion"/>
  </si>
  <si>
    <t xml:space="preserve">2.1.2.2 還本型保險  </t>
  </si>
  <si>
    <t xml:space="preserve">2.1.2.2.1 非自由分紅保單  </t>
  </si>
  <si>
    <t>「表30-5-2：淨危險保額報告表」第(8)欄第(14)列</t>
  </si>
  <si>
    <t xml:space="preserve">2.1.2.2.2 自由分紅保單  </t>
    <phoneticPr fontId="30" type="noConversion"/>
  </si>
  <si>
    <t>「表30-5-2：淨危險保額報告表」第(8)欄第(15)列</t>
  </si>
  <si>
    <t>第二級金額 -- 200億元(含) ~ 500億元(不含)</t>
    <phoneticPr fontId="30" type="noConversion"/>
  </si>
  <si>
    <t>第三級金額 -- 500億元(含) ~ 1000億元(不含)</t>
    <phoneticPr fontId="30" type="noConversion"/>
  </si>
  <si>
    <t>第四級金額 -- 1000億元(含) ~ 5000億元(不含)</t>
    <phoneticPr fontId="30" type="noConversion"/>
  </si>
  <si>
    <t>第五級金額 -- 5000億元以上</t>
    <phoneticPr fontId="30" type="noConversion"/>
  </si>
  <si>
    <t>2.1.3 生存保險</t>
  </si>
  <si>
    <t>2.1.3.1 非自由分紅保單</t>
  </si>
  <si>
    <t>「表30-5-2：淨危險保額報告表」第(7)欄第(17)列</t>
  </si>
  <si>
    <t>2.1.3.2 自由分紅保單</t>
  </si>
  <si>
    <t>「表30-5-2：淨危險保額報告表」第(7)欄第(18)列</t>
  </si>
  <si>
    <t>2.2 年金保險(註3)</t>
    <phoneticPr fontId="30" type="noConversion"/>
  </si>
  <si>
    <t>「表30-5-2：淨危險保額報告表」第(7)欄第(19)列</t>
    <phoneticPr fontId="30" type="noConversion"/>
  </si>
  <si>
    <t>《超過一年之人身保險業務》總計</t>
  </si>
  <si>
    <t>註1：年金保險應包含「勞退年金保單」。</t>
    <phoneticPr fontId="30" type="noConversion"/>
  </si>
  <si>
    <t>表30-5-2：超過一年之人身保險業務淨自留危險保額報告表</t>
    <phoneticPr fontId="30" type="noConversion"/>
  </si>
  <si>
    <t xml:space="preserve"> 項         目  </t>
  </si>
  <si>
    <t>分入有效契約保額</t>
    <phoneticPr fontId="30" type="noConversion"/>
  </si>
  <si>
    <t>分出有效契約保額</t>
    <phoneticPr fontId="30" type="noConversion"/>
  </si>
  <si>
    <t>自留有效契約保額</t>
    <phoneticPr fontId="30" type="noConversion"/>
  </si>
  <si>
    <t>分入責任準備金</t>
    <phoneticPr fontId="30" type="noConversion"/>
  </si>
  <si>
    <t>分出責任準備金</t>
    <phoneticPr fontId="30" type="noConversion"/>
  </si>
  <si>
    <t>自留責任準備金</t>
    <phoneticPr fontId="30" type="noConversion"/>
  </si>
  <si>
    <t>淨危險保額</t>
    <phoneticPr fontId="30" type="noConversion"/>
  </si>
  <si>
    <t xml:space="preserve"> (1)</t>
    <phoneticPr fontId="30" type="noConversion"/>
  </si>
  <si>
    <t>(4)=(2)-(3)</t>
    <phoneticPr fontId="30" type="noConversion"/>
  </si>
  <si>
    <t>(7)=(5)-(6)</t>
    <phoneticPr fontId="30" type="noConversion"/>
  </si>
  <si>
    <t>(8)=(4)-(7)</t>
    <phoneticPr fontId="30" type="noConversion"/>
  </si>
  <si>
    <t>一、個人壽險</t>
  </si>
  <si>
    <t>1.死亡保險</t>
    <phoneticPr fontId="32" type="noConversion"/>
  </si>
  <si>
    <t>1.1 終身保險</t>
    <phoneticPr fontId="32" type="noConversion"/>
  </si>
  <si>
    <t>1.1.1 非自由分紅保單</t>
    <phoneticPr fontId="32" type="noConversion"/>
  </si>
  <si>
    <t>1.1.2 自由分紅保單</t>
    <phoneticPr fontId="32" type="noConversion"/>
  </si>
  <si>
    <t>1.2 定期保險</t>
    <phoneticPr fontId="32" type="noConversion"/>
  </si>
  <si>
    <t>1.2.1 非自由分紅保單</t>
    <phoneticPr fontId="32" type="noConversion"/>
  </si>
  <si>
    <t>1.2.2 自由分紅保單</t>
    <phoneticPr fontId="32" type="noConversion"/>
  </si>
  <si>
    <t>2.生死合險</t>
    <phoneticPr fontId="32" type="noConversion"/>
  </si>
  <si>
    <t>2.1 養老保險</t>
    <phoneticPr fontId="32" type="noConversion"/>
  </si>
  <si>
    <t>2.1.1 非自由分紅保單</t>
    <phoneticPr fontId="32" type="noConversion"/>
  </si>
  <si>
    <t>2.1.2 自由分紅保單</t>
    <phoneticPr fontId="32" type="noConversion"/>
  </si>
  <si>
    <t xml:space="preserve">2.2 還本型保險      </t>
    <phoneticPr fontId="32" type="noConversion"/>
  </si>
  <si>
    <t>2.2.1 非自由分紅保單</t>
    <phoneticPr fontId="32" type="noConversion"/>
  </si>
  <si>
    <t>2.2.2 自由分紅保單</t>
    <phoneticPr fontId="32" type="noConversion"/>
  </si>
  <si>
    <t>3.生存保險</t>
    <phoneticPr fontId="32" type="noConversion"/>
  </si>
  <si>
    <t>3.1 非自由分紅保單</t>
    <phoneticPr fontId="32" type="noConversion"/>
  </si>
  <si>
    <t>3.2 自由分紅保單</t>
    <phoneticPr fontId="32" type="noConversion"/>
  </si>
  <si>
    <t>二、年金保險</t>
    <phoneticPr fontId="30" type="noConversion"/>
  </si>
  <si>
    <t>總               計</t>
  </si>
  <si>
    <t>註：有效契約保額為當(半)年度保險金額。</t>
    <phoneticPr fontId="32" type="noConversion"/>
  </si>
  <si>
    <t>B</t>
    <phoneticPr fontId="30" type="noConversion"/>
  </si>
  <si>
    <t>C</t>
    <phoneticPr fontId="30" type="noConversion"/>
  </si>
  <si>
    <t>D</t>
    <phoneticPr fontId="30" type="noConversion"/>
  </si>
  <si>
    <t>E</t>
    <phoneticPr fontId="30" type="noConversion"/>
  </si>
  <si>
    <t>F</t>
    <phoneticPr fontId="30" type="noConversion"/>
  </si>
  <si>
    <t>G</t>
    <phoneticPr fontId="30" type="noConversion"/>
  </si>
  <si>
    <t/>
  </si>
  <si>
    <t>6277</t>
  </si>
  <si>
    <t>(33)=[(31)-(16)]-[(32)-(17)]</t>
    <phoneticPr fontId="32" type="noConversion"/>
  </si>
  <si>
    <t>國別</t>
    <phoneticPr fontId="32" type="noConversion"/>
  </si>
  <si>
    <t>地區</t>
    <phoneticPr fontId="32" type="noConversion"/>
  </si>
  <si>
    <t>標的名稱</t>
    <phoneticPr fontId="32" type="noConversion"/>
  </si>
  <si>
    <t>種類</t>
    <phoneticPr fontId="32" type="noConversion"/>
  </si>
  <si>
    <t>使用種類</t>
    <phoneticPr fontId="32" type="noConversion"/>
  </si>
  <si>
    <t>持有資產幣別</t>
    <phoneticPr fontId="32" type="noConversion"/>
  </si>
  <si>
    <t>取得成本</t>
    <phoneticPr fontId="32" type="noConversion"/>
  </si>
  <si>
    <t>取得方式及帳載金額</t>
    <phoneticPr fontId="32" type="noConversion"/>
  </si>
  <si>
    <t>標的面積(m²)</t>
    <phoneticPr fontId="32" type="noConversion"/>
  </si>
  <si>
    <t>租金收益率資訊</t>
    <phoneticPr fontId="32" type="noConversion"/>
  </si>
  <si>
    <t>SPV相關資料</t>
    <phoneticPr fontId="34" type="noConversion"/>
  </si>
  <si>
    <t>物業管理機構</t>
    <phoneticPr fontId="32" type="noConversion"/>
  </si>
  <si>
    <t>投資SPV</t>
  </si>
  <si>
    <t>貸款予投資之SPV</t>
  </si>
  <si>
    <t>信託</t>
  </si>
  <si>
    <t>出租率(%)</t>
  </si>
  <si>
    <t>每月租金收益</t>
  </si>
  <si>
    <t>年化租金收益率(%)</t>
  </si>
  <si>
    <t>當地租金收益率(%)</t>
  </si>
  <si>
    <t>SPV名稱</t>
  </si>
  <si>
    <t>SPV設立地區</t>
  </si>
  <si>
    <t>SPV負責人</t>
  </si>
  <si>
    <t>16</t>
    <phoneticPr fontId="32" type="noConversion"/>
  </si>
  <si>
    <t>取得成本含修繕不動產之資本支出。</t>
    <phoneticPr fontId="32" type="noConversion"/>
  </si>
  <si>
    <t>健康保險(一年期與長期)</t>
    <phoneticPr fontId="32" type="noConversion"/>
  </si>
  <si>
    <t>健康保險(一年期與長期)</t>
    <phoneticPr fontId="30" type="noConversion"/>
  </si>
  <si>
    <r>
      <t>收回賠款準備</t>
    </r>
    <r>
      <rPr>
        <sz val="12"/>
        <color indexed="10"/>
        <rFont val="Times New Roman"/>
        <family val="1"/>
      </rPr>
      <t/>
    </r>
    <phoneticPr fontId="32" type="noConversion"/>
  </si>
  <si>
    <t>健康保險(一年期與長期)</t>
    <phoneticPr fontId="32" type="noConversion"/>
  </si>
  <si>
    <t>3a.1.2.1.3 健康保險(一年期與長期)</t>
    <phoneticPr fontId="30" type="noConversion"/>
  </si>
  <si>
    <t>3a.1.2.2.3 健康保險(一年期與長期)</t>
    <phoneticPr fontId="30" type="noConversion"/>
  </si>
  <si>
    <t>3b.1.2.1.3 健康保險(一年期與長期)</t>
    <phoneticPr fontId="30" type="noConversion"/>
  </si>
  <si>
    <t>3b.1.2.2.3 健康保險(一年期與長期)</t>
    <phoneticPr fontId="30" type="noConversion"/>
  </si>
  <si>
    <t>取得時間
(主排序-遞減)</t>
    <phoneticPr fontId="32" type="noConversion"/>
  </si>
  <si>
    <t>單位：新台幣元</t>
    <phoneticPr fontId="30" type="noConversion"/>
  </si>
  <si>
    <t>應列入本表計算風險資本額之再保險資產
(註)</t>
    <phoneticPr fontId="30" type="noConversion"/>
  </si>
  <si>
    <t>風險係數</t>
    <phoneticPr fontId="30" type="noConversion"/>
  </si>
  <si>
    <t>再保險資產風險資本額</t>
    <phoneticPr fontId="30" type="noConversion"/>
  </si>
  <si>
    <t>Moody's</t>
    <phoneticPr fontId="30" type="noConversion"/>
  </si>
  <si>
    <t>(4)</t>
    <phoneticPr fontId="32" type="noConversion"/>
  </si>
  <si>
    <t>合 計</t>
    <phoneticPr fontId="32" type="noConversion"/>
  </si>
  <si>
    <t>註：</t>
    <phoneticPr fontId="30" type="noConversion"/>
  </si>
  <si>
    <t>分出保費不足及分出負債適足準備項目，若無法拆分至各再保險人時，指定為最差信評等級(投資等級Baa)，</t>
    <phoneticPr fontId="30" type="noConversion"/>
  </si>
  <si>
    <t>或按已有的各信用評等分配之比例予以拆分。</t>
    <phoneticPr fontId="32" type="noConversion"/>
  </si>
  <si>
    <t>若再保險人為國內共保組織請分別依下列信用評等級予以填列：</t>
    <phoneticPr fontId="30" type="noConversion"/>
  </si>
  <si>
    <t>(1)住宅地震保險共保--&gt;Aaa、(2)強制汽車責任保險共保--&gt;Aa、(3)其他--&gt;A。</t>
    <phoneticPr fontId="32" type="noConversion"/>
  </si>
  <si>
    <t>若再保險人為國內依法設立之保險公司且未有信用評等者，請依該再保險人最近一期已公告之RBC比率等級予以填列：</t>
    <phoneticPr fontId="30" type="noConversion"/>
  </si>
  <si>
    <t>強制汽機車責任險共保業務係依據「強制汽車責任保險各種準備金管理辦法」之規定提存。</t>
    <phoneticPr fontId="32" type="noConversion"/>
  </si>
  <si>
    <t>(19)</t>
    <phoneticPr fontId="30" type="noConversion"/>
  </si>
  <si>
    <t>(21)</t>
    <phoneticPr fontId="30" type="noConversion"/>
  </si>
  <si>
    <t>(22)</t>
    <phoneticPr fontId="30" type="noConversion"/>
  </si>
  <si>
    <t>(23)</t>
    <phoneticPr fontId="30" type="noConversion"/>
  </si>
  <si>
    <t>(24)</t>
    <phoneticPr fontId="30" type="noConversion"/>
  </si>
  <si>
    <t>6</t>
    <phoneticPr fontId="30" type="noConversion"/>
  </si>
  <si>
    <t>(27)</t>
    <phoneticPr fontId="30" type="noConversion"/>
  </si>
  <si>
    <t>抵減50%金額</t>
    <phoneticPr fontId="30" type="noConversion"/>
  </si>
  <si>
    <t>抵減65%金額</t>
    <phoneticPr fontId="30" type="noConversion"/>
  </si>
  <si>
    <t>抵減金額總計</t>
    <phoneticPr fontId="30" type="noConversion"/>
  </si>
  <si>
    <t>國內上市普通股股票半年收盤平均價之15%</t>
    <phoneticPr fontId="30" type="noConversion"/>
  </si>
  <si>
    <t>是否已提供平均避險比率均超過15％之證明文件
(註5)</t>
    <phoneticPr fontId="30" type="noConversion"/>
  </si>
  <si>
    <t>可扣抵風險資本金額(註6)</t>
    <phoneticPr fontId="30" type="noConversion"/>
  </si>
  <si>
    <t>(12)</t>
    <phoneticPr fontId="30" type="noConversion"/>
  </si>
  <si>
    <t>(13)</t>
    <phoneticPr fontId="32" type="noConversion"/>
  </si>
  <si>
    <t>(16)</t>
    <phoneticPr fontId="32" type="noConversion"/>
  </si>
  <si>
    <t>國內上市普通股股票風險資本扣抵計算表</t>
    <phoneticPr fontId="30" type="noConversion"/>
  </si>
  <si>
    <t>表30-4-2：再保險資產風險資本額計算表(保險期間超過一年之人身保險並認列分出責任準備之再保險業務)</t>
    <phoneticPr fontId="32" type="noConversion"/>
  </si>
  <si>
    <t>(24)</t>
    <phoneticPr fontId="30" type="noConversion"/>
  </si>
  <si>
    <t>(25)</t>
    <phoneticPr fontId="30" type="noConversion"/>
  </si>
  <si>
    <t>(26)</t>
    <phoneticPr fontId="30" type="noConversion"/>
  </si>
  <si>
    <t>表30-4-1：再保險資產風險資本額計算表(不含保險期間超過一年之人身保險並認列分出責任準備之再保險業務)</t>
    <phoneticPr fontId="32" type="noConversion"/>
  </si>
  <si>
    <t>(3)=(1)*(2)</t>
    <phoneticPr fontId="32" type="noConversion"/>
  </si>
  <si>
    <t>表30-5-1：超過一年之人身保險業務風險計算表</t>
    <phoneticPr fontId="30" type="noConversion"/>
  </si>
  <si>
    <t>(12)</t>
    <phoneticPr fontId="30" type="noConversion"/>
  </si>
  <si>
    <t>異常業務損失準備</t>
    <phoneticPr fontId="30" type="noConversion"/>
  </si>
  <si>
    <t>待分配予業主之資產</t>
    <phoneticPr fontId="32" type="noConversion"/>
  </si>
  <si>
    <t xml:space="preserve">    減：未適格再保險盈餘調整數</t>
    <phoneticPr fontId="32" type="noConversion"/>
  </si>
  <si>
    <t xml:space="preserve">    減：淨認許資產調整數</t>
    <phoneticPr fontId="30" type="noConversion"/>
  </si>
  <si>
    <t xml:space="preserve">    加：遞延所得稅負債調整數</t>
    <phoneticPr fontId="30" type="noConversion"/>
  </si>
  <si>
    <t>淨認許權益</t>
    <phoneticPr fontId="30" type="noConversion"/>
  </si>
  <si>
    <t>(3)</t>
    <phoneticPr fontId="30" type="noConversion"/>
  </si>
  <si>
    <t>(4)</t>
    <phoneticPr fontId="30" type="noConversion"/>
  </si>
  <si>
    <t>(5)</t>
    <phoneticPr fontId="30" type="noConversion"/>
  </si>
  <si>
    <t>(6)</t>
    <phoneticPr fontId="30" type="noConversion"/>
  </si>
  <si>
    <t>(7)</t>
    <phoneticPr fontId="30" type="noConversion"/>
  </si>
  <si>
    <t>(8)</t>
    <phoneticPr fontId="30" type="noConversion"/>
  </si>
  <si>
    <t>(9)</t>
    <phoneticPr fontId="30" type="noConversion"/>
  </si>
  <si>
    <t>(10)</t>
    <phoneticPr fontId="30" type="noConversion"/>
  </si>
  <si>
    <t>(5)</t>
    <phoneticPr fontId="32" type="noConversion"/>
  </si>
  <si>
    <t>列號</t>
    <phoneticPr fontId="32" type="noConversion"/>
  </si>
  <si>
    <t>帳載總額</t>
    <phoneticPr fontId="30" type="noConversion"/>
  </si>
  <si>
    <t>帳載金額</t>
    <phoneticPr fontId="30" type="noConversion"/>
  </si>
  <si>
    <t>帳載金額%</t>
    <phoneticPr fontId="30" type="noConversion"/>
  </si>
  <si>
    <t>淨認許資產</t>
    <phoneticPr fontId="32" type="noConversion"/>
  </si>
  <si>
    <t>帳載金額</t>
    <phoneticPr fontId="32" type="noConversion"/>
  </si>
  <si>
    <t xml:space="preserve">    應收票據--非關係人</t>
    <phoneticPr fontId="30" type="noConversion"/>
  </si>
  <si>
    <t xml:space="preserve">    應付票據-關係人</t>
    <phoneticPr fontId="30" type="noConversion"/>
  </si>
  <si>
    <t xml:space="preserve">    　應收票據--關係人(具控制與從屬關係)</t>
    <phoneticPr fontId="32" type="noConversion"/>
  </si>
  <si>
    <t xml:space="preserve">    應付保險賠款與給付</t>
    <phoneticPr fontId="30" type="noConversion"/>
  </si>
  <si>
    <t xml:space="preserve">    應收票據--催收款項</t>
    <phoneticPr fontId="30" type="noConversion"/>
  </si>
  <si>
    <t xml:space="preserve">    應收保費--催收款項</t>
    <phoneticPr fontId="30" type="noConversion"/>
  </si>
  <si>
    <t>本期所得稅負債</t>
    <phoneticPr fontId="32" type="noConversion"/>
  </si>
  <si>
    <t xml:space="preserve">    應收利息及收益--催收款項</t>
    <phoneticPr fontId="30" type="noConversion"/>
  </si>
  <si>
    <t>與待出售資產直接相關之負債</t>
    <phoneticPr fontId="32" type="noConversion"/>
  </si>
  <si>
    <t xml:space="preserve">    其他應收款--催收款項</t>
    <phoneticPr fontId="30" type="noConversion"/>
  </si>
  <si>
    <t>透過損益按公允價值衡量之金融負債</t>
    <phoneticPr fontId="32" type="noConversion"/>
  </si>
  <si>
    <t>本期所得稅資產</t>
    <phoneticPr fontId="32" type="noConversion"/>
  </si>
  <si>
    <t>避險之金融負債</t>
    <phoneticPr fontId="32" type="noConversion"/>
  </si>
  <si>
    <t xml:space="preserve">    公司股票(評價調整＄                    )</t>
    <phoneticPr fontId="32" type="noConversion"/>
  </si>
  <si>
    <t xml:space="preserve">    受益憑證</t>
    <phoneticPr fontId="32" type="noConversion"/>
  </si>
  <si>
    <t xml:space="preserve">    賠款準備</t>
    <phoneticPr fontId="30" type="noConversion"/>
  </si>
  <si>
    <t xml:space="preserve">    抵繳存出保證金</t>
    <phoneticPr fontId="32" type="noConversion"/>
  </si>
  <si>
    <t xml:space="preserve">    國外投資(屬股票部分之評價調整＄                    )</t>
    <phoneticPr fontId="32" type="noConversion"/>
  </si>
  <si>
    <t xml:space="preserve">    衍生性商品交易</t>
    <phoneticPr fontId="32" type="noConversion"/>
  </si>
  <si>
    <t xml:space="preserve">    其他投資</t>
    <phoneticPr fontId="32" type="noConversion"/>
  </si>
  <si>
    <t>透過其他綜合損益按公允價值衡量之金融資產</t>
    <phoneticPr fontId="32" type="noConversion"/>
  </si>
  <si>
    <t xml:space="preserve">    公債、庫券及儲蓄券</t>
    <phoneticPr fontId="32" type="noConversion"/>
  </si>
  <si>
    <t>具金融商品性質之保險契約準備</t>
    <phoneticPr fontId="32" type="noConversion"/>
  </si>
  <si>
    <t>負債準備</t>
    <phoneticPr fontId="32" type="noConversion"/>
  </si>
  <si>
    <t xml:space="preserve">    其他負債準備</t>
    <phoneticPr fontId="32" type="noConversion"/>
  </si>
  <si>
    <t xml:space="preserve">    專案運用公共及社會福利事業投資</t>
    <phoneticPr fontId="32" type="noConversion"/>
  </si>
  <si>
    <t>按攤銷後成本衡量之金融資產</t>
    <phoneticPr fontId="32" type="noConversion"/>
  </si>
  <si>
    <t>遞延所得稅負債-認許</t>
    <phoneticPr fontId="32" type="noConversion"/>
  </si>
  <si>
    <t xml:space="preserve">    公司股票</t>
    <phoneticPr fontId="32" type="noConversion"/>
  </si>
  <si>
    <t xml:space="preserve">        自用</t>
    <phoneticPr fontId="30" type="noConversion"/>
  </si>
  <si>
    <t xml:space="preserve">    公司債</t>
    <phoneticPr fontId="32" type="noConversion"/>
  </si>
  <si>
    <t>　  存入保證金</t>
    <phoneticPr fontId="32" type="noConversion"/>
  </si>
  <si>
    <t>避險之金融資產</t>
    <phoneticPr fontId="32" type="noConversion"/>
  </si>
  <si>
    <t>採用權益法之投資</t>
    <phoneticPr fontId="32" type="noConversion"/>
  </si>
  <si>
    <t xml:space="preserve">    營業損失準備</t>
    <phoneticPr fontId="30" type="noConversion"/>
  </si>
  <si>
    <t xml:space="preserve">    其他什項負債</t>
    <phoneticPr fontId="32" type="noConversion"/>
  </si>
  <si>
    <t xml:space="preserve">    墊繳保費</t>
    <phoneticPr fontId="30" type="noConversion"/>
  </si>
  <si>
    <t xml:space="preserve">    擔保放款</t>
    <phoneticPr fontId="30" type="noConversion"/>
  </si>
  <si>
    <t xml:space="preserve">    投資型保險商品負債</t>
    <phoneticPr fontId="32" type="noConversion"/>
  </si>
  <si>
    <t xml:space="preserve">    催收款項</t>
    <phoneticPr fontId="30" type="noConversion"/>
  </si>
  <si>
    <t xml:space="preserve">    勞退年金保險商品負債</t>
    <phoneticPr fontId="32" type="noConversion"/>
  </si>
  <si>
    <t>再保險合約資產</t>
    <phoneticPr fontId="32" type="noConversion"/>
  </si>
  <si>
    <t xml:space="preserve">    應收再保往來款項</t>
    <phoneticPr fontId="30" type="noConversion"/>
  </si>
  <si>
    <t xml:space="preserve">    分出未滿期保費準備</t>
    <phoneticPr fontId="32" type="noConversion"/>
  </si>
  <si>
    <t xml:space="preserve">    分出賠款準備</t>
    <phoneticPr fontId="32" type="noConversion"/>
  </si>
  <si>
    <t xml:space="preserve">    預收股本</t>
    <phoneticPr fontId="32" type="noConversion"/>
  </si>
  <si>
    <t>資本公積</t>
    <phoneticPr fontId="30" type="noConversion"/>
  </si>
  <si>
    <t xml:space="preserve">    土地</t>
    <phoneticPr fontId="30" type="noConversion"/>
  </si>
  <si>
    <t xml:space="preserve">    資本公積--發行股票溢價</t>
    <phoneticPr fontId="30" type="noConversion"/>
  </si>
  <si>
    <t xml:space="preserve">    土地改良物</t>
    <phoneticPr fontId="30" type="noConversion"/>
  </si>
  <si>
    <t xml:space="preserve">    資本公積--庫藏股票交易</t>
    <phoneticPr fontId="30" type="noConversion"/>
  </si>
  <si>
    <t xml:space="preserve">    租賃權益改良</t>
    <phoneticPr fontId="32" type="noConversion"/>
  </si>
  <si>
    <t xml:space="preserve">    資本公積--受領股東贈與</t>
    <phoneticPr fontId="30" type="noConversion"/>
  </si>
  <si>
    <t xml:space="preserve">    房屋及建築</t>
    <phoneticPr fontId="30" type="noConversion"/>
  </si>
  <si>
    <t xml:space="preserve">    資本公積--員工認股權</t>
    <phoneticPr fontId="32" type="noConversion"/>
  </si>
  <si>
    <t xml:space="preserve">    辦公及其他設備</t>
    <phoneticPr fontId="30" type="noConversion"/>
  </si>
  <si>
    <t xml:space="preserve">    資本公積--認股權</t>
    <phoneticPr fontId="32" type="noConversion"/>
  </si>
  <si>
    <t xml:space="preserve">    資本公積--其他</t>
    <phoneticPr fontId="32" type="noConversion"/>
  </si>
  <si>
    <t>無形資產</t>
    <phoneticPr fontId="30" type="noConversion"/>
  </si>
  <si>
    <t xml:space="preserve">    電腦軟體成本</t>
    <phoneticPr fontId="32" type="noConversion"/>
  </si>
  <si>
    <t xml:space="preserve">    遞延退休金成本</t>
    <phoneticPr fontId="30" type="noConversion"/>
  </si>
  <si>
    <t xml:space="preserve">    未分配保留盈餘(待彌補虧損)</t>
    <phoneticPr fontId="32" type="noConversion"/>
  </si>
  <si>
    <t xml:space="preserve">    其他無形資產</t>
    <phoneticPr fontId="32" type="noConversion"/>
  </si>
  <si>
    <t>遞延所得稅資產</t>
    <phoneticPr fontId="32" type="noConversion"/>
  </si>
  <si>
    <t>其他權益</t>
    <phoneticPr fontId="32" type="noConversion"/>
  </si>
  <si>
    <t>其他資產</t>
    <phoneticPr fontId="30" type="noConversion"/>
  </si>
  <si>
    <t xml:space="preserve">    國外營運機構財務報表換算之兌換差額</t>
    <phoneticPr fontId="30" type="noConversion"/>
  </si>
  <si>
    <t xml:space="preserve">    透過其他綜合損益按公允價值衡量之金融資產損益</t>
    <phoneticPr fontId="32" type="noConversion"/>
  </si>
  <si>
    <t xml:space="preserve">    避險工具之利益及損失</t>
    <phoneticPr fontId="32" type="noConversion"/>
  </si>
  <si>
    <t xml:space="preserve">    確定福利計畫之再衡量數</t>
    <phoneticPr fontId="32" type="noConversion"/>
  </si>
  <si>
    <t xml:space="preserve">    雜項資產</t>
    <phoneticPr fontId="32" type="noConversion"/>
  </si>
  <si>
    <t xml:space="preserve">    不動產重估增值</t>
    <phoneticPr fontId="32" type="noConversion"/>
  </si>
  <si>
    <t xml:space="preserve">    存出保證金</t>
    <phoneticPr fontId="30" type="noConversion"/>
  </si>
  <si>
    <t xml:space="preserve">    採用覆蓋法重分類之其他綜合損益</t>
    <phoneticPr fontId="32" type="noConversion"/>
  </si>
  <si>
    <t xml:space="preserve">    暫付及待結轉款項</t>
    <phoneticPr fontId="32" type="noConversion"/>
  </si>
  <si>
    <t xml:space="preserve">    與待出售非流動資產直接相關之權益</t>
    <phoneticPr fontId="32" type="noConversion"/>
  </si>
  <si>
    <t xml:space="preserve">    存出再保責任準備金</t>
    <phoneticPr fontId="30" type="noConversion"/>
  </si>
  <si>
    <t xml:space="preserve">    庫藏股票(成本)</t>
    <phoneticPr fontId="30" type="noConversion"/>
  </si>
  <si>
    <t xml:space="preserve">    遞延費用</t>
    <phoneticPr fontId="30" type="noConversion"/>
  </si>
  <si>
    <t xml:space="preserve">    其他權益-其他</t>
    <phoneticPr fontId="32" type="noConversion"/>
  </si>
  <si>
    <t>權益合計</t>
    <phoneticPr fontId="30" type="noConversion"/>
  </si>
  <si>
    <t>分離帳戶保險商品資產</t>
    <phoneticPr fontId="32" type="noConversion"/>
  </si>
  <si>
    <t>(33)</t>
  </si>
  <si>
    <t>(37)</t>
    <phoneticPr fontId="32" type="noConversion"/>
  </si>
  <si>
    <t>(22)=(21)-(20)</t>
    <phoneticPr fontId="32" type="noConversion"/>
  </si>
  <si>
    <t>(6)</t>
    <phoneticPr fontId="30" type="noConversion"/>
  </si>
  <si>
    <t>列號</t>
    <phoneticPr fontId="34" type="noConversion"/>
  </si>
  <si>
    <t>股票種類
(未上市上櫃股票)</t>
    <phoneticPr fontId="32" type="noConversion"/>
  </si>
  <si>
    <t>取得成本</t>
    <phoneticPr fontId="32" type="noConversion"/>
  </si>
  <si>
    <t>帳載金額</t>
    <phoneticPr fontId="32" type="noConversion"/>
  </si>
  <si>
    <t>最近淨值金額</t>
    <phoneticPr fontId="32" type="noConversion"/>
  </si>
  <si>
    <t>未實現評價利益(損失)</t>
    <phoneticPr fontId="32" type="noConversion"/>
  </si>
  <si>
    <t>非認許資產</t>
    <phoneticPr fontId="32" type="noConversion"/>
  </si>
  <si>
    <t>自有資本調整數</t>
    <phoneticPr fontId="32" type="noConversion"/>
  </si>
  <si>
    <t>(8)</t>
    <phoneticPr fontId="34" type="noConversion"/>
  </si>
  <si>
    <t>(9)</t>
    <phoneticPr fontId="34" type="noConversion"/>
  </si>
  <si>
    <t>(10)</t>
    <phoneticPr fontId="34" type="noConversion"/>
  </si>
  <si>
    <t>(11)</t>
    <phoneticPr fontId="34" type="noConversion"/>
  </si>
  <si>
    <t>(12)</t>
    <phoneticPr fontId="34" type="noConversion"/>
  </si>
  <si>
    <t>(13)</t>
    <phoneticPr fontId="34" type="noConversion"/>
  </si>
  <si>
    <t>未實現評價利益</t>
    <phoneticPr fontId="34" type="noConversion"/>
  </si>
  <si>
    <t>&gt;非認許資產</t>
    <phoneticPr fontId="34" type="noConversion"/>
  </si>
  <si>
    <t>≦非認許資產</t>
    <phoneticPr fontId="34" type="noConversion"/>
  </si>
  <si>
    <t>未實現評價損失</t>
    <phoneticPr fontId="34" type="noConversion"/>
  </si>
  <si>
    <t>未實現評價利益</t>
    <phoneticPr fontId="34" type="noConversion"/>
  </si>
  <si>
    <t>&gt;非認許資產</t>
    <phoneticPr fontId="34" type="noConversion"/>
  </si>
  <si>
    <t>合計</t>
    <phoneticPr fontId="34" type="noConversion"/>
  </si>
  <si>
    <t>ETF</t>
  </si>
  <si>
    <t xml:space="preserve"> (5)  過去三年內的平均保費成長率 = [(1d)+(2d)+(3d)]/3</t>
    <phoneticPr fontId="39" type="noConversion"/>
  </si>
  <si>
    <t>(23)</t>
    <phoneticPr fontId="34" type="noConversion"/>
  </si>
  <si>
    <t>(35)=
(33)-(34)</t>
    <phoneticPr fontId="30" type="noConversion"/>
  </si>
  <si>
    <t>(36)</t>
    <phoneticPr fontId="32" type="noConversion"/>
  </si>
  <si>
    <t>分離帳戶保險商品資產及負債於產險業不適用免填，但欄位請勿移動</t>
    <phoneticPr fontId="32" type="noConversion"/>
  </si>
  <si>
    <t>非認許資產之評定依「保險業計算資本適足率之資產認許標準及評價原則」辦理，認許資產及淨認資產之相關資料僅(半)年度填寫。</t>
    <phoneticPr fontId="32" type="noConversion"/>
  </si>
  <si>
    <t>(評價項目)</t>
    <phoneticPr fontId="32" type="noConversion"/>
  </si>
  <si>
    <t>評價科目包含金融資產評價調整、累計折舊、累計減損、備抵損失。</t>
    <phoneticPr fontId="32" type="noConversion"/>
  </si>
  <si>
    <t>如為上半年度報表時, 自留滿期賠款(25)=(3)+(9)-(12)+(15)+(21)-(24)+(6)+(18)</t>
    <phoneticPr fontId="32" type="noConversion"/>
  </si>
  <si>
    <t>股票種類
(上市上櫃股票)</t>
    <phoneticPr fontId="32" type="noConversion"/>
  </si>
  <si>
    <t>15-1</t>
    <phoneticPr fontId="32" type="noConversion"/>
  </si>
  <si>
    <t>15-2</t>
  </si>
  <si>
    <t>15-3</t>
  </si>
  <si>
    <t>申請展延期限(年)</t>
    <phoneticPr fontId="32" type="noConversion"/>
  </si>
  <si>
    <t>使用權資產</t>
    <phoneticPr fontId="32" type="noConversion"/>
  </si>
  <si>
    <t>70-1</t>
    <phoneticPr fontId="30" type="noConversion"/>
  </si>
  <si>
    <t>租賃負債</t>
    <phoneticPr fontId="32" type="noConversion"/>
  </si>
  <si>
    <t>(22)=
Σ[(2)~(21)]</t>
    <phoneticPr fontId="34" type="noConversion"/>
  </si>
  <si>
    <t>(4) = (2) + (3)</t>
    <phoneticPr fontId="30" type="noConversion"/>
  </si>
  <si>
    <t xml:space="preserve"> (9) = max{min[(7),(6)],(8)}</t>
    <phoneticPr fontId="30"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</si>
  <si>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</si>
  <si>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</si>
  <si>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8" type="noConversion"/>
  </si>
  <si>
    <t>未適格再保險未滿期保費準備之提存，請依保險業會計系統擇一方式計算之，其方式為：1. 逐項提存法  2. 簡易提存法，並於備註欄註明提存方式。</t>
    <phoneticPr fontId="18" type="noConversion"/>
  </si>
  <si>
    <t>(6) = (4) * (5)</t>
    <phoneticPr fontId="30" type="noConversion"/>
  </si>
  <si>
    <t>(7) = (4) * 150%</t>
    <phoneticPr fontId="30" type="noConversion"/>
  </si>
  <si>
    <t>(8) = (4) * 75%</t>
    <phoneticPr fontId="30" type="noConversion"/>
  </si>
  <si>
    <t xml:space="preserve"> </t>
    <phoneticPr fontId="30" type="noConversion"/>
  </si>
  <si>
    <t>Herfindahl Index</t>
    <phoneticPr fontId="30" type="noConversion"/>
  </si>
  <si>
    <t>Ba3</t>
    <phoneticPr fontId="30" type="noConversion"/>
  </si>
  <si>
    <t>C</t>
    <phoneticPr fontId="32" type="noConversion"/>
  </si>
  <si>
    <t>Moody's</t>
  </si>
  <si>
    <t>金額</t>
  </si>
  <si>
    <t>twAAA</t>
    <phoneticPr fontId="30" type="noConversion"/>
  </si>
  <si>
    <t>twCCC+</t>
  </si>
  <si>
    <t>twCCC</t>
  </si>
  <si>
    <t>本項資料來源因公司投資不動產筆數多寡而使列號變更，請依其投資筆數酌予修正資料來源列號。</t>
    <phoneticPr fontId="30" type="noConversion"/>
  </si>
  <si>
    <t>本列所述之資料來源說明中，若風險資本額另由計算表計算而得者，係指風險資本額之連結欄位。</t>
    <phoneticPr fontId="30" type="noConversion"/>
  </si>
  <si>
    <t>風險項目</t>
  </si>
  <si>
    <t>資料來源(註6)</t>
  </si>
  <si>
    <t>(1)</t>
    <phoneticPr fontId="30" type="noConversion"/>
  </si>
  <si>
    <t>1.2.6 ETN</t>
    <phoneticPr fontId="30" type="noConversion"/>
  </si>
  <si>
    <t>1b.1.11 ETN</t>
    <phoneticPr fontId="30" type="noConversion"/>
  </si>
  <si>
    <t>1b.2.11 ETN</t>
    <phoneticPr fontId="30" type="noConversion"/>
  </si>
  <si>
    <t>註</t>
    <phoneticPr fontId="32" type="noConversion"/>
  </si>
  <si>
    <t>E-MAIL</t>
    <phoneticPr fontId="32" type="noConversion"/>
  </si>
  <si>
    <t>所稱會計師年度查核表格係指屬保險業內部控制及稽核制度實施辦法第二十九條規定之報表及保險業資本適足性管理辦法第五條之報表</t>
    <phoneticPr fontId="32" type="noConversion"/>
  </si>
  <si>
    <t>各式半年及年報應於主管機關規定期限報送</t>
    <phoneticPr fontId="32" type="noConversion"/>
  </si>
  <si>
    <t>4</t>
    <phoneticPr fontId="32" type="noConversion"/>
  </si>
  <si>
    <t>%</t>
    <phoneticPr fontId="30" type="noConversion"/>
  </si>
  <si>
    <t>(4)ETN</t>
  </si>
  <si>
    <t>(31)</t>
    <phoneticPr fontId="30" type="noConversion"/>
  </si>
  <si>
    <t>註：</t>
    <phoneticPr fontId="30" type="noConversion"/>
  </si>
  <si>
    <t>證券代號及發行機構代號請洽由財團法人保險事業發展中心統一配賦。</t>
    <phoneticPr fontId="32" type="noConversion"/>
  </si>
  <si>
    <t>15</t>
    <phoneticPr fontId="32" type="noConversion"/>
  </si>
  <si>
    <t>ETN</t>
    <phoneticPr fontId="32" type="noConversion"/>
  </si>
  <si>
    <t>(7)</t>
    <phoneticPr fontId="30" type="noConversion"/>
  </si>
  <si>
    <t xml:space="preserve"> (11)</t>
    <phoneticPr fontId="30" type="noConversion"/>
  </si>
  <si>
    <t xml:space="preserve"> (12)</t>
    <phoneticPr fontId="30" type="noConversion"/>
  </si>
  <si>
    <t xml:space="preserve"> (13)</t>
    <phoneticPr fontId="30" type="noConversion"/>
  </si>
  <si>
    <t xml:space="preserve"> (14)</t>
  </si>
  <si>
    <t>(15)</t>
    <phoneticPr fontId="32" type="noConversion"/>
  </si>
  <si>
    <t>(31)</t>
    <phoneticPr fontId="32" type="noConversion"/>
  </si>
  <si>
    <t>19-2</t>
    <phoneticPr fontId="32" type="noConversion"/>
  </si>
  <si>
    <t>19-3</t>
    <phoneticPr fontId="32" type="noConversion"/>
  </si>
  <si>
    <t>(16)</t>
    <phoneticPr fontId="32" type="noConversion"/>
  </si>
  <si>
    <t>1</t>
    <phoneticPr fontId="32" type="noConversion"/>
  </si>
  <si>
    <t>0.1.2.7 ETF</t>
  </si>
  <si>
    <t>0.1.2.8 ETN</t>
  </si>
  <si>
    <t>0.2.2.7 ETF</t>
    <phoneticPr fontId="30" type="noConversion"/>
  </si>
  <si>
    <t>0.2.2.8 ETN</t>
    <phoneticPr fontId="30" type="noConversion"/>
  </si>
  <si>
    <t>N/A(註3)</t>
  </si>
  <si>
    <t>(六)台灣存託憑證(註13)</t>
  </si>
  <si>
    <t>可減除計算風險資本之金額</t>
    <phoneticPr fontId="32" type="noConversion"/>
  </si>
  <si>
    <t>(30)</t>
    <phoneticPr fontId="32"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</si>
  <si>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</si>
  <si>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</si>
  <si>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</si>
  <si>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</si>
  <si>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</si>
  <si>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</si>
  <si>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</si>
  <si>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</si>
  <si>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</si>
  <si>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</si>
  <si>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</si>
  <si>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</si>
  <si>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</si>
  <si>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</si>
  <si>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</si>
  <si>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</si>
  <si>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</si>
  <si>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</si>
  <si>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</si>
  <si>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</si>
  <si>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</si>
  <si>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</si>
  <si>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</si>
  <si>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</si>
  <si>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</si>
  <si>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</si>
  <si>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</si>
  <si>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</si>
  <si>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</si>
  <si>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</si>
  <si>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</si>
  <si>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</si>
  <si>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</si>
  <si>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</si>
  <si>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</si>
  <si>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</si>
  <si>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</si>
  <si>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</si>
  <si>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</si>
  <si>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</si>
  <si>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</si>
  <si>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</si>
  <si>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</si>
  <si>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</si>
  <si>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</si>
  <si>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</si>
  <si>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</si>
  <si>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</si>
  <si>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</si>
  <si>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</si>
  <si>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</si>
  <si>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</si>
  <si>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</si>
  <si>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</si>
  <si>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</si>
  <si>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</si>
  <si>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</si>
  <si>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</si>
  <si>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</si>
  <si>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</si>
  <si>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</si>
  <si>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</si>
  <si>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</si>
  <si>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</si>
  <si>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</si>
  <si>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</si>
  <si>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</si>
  <si>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</si>
  <si>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</si>
  <si>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</si>
  <si>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</si>
  <si>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</si>
  <si>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</si>
  <si>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</si>
  <si>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</si>
  <si>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</si>
  <si>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</si>
  <si>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</si>
  <si>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</si>
  <si>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</si>
  <si>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</si>
  <si>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</si>
  <si>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</si>
  <si>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</si>
  <si>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</si>
  <si>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</si>
  <si>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</si>
  <si>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</si>
  <si>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</si>
  <si>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</si>
  <si>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</si>
  <si>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</si>
  <si>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</si>
  <si>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</si>
  <si>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</si>
  <si>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</si>
  <si>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</si>
  <si>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</si>
  <si>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</si>
  <si>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</si>
  <si>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</si>
  <si>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</si>
  <si>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</si>
  <si>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</si>
  <si>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</si>
  <si>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</si>
  <si>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</si>
  <si>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</si>
  <si>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</si>
  <si>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</si>
  <si>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</si>
  <si>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</si>
  <si>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</si>
  <si>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</si>
  <si>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</si>
  <si>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</si>
  <si>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</si>
  <si>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</si>
  <si>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</si>
  <si>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</si>
  <si>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</si>
  <si>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</si>
  <si>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</si>
  <si>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</si>
  <si>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</si>
  <si>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</si>
  <si>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</si>
  <si>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</si>
  <si>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</si>
  <si>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</si>
  <si>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</si>
  <si>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</si>
  <si>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</si>
  <si>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</si>
  <si>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</si>
  <si>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</si>
  <si>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</si>
  <si>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</si>
  <si>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</si>
  <si>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</si>
  <si>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</si>
  <si>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</si>
  <si>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</si>
  <si>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</si>
  <si>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</si>
  <si>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</si>
  <si>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</si>
  <si>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</si>
  <si>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</si>
  <si>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</si>
  <si>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</si>
  <si>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</si>
  <si>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</si>
  <si>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</si>
  <si>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</si>
  <si>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</si>
  <si>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</si>
  <si>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</si>
  <si>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</si>
  <si>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</si>
  <si>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</si>
  <si>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</si>
  <si>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</si>
  <si>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</si>
  <si>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</si>
  <si>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</si>
  <si>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</si>
  <si>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</si>
  <si>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</si>
  <si>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</si>
  <si>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</si>
  <si>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</si>
  <si>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</si>
  <si>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</si>
  <si>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</si>
  <si>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</si>
  <si>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</si>
  <si>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</si>
  <si>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</si>
  <si>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</si>
  <si>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</si>
  <si>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</si>
  <si>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</si>
  <si>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</si>
  <si>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</si>
  <si>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</si>
  <si>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</si>
  <si>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</si>
  <si>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</si>
  <si>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</si>
  <si>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</si>
  <si>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</si>
  <si>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</si>
  <si>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</si>
  <si>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</si>
  <si>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</si>
  <si>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</si>
  <si>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</si>
  <si>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</si>
  <si>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</si>
  <si>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</si>
  <si>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</si>
  <si>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</si>
  <si>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</si>
  <si>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</si>
  <si>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</si>
  <si>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</si>
  <si>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</si>
  <si>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</si>
  <si>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</si>
  <si>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</si>
  <si>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</si>
  <si>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</si>
  <si>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</si>
  <si>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</si>
  <si>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</si>
  <si>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</si>
  <si>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</si>
  <si>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</si>
  <si>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</si>
  <si>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</si>
  <si>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</si>
  <si>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</si>
  <si>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</si>
  <si>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</si>
  <si>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</si>
  <si>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</si>
  <si>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</si>
  <si>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</si>
  <si>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</si>
  <si>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</si>
  <si>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</si>
  <si>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</si>
  <si>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</si>
  <si>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</si>
  <si>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</si>
  <si>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</si>
  <si>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</si>
  <si>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</si>
  <si>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</si>
  <si>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</si>
  <si>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</si>
  <si>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</si>
  <si>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</si>
  <si>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</si>
  <si>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</si>
  <si>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</si>
  <si>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</si>
  <si>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</si>
  <si>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</si>
  <si>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</si>
  <si>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</si>
  <si>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</si>
  <si>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</si>
  <si>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</si>
  <si>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</si>
  <si>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</si>
  <si>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</si>
  <si>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</si>
  <si>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</si>
  <si>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</si>
  <si>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</si>
  <si>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</si>
  <si>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</si>
  <si>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</si>
  <si>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</si>
  <si>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</si>
  <si>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</si>
  <si>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</si>
  <si>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</si>
  <si>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</si>
  <si>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</si>
  <si>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</si>
  <si>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</si>
  <si>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</si>
  <si>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</si>
  <si>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</si>
  <si>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</si>
  <si>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</si>
  <si>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</si>
  <si>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</si>
  <si>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</si>
  <si>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</si>
  <si>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</si>
  <si>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</si>
  <si>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</si>
  <si>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</si>
  <si>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</si>
  <si>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</si>
  <si>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</si>
  <si>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</si>
  <si>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</si>
  <si>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</si>
  <si>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</si>
  <si>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</si>
  <si>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</si>
  <si>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</si>
  <si>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</si>
  <si>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</si>
  <si>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</si>
  <si>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</si>
  <si>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</si>
  <si>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</si>
  <si>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</si>
  <si>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</si>
  <si>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</si>
  <si>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</si>
  <si>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</si>
  <si>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</si>
  <si>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</si>
  <si>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</si>
  <si>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</si>
  <si>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</si>
  <si>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</si>
  <si>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</si>
  <si>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</si>
  <si>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</si>
  <si>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</si>
  <si>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</si>
  <si>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</si>
  <si>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</si>
  <si>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</si>
  <si>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</si>
  <si>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</si>
  <si>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</si>
  <si>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</si>
  <si>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</si>
  <si>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</si>
  <si>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</si>
  <si>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</si>
  <si>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</si>
  <si>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</si>
  <si>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</si>
  <si>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</si>
  <si>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</si>
  <si>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</si>
  <si>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</si>
  <si>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</si>
  <si>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</si>
  <si>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</si>
  <si>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</si>
  <si>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</si>
  <si>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</si>
  <si>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</si>
  <si>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</si>
  <si>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</si>
  <si>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</si>
  <si>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</si>
  <si>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</si>
  <si>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</si>
  <si>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</si>
  <si>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</si>
  <si>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</si>
  <si>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</si>
  <si>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</si>
  <si>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</si>
  <si>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</si>
  <si>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</si>
  <si>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</si>
  <si>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</si>
  <si>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</si>
  <si>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</si>
  <si>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</si>
  <si>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</si>
  <si>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</si>
  <si>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</si>
  <si>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</si>
  <si>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</si>
  <si>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</si>
  <si>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</si>
  <si>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</si>
  <si>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</si>
  <si>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</si>
  <si>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</si>
  <si>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</si>
  <si>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</si>
  <si>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</si>
  <si>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</si>
  <si>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</si>
  <si>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</si>
  <si>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</si>
  <si>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</si>
  <si>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</si>
  <si>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</si>
  <si>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</si>
  <si>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</si>
  <si>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</si>
  <si>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</si>
  <si>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</si>
  <si>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</si>
  <si>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</si>
  <si>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</si>
  <si>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</si>
  <si>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</si>
  <si>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</si>
  <si>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</si>
  <si>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</si>
  <si>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</si>
  <si>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</si>
  <si>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</si>
  <si>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</si>
  <si>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</si>
  <si>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</si>
  <si>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</si>
  <si>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</si>
  <si>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</si>
  <si>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</si>
  <si>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</si>
  <si>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</si>
  <si>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</si>
  <si>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</si>
  <si>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</si>
  <si>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</si>
  <si>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</si>
  <si>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</si>
  <si>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</si>
  <si>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</si>
  <si>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</si>
  <si>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</si>
  <si>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</si>
  <si>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</si>
  <si>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</si>
  <si>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</si>
  <si>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</si>
  <si>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</si>
  <si>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</si>
  <si>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</si>
  <si>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</si>
  <si>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</si>
  <si>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</si>
  <si>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</si>
  <si>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</si>
  <si>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</si>
  <si>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</si>
  <si>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</si>
  <si>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</si>
  <si>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</si>
  <si>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</si>
  <si>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</si>
  <si>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</si>
  <si>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</si>
  <si>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</si>
  <si>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</si>
  <si>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</si>
  <si>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</si>
  <si>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</si>
  <si>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</si>
  <si>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</si>
  <si>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</si>
  <si>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</si>
  <si>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</si>
  <si>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</si>
  <si>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</si>
  <si>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</si>
  <si>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</si>
  <si>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</si>
  <si>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</si>
  <si>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</si>
  <si>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</si>
  <si>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</si>
  <si>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</si>
  <si>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</si>
  <si>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</si>
  <si>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</si>
  <si>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</si>
  <si>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</si>
  <si>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</si>
  <si>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</si>
  <si>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</si>
  <si>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</si>
  <si>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</si>
  <si>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</si>
  <si>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</si>
  <si>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</si>
  <si>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</si>
  <si>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</si>
  <si>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</si>
  <si>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</si>
  <si>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</si>
  <si>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</si>
  <si>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</si>
  <si>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</si>
  <si>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</si>
  <si>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</si>
  <si>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</si>
  <si>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</si>
  <si>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</si>
  <si>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</si>
  <si>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</si>
  <si>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</si>
  <si>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</si>
  <si>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</si>
  <si>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</si>
  <si>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</si>
  <si>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</si>
  <si>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</si>
  <si>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</si>
  <si>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</si>
  <si>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</si>
  <si>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</si>
  <si>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</si>
  <si>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</si>
  <si>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</si>
  <si>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</si>
  <si>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</si>
  <si>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</si>
  <si>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</si>
  <si>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</si>
  <si>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</si>
  <si>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</si>
  <si>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</si>
  <si>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</si>
  <si>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</si>
  <si>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</si>
  <si>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</si>
  <si>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</si>
  <si>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</si>
  <si>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</si>
  <si>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</si>
  <si>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</si>
  <si>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</si>
  <si>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</si>
  <si>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</si>
  <si>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</si>
  <si>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</si>
  <si>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</si>
  <si>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</si>
  <si>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</si>
  <si>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</si>
  <si>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</si>
  <si>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</si>
  <si>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</si>
  <si>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</si>
  <si>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</si>
  <si>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</si>
  <si>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</si>
  <si>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</si>
  <si>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</si>
  <si>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</si>
  <si>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</si>
  <si>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</si>
  <si>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</si>
  <si>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</si>
  <si>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</si>
  <si>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</si>
  <si>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</si>
  <si>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</si>
  <si>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</si>
  <si>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</si>
  <si>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</si>
  <si>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</si>
  <si>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</si>
  <si>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</si>
  <si>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</si>
  <si>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</si>
  <si>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</si>
  <si>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</si>
  <si>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</si>
  <si>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</si>
  <si>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</si>
  <si>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</si>
  <si>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</si>
  <si>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</si>
  <si>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</si>
  <si>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</si>
  <si>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</si>
  <si>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</si>
  <si>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</si>
  <si>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</si>
  <si>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</si>
  <si>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</si>
  <si>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</si>
  <si>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</si>
  <si>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</si>
  <si>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</si>
  <si>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</si>
  <si>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</si>
  <si>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</si>
  <si>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</si>
  <si>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</si>
  <si>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</si>
  <si>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</si>
  <si>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</si>
  <si>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</si>
  <si>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</si>
  <si>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</si>
  <si>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</si>
  <si>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</si>
  <si>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</si>
  <si>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</si>
  <si>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</si>
  <si>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</si>
  <si>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</si>
  <si>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</si>
  <si>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</si>
  <si>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</si>
  <si>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</si>
  <si>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</si>
  <si>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</si>
  <si>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</si>
  <si>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</si>
  <si>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</si>
  <si>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</si>
  <si>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</si>
  <si>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</si>
  <si>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</si>
  <si>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</si>
  <si>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</si>
  <si>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</si>
  <si>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</si>
  <si>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</si>
  <si>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</si>
  <si>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</si>
  <si>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</si>
  <si>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</si>
  <si>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</si>
  <si>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</si>
  <si>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</si>
  <si>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</si>
  <si>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</si>
  <si>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</si>
  <si>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</si>
  <si>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</si>
  <si>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</si>
  <si>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</si>
  <si>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</si>
  <si>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</si>
  <si>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</si>
  <si>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</si>
  <si>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</si>
  <si>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</si>
  <si>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</si>
  <si>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</si>
  <si>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</si>
  <si>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</si>
  <si>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</si>
  <si>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</si>
  <si>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</si>
  <si>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</si>
  <si>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</si>
  <si>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</si>
  <si>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</si>
  <si>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</si>
  <si>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</si>
  <si>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</si>
  <si>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</si>
  <si>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</si>
  <si>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</si>
  <si>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</si>
  <si>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</si>
  <si>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</si>
  <si>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</si>
  <si>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</si>
  <si>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</si>
  <si>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</si>
  <si>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</si>
  <si>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</si>
  <si>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</si>
  <si>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</si>
  <si>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</si>
  <si>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</si>
  <si>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</si>
  <si>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</si>
  <si>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</si>
  <si>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</si>
  <si>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</si>
  <si>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</si>
  <si>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</si>
  <si>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</si>
  <si>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</si>
  <si>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</si>
  <si>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</si>
  <si>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</si>
  <si>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</si>
  <si>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</si>
  <si>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</si>
  <si>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</si>
  <si>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</si>
  <si>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</si>
  <si>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</si>
  <si>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</si>
  <si>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</si>
  <si>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</si>
  <si>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</si>
  <si>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</si>
  <si>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</si>
  <si>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</si>
  <si>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</si>
  <si>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</si>
  <si>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</si>
  <si>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</si>
  <si>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</si>
  <si>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</si>
  <si>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</si>
  <si>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</si>
  <si>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</si>
  <si>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</si>
  <si>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</si>
  <si>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</si>
  <si>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</si>
  <si>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</si>
  <si>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</si>
  <si>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</si>
  <si>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</si>
  <si>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</si>
  <si>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</si>
  <si>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</si>
  <si>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</si>
  <si>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</si>
  <si>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</si>
  <si>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</si>
  <si>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</si>
  <si>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</si>
  <si>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</si>
  <si>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</si>
  <si>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</si>
  <si>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</si>
  <si>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</si>
  <si>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</si>
  <si>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</si>
  <si>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</si>
  <si>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</si>
  <si>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</si>
  <si>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</si>
  <si>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</si>
  <si>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</si>
  <si>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</si>
  <si>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</si>
  <si>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</si>
  <si>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</si>
  <si>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</si>
  <si>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</si>
  <si>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</si>
  <si>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</si>
  <si>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</si>
  <si>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</si>
  <si>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</si>
  <si>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</si>
  <si>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</si>
  <si>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</si>
  <si>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</si>
  <si>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</si>
  <si>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</si>
  <si>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</si>
  <si>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</si>
  <si>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</si>
  <si>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</si>
  <si>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</si>
  <si>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</si>
  <si>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</si>
  <si>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</si>
  <si>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</si>
  <si>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</si>
  <si>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</si>
  <si>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</si>
  <si>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</si>
  <si>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</si>
  <si>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</si>
  <si>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</si>
  <si>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</si>
  <si>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</si>
  <si>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</si>
  <si>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</si>
  <si>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</si>
  <si>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</si>
  <si>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</si>
  <si>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</si>
  <si>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</si>
  <si>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</si>
  <si>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</si>
  <si>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</si>
  <si>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</si>
  <si>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</si>
  <si>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</si>
  <si>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</si>
  <si>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</si>
  <si>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</si>
  <si>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</si>
  <si>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</si>
  <si>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</si>
  <si>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</si>
  <si>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</si>
  <si>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</si>
  <si>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</si>
  <si>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</si>
  <si>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</si>
  <si>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</si>
  <si>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</si>
  <si>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</si>
  <si>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</si>
  <si>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</si>
  <si>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</si>
  <si>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</si>
  <si>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</si>
  <si>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</si>
  <si>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</si>
  <si>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</si>
  <si>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</si>
  <si>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</si>
  <si>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</si>
  <si>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</si>
  <si>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</si>
  <si>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</si>
  <si>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</si>
  <si>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</si>
  <si>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</si>
  <si>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</si>
  <si>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</si>
  <si>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</si>
  <si>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</si>
  <si>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</si>
  <si>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</si>
  <si>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</si>
  <si>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</si>
  <si>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</si>
  <si>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</si>
  <si>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</si>
  <si>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</si>
  <si>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</si>
  <si>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</si>
  <si>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</si>
  <si>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</si>
  <si>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</si>
  <si>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</si>
  <si>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</si>
  <si>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</si>
  <si>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</si>
  <si>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</si>
  <si>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</si>
  <si>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</si>
  <si>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</si>
  <si>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</si>
  <si>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</si>
  <si>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</si>
  <si>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</si>
  <si>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</si>
  <si>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</si>
  <si>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</si>
  <si>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</si>
  <si>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</si>
  <si>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</si>
  <si>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</si>
  <si>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</si>
  <si>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</si>
  <si>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</si>
  <si>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</si>
  <si>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</si>
  <si>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</si>
  <si>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</si>
  <si>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</si>
  <si>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</si>
  <si>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</si>
  <si>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</si>
  <si>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</si>
  <si>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</si>
  <si>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</si>
  <si>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</si>
  <si>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</si>
  <si>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</si>
  <si>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</si>
  <si>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</si>
  <si>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</si>
  <si>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</si>
  <si>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</si>
  <si>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</si>
  <si>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</si>
  <si>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</si>
  <si>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</si>
  <si>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</si>
  <si>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</si>
  <si>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</si>
  <si>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</si>
  <si>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</si>
  <si>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</si>
  <si>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</si>
  <si>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</si>
  <si>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</si>
  <si>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</si>
  <si>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</si>
  <si>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</si>
  <si>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</si>
  <si>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</si>
  <si>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</si>
  <si>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</si>
  <si>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</si>
  <si>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</si>
  <si>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</si>
  <si>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</si>
  <si>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</si>
  <si>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</si>
  <si>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</si>
  <si>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</si>
  <si>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</si>
  <si>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</si>
  <si>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</si>
  <si>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</si>
  <si>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</si>
  <si>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</si>
  <si>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</si>
  <si>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</si>
  <si>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</si>
  <si>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</si>
  <si>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</si>
  <si>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</si>
  <si>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</si>
  <si>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</si>
  <si>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</si>
  <si>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</si>
  <si>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</si>
  <si>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</si>
  <si>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</si>
  <si>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</si>
  <si>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</si>
  <si>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</si>
  <si>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</si>
  <si>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</si>
  <si>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</si>
  <si>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</si>
  <si>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</si>
  <si>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</si>
  <si>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</si>
  <si>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</si>
  <si>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</si>
  <si>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</si>
  <si>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</si>
  <si>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</si>
  <si>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</si>
  <si>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</si>
  <si>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</si>
  <si>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</si>
  <si>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</si>
  <si>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</si>
  <si>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</si>
  <si>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</si>
  <si>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</si>
  <si>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</si>
  <si>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</si>
  <si>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</si>
  <si>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</si>
  <si>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</si>
  <si>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</si>
  <si>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</si>
  <si>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</si>
  <si>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</si>
  <si>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</si>
  <si>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</si>
  <si>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</si>
  <si>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</si>
  <si>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</si>
  <si>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</si>
  <si>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</si>
  <si>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</si>
  <si>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</si>
  <si>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</si>
  <si>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</si>
  <si>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</si>
  <si>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</si>
  <si>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</si>
  <si>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</si>
  <si>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</si>
  <si>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</si>
  <si>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</si>
  <si>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</si>
  <si>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</si>
  <si>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</si>
  <si>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</si>
  <si>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</si>
  <si>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</si>
  <si>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</si>
  <si>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</si>
  <si>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</si>
  <si>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</si>
  <si>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</si>
  <si>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</si>
  <si>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</si>
  <si>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</si>
  <si>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</si>
  <si>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</si>
  <si>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</si>
  <si>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</si>
  <si>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</si>
  <si>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</si>
  <si>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</si>
  <si>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</si>
  <si>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</si>
  <si>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</si>
  <si>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</si>
  <si>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</si>
  <si>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</si>
  <si>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</si>
  <si>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</si>
  <si>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</si>
  <si>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</si>
  <si>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</si>
  <si>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</si>
  <si>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</si>
  <si>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</si>
  <si>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</si>
  <si>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</si>
  <si>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</si>
  <si>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</si>
  <si>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</si>
  <si>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</si>
  <si>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</si>
  <si>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</si>
  <si>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</si>
  <si>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</si>
  <si>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</si>
  <si>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</si>
  <si>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</si>
  <si>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</si>
  <si>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</si>
  <si>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</si>
  <si>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</si>
  <si>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</si>
  <si>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</si>
  <si>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</si>
  <si>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</si>
  <si>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</si>
  <si>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</si>
  <si>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</si>
  <si>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</si>
  <si>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</si>
  <si>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</si>
  <si>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</si>
  <si>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</si>
  <si>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</si>
  <si>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</si>
  <si>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</si>
  <si>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</si>
  <si>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</si>
  <si>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</si>
  <si>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</si>
  <si>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</si>
  <si>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</si>
  <si>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</si>
  <si>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</si>
  <si>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</si>
  <si>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</si>
  <si>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</si>
  <si>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</si>
  <si>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</si>
  <si>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</si>
  <si>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</si>
  <si>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</si>
  <si>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</si>
  <si>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</si>
  <si>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</si>
  <si>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</si>
  <si>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</si>
  <si>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</si>
  <si>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</si>
  <si>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</si>
  <si>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</si>
  <si>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</si>
  <si>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</si>
  <si>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</si>
  <si>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</si>
  <si>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</si>
  <si>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</si>
  <si>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</si>
  <si>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</si>
  <si>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</si>
  <si>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</si>
  <si>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</si>
  <si>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</si>
  <si>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</si>
  <si>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</si>
  <si>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</si>
  <si>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</si>
  <si>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</si>
  <si>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</si>
  <si>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</si>
  <si>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</si>
  <si>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</si>
  <si>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</si>
  <si>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</si>
  <si>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</si>
  <si>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</si>
  <si>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</si>
  <si>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</si>
  <si>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</si>
  <si>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</si>
  <si>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</si>
  <si>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</si>
  <si>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</si>
  <si>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</si>
  <si>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</si>
  <si>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</si>
  <si>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</si>
  <si>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</si>
  <si>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</si>
  <si>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</si>
  <si>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</si>
  <si>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</si>
  <si>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</si>
  <si>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30" type="noConversion"/>
  </si>
  <si>
    <t>目錄</t>
    <phoneticPr fontId="30" type="noConversion"/>
  </si>
  <si>
    <t>受益憑證及ETN為國內發行但其投資區域包含國外者(關係人)</t>
    <phoneticPr fontId="30" type="noConversion"/>
  </si>
  <si>
    <t>屬實質互相投資</t>
    <phoneticPr fontId="32" type="noConversion"/>
  </si>
  <si>
    <t>風險資本額</t>
    <phoneticPr fontId="30" type="noConversion"/>
  </si>
  <si>
    <t>N/A(註7)</t>
    <phoneticPr fontId="30" type="noConversion"/>
  </si>
  <si>
    <t>N/A(註7)</t>
    <phoneticPr fontId="30" type="noConversion"/>
  </si>
  <si>
    <t>1.2.5 ETF</t>
    <phoneticPr fontId="30" type="noConversion"/>
  </si>
  <si>
    <t>註5</t>
    <phoneticPr fontId="30" type="noConversion"/>
  </si>
  <si>
    <t>本期</t>
    <phoneticPr fontId="30" type="noConversion"/>
  </si>
  <si>
    <t>前期</t>
    <phoneticPr fontId="30" type="noConversion"/>
  </si>
  <si>
    <t>業主權益</t>
    <phoneticPr fontId="30" type="noConversion"/>
  </si>
  <si>
    <t>不含投資型保險專設帳簿之資產總額</t>
    <phoneticPr fontId="30" type="noConversion"/>
  </si>
  <si>
    <t>淨值比率</t>
    <phoneticPr fontId="30" type="noConversion"/>
  </si>
  <si>
    <t>股票型基金</t>
    <phoneticPr fontId="30" type="noConversion"/>
  </si>
  <si>
    <t>資本適足率</t>
    <phoneticPr fontId="30" type="noConversion"/>
  </si>
  <si>
    <t>一、資本適足率</t>
    <phoneticPr fontId="30" type="noConversion"/>
  </si>
  <si>
    <t>二、淨值比率</t>
    <phoneticPr fontId="30" type="noConversion"/>
  </si>
  <si>
    <t>備註</t>
    <phoneticPr fontId="30" type="noConversion"/>
  </si>
  <si>
    <t>風險係數</t>
    <phoneticPr fontId="30" type="noConversion"/>
  </si>
  <si>
    <t>已開發國家</t>
    <phoneticPr fontId="30" type="noConversion"/>
  </si>
  <si>
    <t>新興市場</t>
    <phoneticPr fontId="30" type="noConversion"/>
  </si>
  <si>
    <t>新興市場</t>
    <phoneticPr fontId="30" type="noConversion"/>
  </si>
  <si>
    <t>平衡型共同基金及多重資產型基金</t>
    <phoneticPr fontId="32" type="noConversion"/>
  </si>
  <si>
    <t>平衡型共同基金及多重資產型基金</t>
    <phoneticPr fontId="32" type="noConversion"/>
  </si>
  <si>
    <r>
      <t>本年度提存金額</t>
    </r>
    <r>
      <rPr>
        <sz val="10"/>
        <rFont val="Times New Roman"/>
        <family val="1"/>
      </rPr>
      <t/>
    </r>
    <phoneticPr fontId="32" type="noConversion"/>
  </si>
  <si>
    <r>
      <t>已付賠款</t>
    </r>
    <r>
      <rPr>
        <sz val="12"/>
        <color indexed="10"/>
        <rFont val="Times New Roman"/>
        <family val="1"/>
      </rPr>
      <t/>
    </r>
    <phoneticPr fontId="32" type="noConversion"/>
  </si>
  <si>
    <r>
      <t>提存賠款準備</t>
    </r>
    <r>
      <rPr>
        <sz val="12"/>
        <color indexed="10"/>
        <rFont val="Times New Roman"/>
        <family val="1"/>
      </rPr>
      <t/>
    </r>
    <phoneticPr fontId="32" type="noConversion"/>
  </si>
  <si>
    <t>證券種類小計</t>
    <phoneticPr fontId="30" type="noConversion"/>
  </si>
  <si>
    <t>平衡型基金及多重資產型基金</t>
    <phoneticPr fontId="34" type="noConversion"/>
  </si>
  <si>
    <r>
      <t xml:space="preserve"> </t>
    </r>
    <r>
      <rPr>
        <sz val="32"/>
        <rFont val="標楷體"/>
        <family val="4"/>
        <charset val="136"/>
      </rPr>
      <t>中央再保險股份有限公司</t>
    </r>
    <phoneticPr fontId="32" type="noConversion"/>
  </si>
  <si>
    <t>負債型特別股：為累積或有利率加碼條件或其他提前贖回之誘因</t>
    <phoneticPr fontId="32" type="noConversion"/>
  </si>
  <si>
    <t>小計</t>
    <phoneticPr fontId="32" type="noConversion"/>
  </si>
  <si>
    <t>具資本性資債券：為累積或有利率加碼條件或其他提前贖回之誘因</t>
    <phoneticPr fontId="32" type="noConversion"/>
  </si>
  <si>
    <t>否</t>
    <phoneticPr fontId="30" type="noConversion"/>
  </si>
  <si>
    <t>否</t>
    <phoneticPr fontId="30" type="noConversion"/>
  </si>
  <si>
    <t>(1)</t>
    <phoneticPr fontId="30" type="noConversion"/>
  </si>
  <si>
    <t>(3)=(1)+(2)</t>
    <phoneticPr fontId="30" type="noConversion"/>
  </si>
  <si>
    <t>(4)</t>
    <phoneticPr fontId="30" type="noConversion"/>
  </si>
  <si>
    <t>(8)=(6)*(7)</t>
    <phoneticPr fontId="30" type="noConversion"/>
  </si>
  <si>
    <t>(9)=MIN((3),(8))</t>
    <phoneticPr fontId="30" type="noConversion"/>
  </si>
  <si>
    <t>(6)=(4)/(5)-1</t>
    <phoneticPr fontId="30" type="noConversion"/>
  </si>
  <si>
    <t>投資用國外不動產--已開發國家</t>
    <phoneticPr fontId="30" type="noConversion"/>
  </si>
  <si>
    <t>投資用國外不動產--新興市場</t>
    <phoneticPr fontId="30" type="noConversion"/>
  </si>
  <si>
    <t>(7)</t>
    <phoneticPr fontId="72" type="noConversion"/>
  </si>
  <si>
    <t>(1)</t>
    <phoneticPr fontId="30" type="noConversion"/>
  </si>
  <si>
    <t>(2)</t>
    <phoneticPr fontId="30" type="noConversion"/>
  </si>
  <si>
    <t>(3)=(1)x(2)</t>
    <phoneticPr fontId="30" type="noConversion"/>
  </si>
  <si>
    <t>(6)</t>
    <phoneticPr fontId="30" type="noConversion"/>
  </si>
  <si>
    <t>(8)=(5)-(6)+(7)</t>
    <phoneticPr fontId="72" type="noConversion"/>
  </si>
  <si>
    <t>(9)</t>
    <phoneticPr fontId="30" type="noConversion"/>
  </si>
  <si>
    <t>天災風險資本</t>
    <phoneticPr fontId="30" type="noConversion"/>
  </si>
  <si>
    <t>不動產投資評價調整數</t>
    <phoneticPr fontId="30" type="noConversion"/>
  </si>
  <si>
    <t>調整後不動產稅後增值或稅後減少之金額</t>
    <phoneticPr fontId="32" type="noConversion"/>
  </si>
  <si>
    <t>可計入自有資本加計項之比例</t>
  </si>
  <si>
    <t>可計入自有資本加計項之金額</t>
  </si>
  <si>
    <t>應計提風險資本之不動產評價調整數之調整比率</t>
    <phoneticPr fontId="30" type="noConversion"/>
  </si>
  <si>
    <r>
      <t>強制汽機車責任險共保業務係依據「強制汽車責任保險各種準備金管理辦法」之規定提存</t>
    </r>
    <r>
      <rPr>
        <sz val="10"/>
        <color rgb="FFFF0000"/>
        <rFont val="標楷體"/>
        <family val="4"/>
        <charset val="136"/>
      </rPr>
      <t/>
    </r>
    <phoneticPr fontId="30" type="noConversion"/>
  </si>
  <si>
    <t>政策性地震保險業務依據「住宅地震保險危險分散機制實施辦法」及其相關解釋函令之相關規定提存及收回</t>
    <phoneticPr fontId="32" type="noConversion"/>
  </si>
  <si>
    <t>核能險業務依據「財產再保險業經營核能保險提存之各種準備金規範」之規定提存及收回</t>
    <phoneticPr fontId="32"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</si>
  <si>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</si>
  <si>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</si>
  <si>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</si>
  <si>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</si>
  <si>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</si>
  <si>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</si>
  <si>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</si>
  <si>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</si>
  <si>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</si>
  <si>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</si>
  <si>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</si>
  <si>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</si>
  <si>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</si>
  <si>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</si>
  <si>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</si>
  <si>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</si>
  <si>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</si>
  <si>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</si>
  <si>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</si>
  <si>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</si>
  <si>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</si>
  <si>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</si>
  <si>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</si>
  <si>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</si>
  <si>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</si>
  <si>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</si>
  <si>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</si>
  <si>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</si>
  <si>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</si>
  <si>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</si>
  <si>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</si>
  <si>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</si>
  <si>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</si>
  <si>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</si>
  <si>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</si>
  <si>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</si>
  <si>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</si>
  <si>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</si>
  <si>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</si>
  <si>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</si>
  <si>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</si>
  <si>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</si>
  <si>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</si>
  <si>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</si>
  <si>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</si>
  <si>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</si>
  <si>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</si>
  <si>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</si>
  <si>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</si>
  <si>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</si>
  <si>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</si>
  <si>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</si>
  <si>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</si>
  <si>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</si>
  <si>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</si>
  <si>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</si>
  <si>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</si>
  <si>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</si>
  <si>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</si>
  <si>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</si>
  <si>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</si>
  <si>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</si>
  <si>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</si>
  <si>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</si>
  <si>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</si>
  <si>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</si>
  <si>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</si>
  <si>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</si>
  <si>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</si>
  <si>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</si>
  <si>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</si>
  <si>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</si>
  <si>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</si>
  <si>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</si>
  <si>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</si>
  <si>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</si>
  <si>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</si>
  <si>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</si>
  <si>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</si>
  <si>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</si>
  <si>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</si>
  <si>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</si>
  <si>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</si>
  <si>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</si>
  <si>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</si>
  <si>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</si>
  <si>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</si>
  <si>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</si>
  <si>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</si>
  <si>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</si>
  <si>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</si>
  <si>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</si>
  <si>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</si>
  <si>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</si>
  <si>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</si>
  <si>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</si>
  <si>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</si>
  <si>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</si>
  <si>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</si>
  <si>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</si>
  <si>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</si>
  <si>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</si>
  <si>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</si>
  <si>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</si>
  <si>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</si>
  <si>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</si>
  <si>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</si>
  <si>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</si>
  <si>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</si>
  <si>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</si>
  <si>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</si>
  <si>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</si>
  <si>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</si>
  <si>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</si>
  <si>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</si>
  <si>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</si>
  <si>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</si>
  <si>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</si>
  <si>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</si>
  <si>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</si>
  <si>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</si>
  <si>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</si>
  <si>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</si>
  <si>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</si>
  <si>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</si>
  <si>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</si>
  <si>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</si>
  <si>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</si>
  <si>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</si>
  <si>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</si>
  <si>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</si>
  <si>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</si>
  <si>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</si>
  <si>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</si>
  <si>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</si>
  <si>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</si>
  <si>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</si>
  <si>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</si>
  <si>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</si>
  <si>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</si>
  <si>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</si>
  <si>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</si>
  <si>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</si>
  <si>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</si>
  <si>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</si>
  <si>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</si>
  <si>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</si>
  <si>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</si>
  <si>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</si>
  <si>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</si>
  <si>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</si>
  <si>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</si>
  <si>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</si>
  <si>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</si>
  <si>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</si>
  <si>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</si>
  <si>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</si>
  <si>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</si>
  <si>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</si>
  <si>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</si>
  <si>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</si>
  <si>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</si>
  <si>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</si>
  <si>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</si>
  <si>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</si>
  <si>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</si>
  <si>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</si>
  <si>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</si>
  <si>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</si>
  <si>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</si>
  <si>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</si>
  <si>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</si>
  <si>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</si>
  <si>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</si>
  <si>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</si>
  <si>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</si>
  <si>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</si>
  <si>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</si>
  <si>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</si>
  <si>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</si>
  <si>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</si>
  <si>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</si>
  <si>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</si>
  <si>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</si>
  <si>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</si>
  <si>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</si>
  <si>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</si>
  <si>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</si>
  <si>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</si>
  <si>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</si>
  <si>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</si>
  <si>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</si>
  <si>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</si>
  <si>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</si>
  <si>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</si>
  <si>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</si>
  <si>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</si>
  <si>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</si>
  <si>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</si>
  <si>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</si>
  <si>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</si>
  <si>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</si>
  <si>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</si>
  <si>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</si>
  <si>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</si>
  <si>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</si>
  <si>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</si>
  <si>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</si>
  <si>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</si>
  <si>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</si>
  <si>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</si>
  <si>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</si>
  <si>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</si>
  <si>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</si>
  <si>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</si>
  <si>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</si>
  <si>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</si>
  <si>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</si>
  <si>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</si>
  <si>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</si>
  <si>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</si>
  <si>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</si>
  <si>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</si>
  <si>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</si>
  <si>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</si>
  <si>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</si>
  <si>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</si>
  <si>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</si>
  <si>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</si>
  <si>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</si>
  <si>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</si>
  <si>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</si>
  <si>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</si>
  <si>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</si>
  <si>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</si>
  <si>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</si>
  <si>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</si>
  <si>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</si>
  <si>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</si>
  <si>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</si>
  <si>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</si>
  <si>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</si>
  <si>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</si>
  <si>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</si>
  <si>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</si>
  <si>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</si>
  <si>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</si>
  <si>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</si>
  <si>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</si>
  <si>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</si>
  <si>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</si>
  <si>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</si>
  <si>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</si>
  <si>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</si>
  <si>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</si>
  <si>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</si>
  <si>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</si>
  <si>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</si>
  <si>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</si>
  <si>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</si>
  <si>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</si>
  <si>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</si>
  <si>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</si>
  <si>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</si>
  <si>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</si>
  <si>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</si>
  <si>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</si>
  <si>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</si>
  <si>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</si>
  <si>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</si>
  <si>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</si>
  <si>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</si>
  <si>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</si>
  <si>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</si>
  <si>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</si>
  <si>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</si>
  <si>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</si>
  <si>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</si>
  <si>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</si>
  <si>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</si>
  <si>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</si>
  <si>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</si>
  <si>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</si>
  <si>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</si>
  <si>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</si>
  <si>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</si>
  <si>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</si>
  <si>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</si>
  <si>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</si>
  <si>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</si>
  <si>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</si>
  <si>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</si>
  <si>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</si>
  <si>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</si>
  <si>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</si>
  <si>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</si>
  <si>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</si>
  <si>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</si>
  <si>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</si>
  <si>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</si>
  <si>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</si>
  <si>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</si>
  <si>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</si>
  <si>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</si>
  <si>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</si>
  <si>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</si>
  <si>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</si>
  <si>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</si>
  <si>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</si>
  <si>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</si>
  <si>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</si>
  <si>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</si>
  <si>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</si>
  <si>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</si>
  <si>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</si>
  <si>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</si>
  <si>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</si>
  <si>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</si>
  <si>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</si>
  <si>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</si>
  <si>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</si>
  <si>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</si>
  <si>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</si>
  <si>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</si>
  <si>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</si>
  <si>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</si>
  <si>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</si>
  <si>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</si>
  <si>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</si>
  <si>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</si>
  <si>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</si>
  <si>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</si>
  <si>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</si>
  <si>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</si>
  <si>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</si>
  <si>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</si>
  <si>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</si>
  <si>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</si>
  <si>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</si>
  <si>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</si>
  <si>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</si>
  <si>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</si>
  <si>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</si>
  <si>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</si>
  <si>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</si>
  <si>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</si>
  <si>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</si>
  <si>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</si>
  <si>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</si>
  <si>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</si>
  <si>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</si>
  <si>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</si>
  <si>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</si>
  <si>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</si>
  <si>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</si>
  <si>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</si>
  <si>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</si>
  <si>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</si>
  <si>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</si>
  <si>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</si>
  <si>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</si>
  <si>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</si>
  <si>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</si>
  <si>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</si>
  <si>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</si>
  <si>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</si>
  <si>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</si>
  <si>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</si>
  <si>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</si>
  <si>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</si>
  <si>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</si>
  <si>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</si>
  <si>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</si>
  <si>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</si>
  <si>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</si>
  <si>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</si>
  <si>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</si>
  <si>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</si>
  <si>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</si>
  <si>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</si>
  <si>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</si>
  <si>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</si>
  <si>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</si>
  <si>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</si>
  <si>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</si>
  <si>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</si>
  <si>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</si>
  <si>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</si>
  <si>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</si>
  <si>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</si>
  <si>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</si>
  <si>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</si>
  <si>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</si>
  <si>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</si>
  <si>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</si>
  <si>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</si>
  <si>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</si>
  <si>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</si>
  <si>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</si>
  <si>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</si>
  <si>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</si>
  <si>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</si>
  <si>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</si>
  <si>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</si>
  <si>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</si>
  <si>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</si>
  <si>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</si>
  <si>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</si>
  <si>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</si>
  <si>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</si>
  <si>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</si>
  <si>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</si>
  <si>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</si>
  <si>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</si>
  <si>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</si>
  <si>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</si>
  <si>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</si>
  <si>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</si>
  <si>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</si>
  <si>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</si>
  <si>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</si>
  <si>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</si>
  <si>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</si>
  <si>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</si>
  <si>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</si>
  <si>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</si>
  <si>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</si>
  <si>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</si>
  <si>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</si>
  <si>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</si>
  <si>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</si>
  <si>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</si>
  <si>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</si>
  <si>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</si>
  <si>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</si>
  <si>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</si>
  <si>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</si>
  <si>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</si>
  <si>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</si>
  <si>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</si>
  <si>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</si>
  <si>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</si>
  <si>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</si>
  <si>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</si>
  <si>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</si>
  <si>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</si>
  <si>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</si>
  <si>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</si>
  <si>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</si>
  <si>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</si>
  <si>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</si>
  <si>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</si>
  <si>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</si>
  <si>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</si>
  <si>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</si>
  <si>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</si>
  <si>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</si>
  <si>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</si>
  <si>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</si>
  <si>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</si>
  <si>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</si>
  <si>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</si>
  <si>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</si>
  <si>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</si>
  <si>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</si>
  <si>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</si>
  <si>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</si>
  <si>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</si>
  <si>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</si>
  <si>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</si>
  <si>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</si>
  <si>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</si>
  <si>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</si>
  <si>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</si>
  <si>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</si>
  <si>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</si>
  <si>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</si>
  <si>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</si>
  <si>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</si>
  <si>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</si>
  <si>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</si>
  <si>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</si>
  <si>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</si>
  <si>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</si>
  <si>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</si>
  <si>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</si>
  <si>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</si>
  <si>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</si>
  <si>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</si>
  <si>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</si>
  <si>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</si>
  <si>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</si>
  <si>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</si>
  <si>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</si>
  <si>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</si>
  <si>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</si>
  <si>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</si>
  <si>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</si>
  <si>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</si>
  <si>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</si>
  <si>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</si>
  <si>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</si>
  <si>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</si>
  <si>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</si>
  <si>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</si>
  <si>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</si>
  <si>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</si>
  <si>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</si>
  <si>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</si>
  <si>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</si>
  <si>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</si>
  <si>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</si>
  <si>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</si>
  <si>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</si>
  <si>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</si>
  <si>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</si>
  <si>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</si>
  <si>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</si>
  <si>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</si>
  <si>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</si>
  <si>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</si>
  <si>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</si>
  <si>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</si>
  <si>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</si>
  <si>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</si>
  <si>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</si>
  <si>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</si>
  <si>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</si>
  <si>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</si>
  <si>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</si>
  <si>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</si>
  <si>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</si>
  <si>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</si>
  <si>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</si>
  <si>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</si>
  <si>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</si>
  <si>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</si>
  <si>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</si>
  <si>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</si>
  <si>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</si>
  <si>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</si>
  <si>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</si>
  <si>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</si>
  <si>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</si>
  <si>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</si>
  <si>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</si>
  <si>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</si>
  <si>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</si>
  <si>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</si>
  <si>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</si>
  <si>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</si>
  <si>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</si>
  <si>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</si>
  <si>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</si>
  <si>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</si>
  <si>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</si>
  <si>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</si>
  <si>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</si>
  <si>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</si>
  <si>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</si>
  <si>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</si>
  <si>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</si>
  <si>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</si>
  <si>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</si>
  <si>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</si>
  <si>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</si>
  <si>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</si>
  <si>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</si>
  <si>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</si>
  <si>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</si>
  <si>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</si>
  <si>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</si>
  <si>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</si>
  <si>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</si>
  <si>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</si>
  <si>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</si>
  <si>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</si>
  <si>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</si>
  <si>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</si>
  <si>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</si>
  <si>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</si>
  <si>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</si>
  <si>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</si>
  <si>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</si>
  <si>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</si>
  <si>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</si>
  <si>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</si>
  <si>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</si>
  <si>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</si>
  <si>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</si>
  <si>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</si>
  <si>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</si>
  <si>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</si>
  <si>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</si>
  <si>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</si>
  <si>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</si>
  <si>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</si>
  <si>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</si>
  <si>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</si>
  <si>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</si>
  <si>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</si>
  <si>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</si>
  <si>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</si>
  <si>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</si>
  <si>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</si>
  <si>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</si>
  <si>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</si>
  <si>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</si>
  <si>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</si>
  <si>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</si>
  <si>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</si>
  <si>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</si>
  <si>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</si>
  <si>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</si>
  <si>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</si>
  <si>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</si>
  <si>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</si>
  <si>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</si>
  <si>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</si>
  <si>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</si>
  <si>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</si>
  <si>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</si>
  <si>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</si>
  <si>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</si>
  <si>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</si>
  <si>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</si>
  <si>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</si>
  <si>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</si>
  <si>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</si>
  <si>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</si>
  <si>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</si>
  <si>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</si>
  <si>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</si>
  <si>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</si>
  <si>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</si>
  <si>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</si>
  <si>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</si>
  <si>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</si>
  <si>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</si>
  <si>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</si>
  <si>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</si>
  <si>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</si>
  <si>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</si>
  <si>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</si>
  <si>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</si>
  <si>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</si>
  <si>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</si>
  <si>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</si>
  <si>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</si>
  <si>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</si>
  <si>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</si>
  <si>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</si>
  <si>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</si>
  <si>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</si>
  <si>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</si>
  <si>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</si>
  <si>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</si>
  <si>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</si>
  <si>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</si>
  <si>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</si>
  <si>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</si>
  <si>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</si>
  <si>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</si>
  <si>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</si>
  <si>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</si>
  <si>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</si>
  <si>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</si>
  <si>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</si>
  <si>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</si>
  <si>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</si>
  <si>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</si>
  <si>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</si>
  <si>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</si>
  <si>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</si>
  <si>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</si>
  <si>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</si>
  <si>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</si>
  <si>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</si>
  <si>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</si>
  <si>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</si>
  <si>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</si>
  <si>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</si>
  <si>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</si>
  <si>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</si>
  <si>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</si>
  <si>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</si>
  <si>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</si>
  <si>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</si>
  <si>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</si>
  <si>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</si>
  <si>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</si>
  <si>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</si>
  <si>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</si>
  <si>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</si>
  <si>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</si>
  <si>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</si>
  <si>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</si>
  <si>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</si>
  <si>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</si>
  <si>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</si>
  <si>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</si>
  <si>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</si>
  <si>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</si>
  <si>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</si>
  <si>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</si>
  <si>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</si>
  <si>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</si>
  <si>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</si>
  <si>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</si>
  <si>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</si>
  <si>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</si>
  <si>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</si>
  <si>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</si>
  <si>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</si>
  <si>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</si>
  <si>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</si>
  <si>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</si>
  <si>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</si>
  <si>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</si>
  <si>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</si>
  <si>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</si>
  <si>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</si>
  <si>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</si>
  <si>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</si>
  <si>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</si>
  <si>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</si>
  <si>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</si>
  <si>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</si>
  <si>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</si>
  <si>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</si>
  <si>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</si>
  <si>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</si>
  <si>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</si>
  <si>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</si>
  <si>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</si>
  <si>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</si>
  <si>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</si>
  <si>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</si>
  <si>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</si>
  <si>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</si>
  <si>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</si>
  <si>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</si>
  <si>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</si>
  <si>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</si>
  <si>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</si>
  <si>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</si>
  <si>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</si>
  <si>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</si>
  <si>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</si>
  <si>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</si>
  <si>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</si>
  <si>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</si>
  <si>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</si>
  <si>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</si>
  <si>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</si>
  <si>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</si>
  <si>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</si>
  <si>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</si>
  <si>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</si>
  <si>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</si>
  <si>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</si>
  <si>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</si>
  <si>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</si>
  <si>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</si>
  <si>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</si>
  <si>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</si>
  <si>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</si>
  <si>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</si>
  <si>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</si>
  <si>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</si>
  <si>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</si>
  <si>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</si>
  <si>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</si>
  <si>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</si>
  <si>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</si>
  <si>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</si>
  <si>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</si>
  <si>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</si>
  <si>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</si>
  <si>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</si>
  <si>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</si>
  <si>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</si>
  <si>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</si>
  <si>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</si>
  <si>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</si>
  <si>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</si>
  <si>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</si>
  <si>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</si>
  <si>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</si>
  <si>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</si>
  <si>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</si>
  <si>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</si>
  <si>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</si>
  <si>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</si>
  <si>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</si>
  <si>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</si>
  <si>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</si>
  <si>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</si>
  <si>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</si>
  <si>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30"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</si>
  <si>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</si>
  <si>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</si>
  <si>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</si>
  <si>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</si>
  <si>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</si>
  <si>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</si>
  <si>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</si>
  <si>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</si>
  <si>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</si>
  <si>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</si>
  <si>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</si>
  <si>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</si>
  <si>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</si>
  <si>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</si>
  <si>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</si>
  <si>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</si>
  <si>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</si>
  <si>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</si>
  <si>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</si>
  <si>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</si>
  <si>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</si>
  <si>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</si>
  <si>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</si>
  <si>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</si>
  <si>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</si>
  <si>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</si>
  <si>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</si>
  <si>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</si>
  <si>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</si>
  <si>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</si>
  <si>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</si>
  <si>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</si>
  <si>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</si>
  <si>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</si>
  <si>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</si>
  <si>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</si>
  <si>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</si>
  <si>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</si>
  <si>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</si>
  <si>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</si>
  <si>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</si>
  <si>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</si>
  <si>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</si>
  <si>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</si>
  <si>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</si>
  <si>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</si>
  <si>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</si>
  <si>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</si>
  <si>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</si>
  <si>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</si>
  <si>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</si>
  <si>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</si>
  <si>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</si>
  <si>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</si>
  <si>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2"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</si>
  <si>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</si>
  <si>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30"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</si>
  <si>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30"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</si>
  <si>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30" type="noConversion"/>
  </si>
  <si>
    <r>
      <rPr>
        <sz val="12"/>
        <color theme="1"/>
        <rFont val="標楷體"/>
        <family val="4"/>
        <charset val="136"/>
      </rPr>
      <t>單位：新台幣元</t>
    </r>
  </si>
  <si>
    <r>
      <rPr>
        <b/>
        <sz val="12"/>
        <color theme="1"/>
        <rFont val="標楷體"/>
        <family val="4"/>
        <charset val="136"/>
      </rPr>
      <t>證劵代號</t>
    </r>
    <phoneticPr fontId="30" type="noConversion"/>
  </si>
  <si>
    <r>
      <rPr>
        <b/>
        <sz val="12"/>
        <color theme="1"/>
        <rFont val="標楷體"/>
        <family val="4"/>
        <charset val="136"/>
      </rPr>
      <t>證劵名稱</t>
    </r>
    <phoneticPr fontId="30" type="noConversion"/>
  </si>
  <si>
    <r>
      <rPr>
        <b/>
        <sz val="12"/>
        <color theme="1"/>
        <rFont val="標楷體"/>
        <family val="4"/>
        <charset val="136"/>
      </rPr>
      <t>證劵種類</t>
    </r>
    <phoneticPr fontId="30"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</si>
  <si>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30"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</si>
  <si>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30"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</si>
  <si>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30"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</si>
  <si>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30"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</si>
  <si>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</si>
  <si>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</si>
  <si>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30" type="noConversion"/>
  </si>
  <si>
    <r>
      <rPr>
        <sz val="12"/>
        <color theme="1"/>
        <rFont val="標楷體"/>
        <family val="4"/>
        <charset val="136"/>
      </rPr>
      <t>上櫃股票</t>
    </r>
  </si>
  <si>
    <r>
      <rPr>
        <sz val="12"/>
        <color theme="1"/>
        <rFont val="標楷體"/>
        <family val="4"/>
        <charset val="136"/>
      </rPr>
      <t>合計</t>
    </r>
    <phoneticPr fontId="32" type="noConversion"/>
  </si>
  <si>
    <r>
      <rPr>
        <sz val="12"/>
        <color theme="1"/>
        <rFont val="標楷體"/>
        <family val="4"/>
        <charset val="136"/>
      </rPr>
      <t>註：係指依資產負債表日之收盤價計算之總市值</t>
    </r>
    <phoneticPr fontId="30"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</si>
  <si>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</si>
  <si>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</si>
  <si>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</si>
  <si>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</si>
  <si>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</si>
  <si>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</si>
  <si>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</si>
  <si>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30" type="noConversion"/>
  </si>
  <si>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30"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</si>
  <si>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30"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</si>
  <si>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30"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</si>
  <si>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30"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</si>
  <si>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0"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</si>
  <si>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30"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</si>
  <si>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30"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</si>
  <si>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30"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</si>
  <si>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30" type="noConversion"/>
  </si>
  <si>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30" type="noConversion"/>
  </si>
  <si>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</si>
  <si>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</si>
  <si>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30"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</si>
  <si>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30"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</si>
  <si>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30"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</si>
  <si>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30"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</si>
  <si>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30"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</si>
  <si>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30"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</si>
  <si>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30" type="noConversion"/>
  </si>
  <si>
    <r>
      <rPr>
        <sz val="12"/>
        <color theme="1"/>
        <rFont val="標楷體"/>
        <family val="4"/>
        <charset val="136"/>
      </rPr>
      <t>上市股票</t>
    </r>
  </si>
  <si>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</si>
  <si>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</si>
  <si>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</si>
  <si>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</si>
  <si>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2"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</si>
  <si>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2" type="noConversion"/>
  </si>
  <si>
    <r>
      <t>S</t>
    </r>
    <r>
      <rPr>
        <sz val="10"/>
        <color theme="1"/>
        <rFont val="標楷體"/>
        <family val="4"/>
        <charset val="136"/>
      </rPr>
      <t>：未評等之次順位證券金額</t>
    </r>
    <phoneticPr fontId="32"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</si>
  <si>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2"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</si>
  <si>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0" type="noConversion"/>
  </si>
  <si>
    <r>
      <rPr>
        <b/>
        <sz val="12"/>
        <color theme="1"/>
        <rFont val="標楷體"/>
        <family val="4"/>
        <charset val="136"/>
      </rPr>
      <t>列號</t>
    </r>
    <phoneticPr fontId="30" type="noConversion"/>
  </si>
  <si>
    <r>
      <rPr>
        <b/>
        <sz val="12"/>
        <color theme="1"/>
        <rFont val="標楷體"/>
        <family val="4"/>
        <charset val="136"/>
      </rPr>
      <t>資產項目</t>
    </r>
    <phoneticPr fontId="30" type="noConversion"/>
  </si>
  <si>
    <r>
      <rPr>
        <b/>
        <sz val="12"/>
        <color theme="1"/>
        <rFont val="標楷體"/>
        <family val="4"/>
        <charset val="136"/>
      </rPr>
      <t>基準係數</t>
    </r>
    <phoneticPr fontId="30"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</si>
  <si>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</si>
  <si>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</si>
  <si>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30"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</si>
  <si>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30" type="noConversion"/>
  </si>
  <si>
    <r>
      <rPr>
        <b/>
        <sz val="12"/>
        <color theme="1"/>
        <rFont val="標楷體"/>
        <family val="4"/>
        <charset val="136"/>
      </rPr>
      <t>係數上限</t>
    </r>
    <phoneticPr fontId="30" type="noConversion"/>
  </si>
  <si>
    <r>
      <rPr>
        <b/>
        <sz val="12"/>
        <color theme="1"/>
        <rFont val="標楷體"/>
        <family val="4"/>
        <charset val="136"/>
      </rPr>
      <t>係數下限</t>
    </r>
    <phoneticPr fontId="30" type="noConversion"/>
  </si>
  <si>
    <r>
      <rPr>
        <b/>
        <sz val="12"/>
        <color theme="1"/>
        <rFont val="標楷體"/>
        <family val="4"/>
        <charset val="136"/>
      </rPr>
      <t>調整後風險係數</t>
    </r>
    <phoneticPr fontId="30" type="noConversion"/>
  </si>
  <si>
    <r>
      <rPr>
        <sz val="12"/>
        <color theme="1"/>
        <rFont val="標楷體"/>
        <family val="4"/>
        <charset val="136"/>
      </rPr>
      <t>國內股票</t>
    </r>
    <phoneticPr fontId="30" type="noConversion"/>
  </si>
  <si>
    <r>
      <rPr>
        <sz val="12"/>
        <color theme="1"/>
        <rFont val="標楷體"/>
        <family val="4"/>
        <charset val="136"/>
      </rPr>
      <t>上市普通股</t>
    </r>
    <phoneticPr fontId="30" type="noConversion"/>
  </si>
  <si>
    <r>
      <rPr>
        <sz val="12"/>
        <color theme="1"/>
        <rFont val="標楷體"/>
        <family val="4"/>
        <charset val="136"/>
      </rPr>
      <t>擔任被投資公司之董監事</t>
    </r>
    <phoneticPr fontId="30" type="noConversion"/>
  </si>
  <si>
    <r>
      <rPr>
        <sz val="12"/>
        <color theme="1"/>
        <rFont val="標楷體"/>
        <family val="4"/>
        <charset val="136"/>
      </rPr>
      <t>未擔任被投資公司之董監事</t>
    </r>
    <phoneticPr fontId="30" type="noConversion"/>
  </si>
  <si>
    <r>
      <rPr>
        <sz val="12"/>
        <color theme="1"/>
        <rFont val="標楷體"/>
        <family val="4"/>
        <charset val="136"/>
      </rPr>
      <t>上櫃普通股</t>
    </r>
    <phoneticPr fontId="30" type="noConversion"/>
  </si>
  <si>
    <r>
      <rPr>
        <sz val="12"/>
        <color theme="1"/>
        <rFont val="標楷體"/>
        <family val="4"/>
        <charset val="136"/>
      </rPr>
      <t>國內受益憑證</t>
    </r>
    <phoneticPr fontId="30"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</si>
  <si>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</si>
  <si>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</si>
  <si>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</si>
  <si>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</si>
  <si>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</si>
  <si>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</si>
  <si>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</si>
  <si>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30" type="noConversion"/>
  </si>
  <si>
    <r>
      <rPr>
        <sz val="10"/>
        <color theme="1"/>
        <rFont val="標楷體"/>
        <family val="4"/>
        <charset val="136"/>
      </rPr>
      <t>合計</t>
    </r>
    <phoneticPr fontId="30"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</si>
  <si>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30" type="noConversion"/>
  </si>
  <si>
    <r>
      <t>Z</t>
    </r>
    <r>
      <rPr>
        <i/>
        <vertAlign val="subscript"/>
        <sz val="10"/>
        <color theme="1"/>
        <rFont val="標楷體"/>
        <family val="4"/>
        <charset val="136"/>
      </rPr>
      <t>i</t>
    </r>
    <r>
      <rPr>
        <i/>
        <vertAlign val="superscript"/>
        <sz val="10"/>
        <color theme="1"/>
        <rFont val="標楷體"/>
        <family val="4"/>
        <charset val="136"/>
      </rPr>
      <t>2</t>
    </r>
    <phoneticPr fontId="30" type="noConversion"/>
  </si>
  <si>
    <r>
      <t xml:space="preserve">1/48 </t>
    </r>
    <r>
      <rPr>
        <sz val="10"/>
        <color theme="1"/>
        <rFont val="標楷體"/>
        <family val="4"/>
        <charset val="136"/>
      </rPr>
      <t>≦</t>
    </r>
    <r>
      <rPr>
        <sz val="10"/>
        <color theme="1"/>
        <rFont val="Arial"/>
        <family val="2"/>
      </rPr>
      <t xml:space="preserve"> H &lt; 1/36</t>
    </r>
    <phoneticPr fontId="30" type="noConversion"/>
  </si>
  <si>
    <r>
      <t xml:space="preserve">1/36 </t>
    </r>
    <r>
      <rPr>
        <sz val="10"/>
        <color theme="1"/>
        <rFont val="標楷體"/>
        <family val="4"/>
        <charset val="136"/>
      </rPr>
      <t>≦</t>
    </r>
    <r>
      <rPr>
        <sz val="10"/>
        <color theme="1"/>
        <rFont val="Arial"/>
        <family val="2"/>
      </rPr>
      <t xml:space="preserve"> H &lt; 1/28</t>
    </r>
    <phoneticPr fontId="30" type="noConversion"/>
  </si>
  <si>
    <r>
      <t xml:space="preserve">1/28 </t>
    </r>
    <r>
      <rPr>
        <sz val="10"/>
        <color theme="1"/>
        <rFont val="標楷體"/>
        <family val="4"/>
        <charset val="136"/>
      </rPr>
      <t>≦</t>
    </r>
    <r>
      <rPr>
        <sz val="10"/>
        <color theme="1"/>
        <rFont val="Arial"/>
        <family val="2"/>
      </rPr>
      <t xml:space="preserve"> H &lt; 1/20</t>
    </r>
    <phoneticPr fontId="30" type="noConversion"/>
  </si>
  <si>
    <r>
      <t xml:space="preserve">1/20 </t>
    </r>
    <r>
      <rPr>
        <sz val="10"/>
        <color theme="1"/>
        <rFont val="標楷體"/>
        <family val="4"/>
        <charset val="136"/>
      </rPr>
      <t>≦</t>
    </r>
    <r>
      <rPr>
        <sz val="10"/>
        <color theme="1"/>
        <rFont val="Arial"/>
        <family val="2"/>
      </rPr>
      <t xml:space="preserve"> H &lt; 1/12</t>
    </r>
    <phoneticPr fontId="30" type="noConversion"/>
  </si>
  <si>
    <r>
      <t xml:space="preserve">1/12 </t>
    </r>
    <r>
      <rPr>
        <sz val="10"/>
        <color theme="1"/>
        <rFont val="標楷體"/>
        <family val="4"/>
        <charset val="136"/>
      </rPr>
      <t>≦</t>
    </r>
    <r>
      <rPr>
        <sz val="10"/>
        <color theme="1"/>
        <rFont val="Arial"/>
        <family val="2"/>
      </rPr>
      <t xml:space="preserve"> H &lt; 1/  5</t>
    </r>
    <phoneticPr fontId="30" type="noConversion"/>
  </si>
  <si>
    <r>
      <t xml:space="preserve">1/ 5 </t>
    </r>
    <r>
      <rPr>
        <sz val="10"/>
        <color theme="1"/>
        <rFont val="標楷體"/>
        <family val="4"/>
        <charset val="136"/>
      </rPr>
      <t>≦</t>
    </r>
    <r>
      <rPr>
        <sz val="10"/>
        <color theme="1"/>
        <rFont val="Arial"/>
        <family val="2"/>
      </rPr>
      <t xml:space="preserve"> H &lt;     1  </t>
    </r>
    <phoneticPr fontId="30"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</si>
  <si>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0" type="noConversion"/>
  </si>
  <si>
    <r>
      <rPr>
        <sz val="12"/>
        <color theme="1"/>
        <rFont val="標楷體"/>
        <family val="4"/>
        <charset val="136"/>
      </rPr>
      <t>單位：新台幣元</t>
    </r>
    <phoneticPr fontId="30" type="noConversion"/>
  </si>
  <si>
    <r>
      <rPr>
        <sz val="12"/>
        <color theme="1"/>
        <rFont val="標楷體"/>
        <family val="4"/>
        <charset val="136"/>
      </rPr>
      <t>風險項目</t>
    </r>
    <phoneticPr fontId="30"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</si>
  <si>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30" type="noConversion"/>
  </si>
  <si>
    <r>
      <rPr>
        <b/>
        <sz val="12"/>
        <color theme="1"/>
        <rFont val="標楷體"/>
        <family val="4"/>
        <charset val="136"/>
      </rPr>
      <t>占投資資產比率</t>
    </r>
    <r>
      <rPr>
        <b/>
        <sz val="12"/>
        <color theme="1"/>
        <rFont val="Times New Roman"/>
        <family val="1"/>
      </rPr>
      <t xml:space="preserve"> Zi</t>
    </r>
    <phoneticPr fontId="32" type="noConversion"/>
  </si>
  <si>
    <r>
      <t>Z</t>
    </r>
    <r>
      <rPr>
        <b/>
        <i/>
        <vertAlign val="subscript"/>
        <sz val="12"/>
        <color theme="1"/>
        <rFont val="Times New Roman"/>
        <family val="1"/>
      </rPr>
      <t>i</t>
    </r>
    <r>
      <rPr>
        <b/>
        <i/>
        <vertAlign val="superscript"/>
        <sz val="12"/>
        <color theme="1"/>
        <rFont val="Times New Roman"/>
        <family val="1"/>
      </rPr>
      <t>2</t>
    </r>
    <phoneticPr fontId="30"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</si>
  <si>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30"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</si>
  <si>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30"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</si>
  <si>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30"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</si>
  <si>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30"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</si>
  <si>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2"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</si>
  <si>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30"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</si>
  <si>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30"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</si>
  <si>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30" type="noConversion"/>
  </si>
  <si>
    <r>
      <t xml:space="preserve">Herfindahl Index </t>
    </r>
    <r>
      <rPr>
        <b/>
        <sz val="12"/>
        <color theme="1"/>
        <rFont val="標楷體"/>
        <family val="4"/>
        <charset val="136"/>
      </rPr>
      <t>係數表</t>
    </r>
    <phoneticPr fontId="30" type="noConversion"/>
  </si>
  <si>
    <r>
      <t>H</t>
    </r>
    <r>
      <rPr>
        <b/>
        <sz val="12"/>
        <color theme="1"/>
        <rFont val="標楷體"/>
        <family val="4"/>
        <charset val="136"/>
      </rPr>
      <t>下界</t>
    </r>
    <phoneticPr fontId="30" type="noConversion"/>
  </si>
  <si>
    <r>
      <rPr>
        <b/>
        <sz val="12"/>
        <color theme="1"/>
        <rFont val="標楷體"/>
        <family val="4"/>
        <charset val="136"/>
      </rPr>
      <t>係數</t>
    </r>
    <phoneticPr fontId="30"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</si>
  <si>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30" type="noConversion"/>
  </si>
  <si>
    <r>
      <t>1/6</t>
    </r>
    <r>
      <rPr>
        <sz val="12"/>
        <color theme="1"/>
        <rFont val="標楷體"/>
        <family val="4"/>
        <charset val="136"/>
      </rPr>
      <t>≦</t>
    </r>
    <r>
      <rPr>
        <sz val="12"/>
        <color theme="1"/>
        <rFont val="Times New Roman"/>
        <family val="1"/>
      </rPr>
      <t>H&lt;1/5</t>
    </r>
    <phoneticPr fontId="30" type="noConversion"/>
  </si>
  <si>
    <r>
      <t>1/5</t>
    </r>
    <r>
      <rPr>
        <sz val="12"/>
        <color theme="1"/>
        <rFont val="標楷體"/>
        <family val="4"/>
        <charset val="136"/>
      </rPr>
      <t>≦</t>
    </r>
    <r>
      <rPr>
        <sz val="12"/>
        <color theme="1"/>
        <rFont val="Times New Roman"/>
        <family val="1"/>
      </rPr>
      <t>H&lt;1/4</t>
    </r>
    <phoneticPr fontId="30" type="noConversion"/>
  </si>
  <si>
    <r>
      <t>1/4</t>
    </r>
    <r>
      <rPr>
        <sz val="12"/>
        <color theme="1"/>
        <rFont val="標楷體"/>
        <family val="4"/>
        <charset val="136"/>
      </rPr>
      <t>≦</t>
    </r>
    <r>
      <rPr>
        <sz val="12"/>
        <color theme="1"/>
        <rFont val="Times New Roman"/>
        <family val="1"/>
      </rPr>
      <t>H&lt;1/3</t>
    </r>
    <phoneticPr fontId="30" type="noConversion"/>
  </si>
  <si>
    <r>
      <t>1/3</t>
    </r>
    <r>
      <rPr>
        <sz val="12"/>
        <color theme="1"/>
        <rFont val="標楷體"/>
        <family val="4"/>
        <charset val="136"/>
      </rPr>
      <t>≦</t>
    </r>
    <r>
      <rPr>
        <sz val="12"/>
        <color theme="1"/>
        <rFont val="Times New Roman"/>
        <family val="1"/>
      </rPr>
      <t>H&lt;1/2</t>
    </r>
    <phoneticPr fontId="30" type="noConversion"/>
  </si>
  <si>
    <r>
      <t>1/2</t>
    </r>
    <r>
      <rPr>
        <sz val="12"/>
        <color theme="1"/>
        <rFont val="標楷體"/>
        <family val="4"/>
        <charset val="136"/>
      </rPr>
      <t>≦</t>
    </r>
    <r>
      <rPr>
        <sz val="12"/>
        <color theme="1"/>
        <rFont val="Times New Roman"/>
        <family val="1"/>
      </rPr>
      <t>H&lt; 1</t>
    </r>
    <phoneticPr fontId="30"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</si>
  <si>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</si>
  <si>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天災相關異常業務損失特別準備金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</si>
  <si>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1"/>
        <color theme="1"/>
        <rFont val="標楷體"/>
        <family val="4"/>
        <charset val="136"/>
      </rPr>
      <t>列號</t>
    </r>
    <phoneticPr fontId="30"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</si>
  <si>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30"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</si>
  <si>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30" type="noConversion"/>
  </si>
  <si>
    <r>
      <rPr>
        <sz val="12"/>
        <color theme="1"/>
        <rFont val="標楷體"/>
        <family val="4"/>
        <charset val="136"/>
      </rPr>
      <t>總計</t>
    </r>
    <phoneticPr fontId="30" type="noConversion"/>
  </si>
  <si>
    <r>
      <rPr>
        <sz val="12"/>
        <color theme="1"/>
        <rFont val="標楷體"/>
        <family val="4"/>
        <charset val="136"/>
      </rPr>
      <t>得計入自有資本之金額</t>
    </r>
    <phoneticPr fontId="30" type="noConversion"/>
  </si>
  <si>
    <r>
      <rPr>
        <sz val="12"/>
        <color theme="1"/>
        <rFont val="標楷體"/>
        <family val="4"/>
        <charset val="136"/>
      </rPr>
      <t>風險資本總額</t>
    </r>
    <phoneticPr fontId="30" type="noConversion"/>
  </si>
  <si>
    <r>
      <rPr>
        <sz val="12"/>
        <color theme="1"/>
        <rFont val="標楷體"/>
        <family val="4"/>
        <charset val="136"/>
      </rPr>
      <t>不含天災之
風險資本總額</t>
    </r>
    <phoneticPr fontId="30" type="noConversion"/>
  </si>
  <si>
    <r>
      <rPr>
        <sz val="12"/>
        <color theme="1"/>
        <rFont val="標楷體"/>
        <family val="4"/>
        <charset val="136"/>
      </rPr>
      <t>風險資本
含天災增加比率</t>
    </r>
    <phoneticPr fontId="30" type="noConversion"/>
  </si>
  <si>
    <r>
      <rPr>
        <sz val="12"/>
        <color theme="1"/>
        <rFont val="標楷體"/>
        <family val="4"/>
        <charset val="136"/>
      </rPr>
      <t>異常業務損失特別準備金計入自有資本上限</t>
    </r>
    <phoneticPr fontId="30"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</si>
  <si>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30" type="noConversion"/>
  </si>
  <si>
    <r>
      <rPr>
        <sz val="10"/>
        <color theme="1"/>
        <rFont val="標楷體"/>
        <family val="4"/>
        <charset val="136"/>
      </rPr>
      <t>註</t>
    </r>
    <r>
      <rPr>
        <sz val="10"/>
        <color theme="1"/>
        <rFont val="Times New Roman"/>
        <family val="1"/>
      </rPr>
      <t>1</t>
    </r>
    <r>
      <rPr>
        <sz val="10"/>
        <color theme="1"/>
        <rFont val="標楷體"/>
        <family val="4"/>
        <charset val="136"/>
      </rPr>
      <t>：不含異常業務損失特別準備金之自有資本</t>
    </r>
    <phoneticPr fontId="30" type="noConversion"/>
  </si>
  <si>
    <r>
      <rPr>
        <sz val="10"/>
        <color theme="1"/>
        <rFont val="標楷體"/>
        <family val="4"/>
        <charset val="136"/>
      </rPr>
      <t>註</t>
    </r>
    <r>
      <rPr>
        <sz val="10"/>
        <color theme="1"/>
        <rFont val="Times New Roman"/>
        <family val="1"/>
      </rPr>
      <t>2</t>
    </r>
    <r>
      <rPr>
        <sz val="10"/>
        <color theme="1"/>
        <rFont val="標楷體"/>
        <family val="4"/>
        <charset val="136"/>
      </rPr>
      <t>：依據我國清償能力制度導入天災風險資本計提規範，自有資本之計算加入會計險別</t>
    </r>
    <r>
      <rPr>
        <sz val="10"/>
        <color theme="1"/>
        <rFont val="Times New Roman"/>
        <family val="1"/>
      </rPr>
      <t>06(</t>
    </r>
    <r>
      <rPr>
        <sz val="10"/>
        <color theme="1"/>
        <rFont val="標楷體"/>
        <family val="4"/>
        <charset val="136"/>
      </rPr>
      <t>貨物運輸保險</t>
    </r>
    <r>
      <rPr>
        <sz val="10"/>
        <color theme="1"/>
        <rFont val="Times New Roman"/>
        <family val="1"/>
      </rPr>
      <t>)</t>
    </r>
    <r>
      <rPr>
        <sz val="10"/>
        <color theme="1"/>
        <rFont val="標楷體"/>
        <family val="4"/>
        <charset val="136"/>
      </rPr>
      <t>、</t>
    </r>
    <r>
      <rPr>
        <sz val="10"/>
        <color theme="1"/>
        <rFont val="Times New Roman"/>
        <family val="1"/>
      </rPr>
      <t>19(</t>
    </r>
    <r>
      <rPr>
        <sz val="10"/>
        <color theme="1"/>
        <rFont val="標楷體"/>
        <family val="4"/>
        <charset val="136"/>
      </rPr>
      <t>工程保險</t>
    </r>
    <r>
      <rPr>
        <sz val="10"/>
        <color theme="1"/>
        <rFont val="Times New Roman"/>
        <family val="1"/>
      </rPr>
      <t>)</t>
    </r>
    <r>
      <rPr>
        <sz val="10"/>
        <color theme="1"/>
        <rFont val="標楷體"/>
        <family val="4"/>
        <charset val="136"/>
      </rPr>
      <t>、</t>
    </r>
    <r>
      <rPr>
        <sz val="10"/>
        <color theme="1"/>
        <rFont val="Times New Roman"/>
        <family val="1"/>
      </rPr>
      <t>25(</t>
    </r>
    <r>
      <rPr>
        <sz val="10"/>
        <color theme="1"/>
        <rFont val="標楷體"/>
        <family val="4"/>
        <charset val="136"/>
      </rPr>
      <t>商業性地震保險</t>
    </r>
    <r>
      <rPr>
        <sz val="10"/>
        <color theme="1"/>
        <rFont val="Times New Roman"/>
        <family val="1"/>
      </rPr>
      <t>)</t>
    </r>
    <r>
      <rPr>
        <sz val="10"/>
        <color theme="1"/>
        <rFont val="標楷體"/>
        <family val="4"/>
        <charset val="136"/>
      </rPr>
      <t>、</t>
    </r>
    <r>
      <rPr>
        <sz val="10"/>
        <color theme="1"/>
        <rFont val="Times New Roman"/>
        <family val="1"/>
      </rPr>
      <t>28(</t>
    </r>
    <r>
      <rPr>
        <sz val="10"/>
        <color theme="1"/>
        <rFont val="標楷體"/>
        <family val="4"/>
        <charset val="136"/>
      </rPr>
      <t>颱風洪水保險</t>
    </r>
    <r>
      <rPr>
        <sz val="10"/>
        <color theme="1"/>
        <rFont val="Times New Roman"/>
        <family val="1"/>
      </rPr>
      <t>)</t>
    </r>
    <r>
      <rPr>
        <sz val="10"/>
        <color theme="1"/>
        <rFont val="標楷體"/>
        <family val="4"/>
        <charset val="136"/>
      </rPr>
      <t>之異常業務損失特別準備金權益及負債合計金額。</t>
    </r>
    <phoneticPr fontId="30" type="noConversion"/>
  </si>
  <si>
    <r>
      <rPr>
        <sz val="10"/>
        <color theme="1"/>
        <rFont val="標楷體"/>
        <family val="4"/>
        <charset val="136"/>
      </rPr>
      <t>而自有資本可加回金額以納入天災風險資本後風險資本總額之增幅比率為限。</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</si>
  <si>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2" type="noConversion"/>
  </si>
  <si>
    <r>
      <rPr>
        <sz val="12"/>
        <color theme="1"/>
        <rFont val="標楷體"/>
        <family val="4"/>
        <charset val="136"/>
      </rPr>
      <t>投資國內具資本性質債券或負債型特別股明細表</t>
    </r>
    <phoneticPr fontId="32"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</si>
  <si>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2"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</si>
  <si>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</si>
  <si>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</si>
  <si>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</si>
  <si>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</si>
  <si>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</si>
  <si>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2" type="noConversion"/>
  </si>
  <si>
    <r>
      <rPr>
        <b/>
        <sz val="12"/>
        <color theme="1"/>
        <rFont val="標楷體"/>
        <family val="4"/>
        <charset val="136"/>
      </rPr>
      <t>是否屬實質互相投資之具資本性質工具</t>
    </r>
    <phoneticPr fontId="32"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</si>
  <si>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2" type="noConversion"/>
  </si>
  <si>
    <r>
      <rPr>
        <b/>
        <sz val="12"/>
        <color theme="1"/>
        <rFont val="標楷體"/>
        <family val="4"/>
        <charset val="136"/>
      </rPr>
      <t>發行年月日</t>
    </r>
    <phoneticPr fontId="32" type="noConversion"/>
  </si>
  <si>
    <r>
      <rPr>
        <b/>
        <sz val="12"/>
        <color theme="1"/>
        <rFont val="標楷體"/>
        <family val="4"/>
        <charset val="136"/>
      </rPr>
      <t>始得贖回年月日</t>
    </r>
    <phoneticPr fontId="32" type="noConversion"/>
  </si>
  <si>
    <r>
      <rPr>
        <b/>
        <sz val="12"/>
        <color theme="1"/>
        <rFont val="標楷體"/>
        <family val="4"/>
        <charset val="136"/>
      </rPr>
      <t>到期年月日</t>
    </r>
    <phoneticPr fontId="32"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</si>
  <si>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</si>
  <si>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</si>
  <si>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</si>
  <si>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2"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</si>
  <si>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</si>
  <si>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</si>
  <si>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</si>
  <si>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</si>
  <si>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</si>
  <si>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2" type="noConversion"/>
  </si>
  <si>
    <r>
      <rPr>
        <b/>
        <sz val="12"/>
        <color theme="1"/>
        <rFont val="標楷體"/>
        <family val="4"/>
        <charset val="136"/>
      </rPr>
      <t>公司類型</t>
    </r>
    <phoneticPr fontId="32" type="noConversion"/>
  </si>
  <si>
    <r>
      <rPr>
        <sz val="12"/>
        <color theme="1"/>
        <rFont val="標楷體"/>
        <family val="4"/>
        <charset val="136"/>
      </rPr>
      <t>自有資本及風險資本調整計算表</t>
    </r>
    <phoneticPr fontId="32"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</si>
  <si>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</si>
  <si>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2" type="noConversion"/>
  </si>
  <si>
    <r>
      <rPr>
        <b/>
        <sz val="12"/>
        <color theme="1"/>
        <rFont val="標楷體"/>
        <family val="4"/>
        <charset val="136"/>
      </rPr>
      <t>項目</t>
    </r>
    <phoneticPr fontId="32" type="noConversion"/>
  </si>
  <si>
    <r>
      <rPr>
        <b/>
        <sz val="12"/>
        <color theme="1"/>
        <rFont val="標楷體"/>
        <family val="4"/>
        <charset val="136"/>
      </rPr>
      <t>金額</t>
    </r>
    <phoneticPr fontId="32" type="noConversion"/>
  </si>
  <si>
    <r>
      <rPr>
        <b/>
        <sz val="12"/>
        <color theme="1"/>
        <rFont val="標楷體"/>
        <family val="4"/>
        <charset val="136"/>
      </rPr>
      <t>具資本性質債券</t>
    </r>
    <phoneticPr fontId="32"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</si>
  <si>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2"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</si>
  <si>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2" type="noConversion"/>
  </si>
  <si>
    <r>
      <rPr>
        <sz val="12"/>
        <color theme="1"/>
        <rFont val="標楷體"/>
        <family val="4"/>
        <charset val="136"/>
      </rPr>
      <t>關係人</t>
    </r>
    <phoneticPr fontId="32" type="noConversion"/>
  </si>
  <si>
    <r>
      <rPr>
        <sz val="12"/>
        <color theme="1"/>
        <rFont val="標楷體"/>
        <family val="4"/>
        <charset val="136"/>
      </rPr>
      <t>總計</t>
    </r>
    <phoneticPr fontId="32" type="noConversion"/>
  </si>
  <si>
    <r>
      <rPr>
        <sz val="12"/>
        <color theme="1"/>
        <rFont val="標楷體"/>
        <family val="4"/>
        <charset val="136"/>
      </rPr>
      <t>屬實質互相投資</t>
    </r>
    <phoneticPr fontId="32" type="noConversion"/>
  </si>
  <si>
    <r>
      <rPr>
        <sz val="12"/>
        <color theme="1"/>
        <rFont val="標楷體"/>
        <family val="4"/>
        <charset val="136"/>
      </rPr>
      <t>具控制與從屬關係</t>
    </r>
  </si>
  <si>
    <r>
      <rPr>
        <sz val="12"/>
        <color theme="1"/>
        <rFont val="標楷體"/>
        <family val="4"/>
        <charset val="136"/>
      </rPr>
      <t>非屬實質互相投資</t>
    </r>
    <phoneticPr fontId="32"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</si>
  <si>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</si>
  <si>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</si>
  <si>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2" type="noConversion"/>
  </si>
  <si>
    <r>
      <rPr>
        <sz val="12"/>
        <color theme="1"/>
        <rFont val="標楷體"/>
        <family val="4"/>
        <charset val="136"/>
      </rPr>
      <t>評價日淨值</t>
    </r>
    <r>
      <rPr>
        <sz val="12"/>
        <color theme="1"/>
        <rFont val="Times New Roman"/>
        <family val="1"/>
      </rPr>
      <t>10%</t>
    </r>
    <phoneticPr fontId="32"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</si>
  <si>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2"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</si>
  <si>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2"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</si>
  <si>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</si>
  <si>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2" type="noConversion"/>
  </si>
  <si>
    <r>
      <rPr>
        <sz val="12"/>
        <color theme="1"/>
        <rFont val="標楷體"/>
        <family val="4"/>
        <charset val="136"/>
      </rPr>
      <t>非關係人</t>
    </r>
    <phoneticPr fontId="32"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</si>
  <si>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</si>
  <si>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2"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</si>
  <si>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2"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</si>
  <si>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2"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</si>
  <si>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2"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</si>
  <si>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2"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</si>
  <si>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2"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</si>
  <si>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2"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</si>
  <si>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2"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</si>
  <si>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2"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</si>
  <si>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2"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</si>
  <si>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2"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</si>
  <si>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</si>
  <si>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</si>
  <si>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</si>
  <si>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表</t>
    </r>
    <r>
      <rPr>
        <sz val="10"/>
        <color theme="1"/>
        <rFont val="Book Antiqua"/>
        <family val="1"/>
      </rPr>
      <t>30-8-5</t>
    </r>
    <r>
      <rPr>
        <sz val="10"/>
        <color theme="1"/>
        <rFont val="標楷體"/>
        <family val="4"/>
        <charset val="136"/>
      </rPr>
      <t>：認列未實現評價損益檢討計算表</t>
    </r>
    <phoneticPr fontId="32" type="noConversion"/>
  </si>
  <si>
    <r>
      <rPr>
        <sz val="10"/>
        <color theme="1"/>
        <rFont val="標楷體"/>
        <family val="4"/>
        <charset val="136"/>
      </rPr>
      <t>列號</t>
    </r>
  </si>
  <si>
    <r>
      <rPr>
        <sz val="10"/>
        <color theme="1"/>
        <rFont val="標楷體"/>
        <family val="4"/>
        <charset val="136"/>
      </rPr>
      <t>取得成本</t>
    </r>
    <phoneticPr fontId="32" type="noConversion"/>
  </si>
  <si>
    <r>
      <rPr>
        <sz val="10"/>
        <color theme="1"/>
        <rFont val="標楷體"/>
        <family val="4"/>
        <charset val="136"/>
      </rPr>
      <t>最近市價或淨值總金額</t>
    </r>
    <phoneticPr fontId="32" type="noConversion"/>
  </si>
  <si>
    <r>
      <rPr>
        <sz val="10"/>
        <color theme="1"/>
        <rFont val="標楷體"/>
        <family val="4"/>
        <charset val="136"/>
      </rPr>
      <t>半年收盤平均價</t>
    </r>
    <phoneticPr fontId="32" type="noConversion"/>
  </si>
  <si>
    <r>
      <rPr>
        <sz val="10"/>
        <color theme="1"/>
        <rFont val="標楷體"/>
        <family val="4"/>
        <charset val="136"/>
      </rPr>
      <t>未實現評價利益</t>
    </r>
    <r>
      <rPr>
        <sz val="10"/>
        <color theme="1"/>
        <rFont val="Book Antiqua"/>
        <family val="1"/>
      </rPr>
      <t>(</t>
    </r>
    <r>
      <rPr>
        <sz val="10"/>
        <color theme="1"/>
        <rFont val="標楷體"/>
        <family val="4"/>
        <charset val="136"/>
      </rPr>
      <t>損失</t>
    </r>
    <r>
      <rPr>
        <sz val="10"/>
        <color theme="1"/>
        <rFont val="Book Antiqua"/>
        <family val="1"/>
      </rPr>
      <t>)</t>
    </r>
    <phoneticPr fontId="32" type="noConversion"/>
  </si>
  <si>
    <r>
      <rPr>
        <sz val="10"/>
        <color theme="1"/>
        <rFont val="標楷體"/>
        <family val="4"/>
        <charset val="136"/>
      </rPr>
      <t>自有資本調整數</t>
    </r>
    <phoneticPr fontId="32" type="noConversion"/>
  </si>
  <si>
    <r>
      <rPr>
        <sz val="10"/>
        <color theme="1"/>
        <rFont val="標楷體"/>
        <family val="4"/>
        <charset val="136"/>
      </rPr>
      <t>最近市價或淨值基礎</t>
    </r>
    <phoneticPr fontId="32" type="noConversion"/>
  </si>
  <si>
    <r>
      <rPr>
        <sz val="10"/>
        <color theme="1"/>
        <rFont val="標楷體"/>
        <family val="4"/>
        <charset val="136"/>
      </rPr>
      <t>半年收盤平均價基礎</t>
    </r>
    <phoneticPr fontId="32" type="noConversion"/>
  </si>
  <si>
    <r>
      <rPr>
        <sz val="10"/>
        <color theme="1"/>
        <rFont val="標楷體"/>
        <family val="4"/>
        <charset val="136"/>
      </rPr>
      <t>透過損益按公允價值衡量之金融資產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2" type="noConversion"/>
  </si>
  <si>
    <r>
      <rPr>
        <sz val="10"/>
        <color theme="1"/>
        <rFont val="標楷體"/>
        <family val="4"/>
        <charset val="136"/>
      </rPr>
      <t>透過其他綜合損益按公允價值衡量之金融資產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2" type="noConversion"/>
  </si>
  <si>
    <r>
      <t>ETF-</t>
    </r>
    <r>
      <rPr>
        <sz val="10"/>
        <color theme="1"/>
        <rFont val="標楷體"/>
        <family val="4"/>
        <charset val="136"/>
      </rPr>
      <t>股票型</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9-1)</t>
    </r>
    <phoneticPr fontId="32" type="noConversion"/>
  </si>
  <si>
    <r>
      <rPr>
        <sz val="10"/>
        <color theme="1"/>
        <rFont val="標楷體"/>
        <family val="4"/>
        <charset val="136"/>
      </rPr>
      <t>股票型共同基金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2" type="noConversion"/>
  </si>
  <si>
    <r>
      <rPr>
        <sz val="10"/>
        <color theme="1"/>
        <rFont val="標楷體"/>
        <family val="4"/>
        <charset val="136"/>
      </rPr>
      <t>平衡型共同基金及多重資產型基金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2" type="noConversion"/>
  </si>
  <si>
    <r>
      <rPr>
        <sz val="10"/>
        <color theme="1"/>
        <rFont val="標楷體"/>
        <family val="4"/>
        <charset val="136"/>
      </rPr>
      <t>合計</t>
    </r>
    <phoneticPr fontId="32" type="noConversion"/>
  </si>
  <si>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t>
    </r>
    <phoneticPr fontId="30" type="noConversion"/>
  </si>
  <si>
    <r>
      <rPr>
        <sz val="10"/>
        <color theme="1"/>
        <rFont val="標楷體"/>
        <family val="4"/>
        <charset val="136"/>
      </rPr>
      <t>自有資本調整計算表</t>
    </r>
    <phoneticPr fontId="30" type="noConversion"/>
  </si>
  <si>
    <r>
      <rPr>
        <sz val="10"/>
        <color theme="1"/>
        <rFont val="標楷體"/>
        <family val="4"/>
        <charset val="136"/>
      </rPr>
      <t>列號</t>
    </r>
    <phoneticPr fontId="30"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</si>
  <si>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</si>
  <si>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30" type="noConversion"/>
  </si>
  <si>
    <r>
      <rPr>
        <sz val="10"/>
        <color theme="1"/>
        <rFont val="標楷體"/>
        <family val="4"/>
        <charset val="136"/>
      </rPr>
      <t>風險資本調整計算表</t>
    </r>
    <phoneticPr fontId="30" type="noConversion"/>
  </si>
  <si>
    <r>
      <rPr>
        <sz val="10"/>
        <color theme="1"/>
        <rFont val="標楷體"/>
        <family val="4"/>
        <charset val="136"/>
      </rPr>
      <t>不動產種類</t>
    </r>
    <phoneticPr fontId="30" type="noConversion"/>
  </si>
  <si>
    <r>
      <rPr>
        <sz val="10"/>
        <color theme="1"/>
        <rFont val="標楷體"/>
        <family val="4"/>
        <charset val="136"/>
      </rPr>
      <t>國內投資用不動產總計</t>
    </r>
    <phoneticPr fontId="30" type="noConversion"/>
  </si>
  <si>
    <r>
      <rPr>
        <sz val="10"/>
        <color theme="1"/>
        <rFont val="標楷體"/>
        <family val="4"/>
        <charset val="136"/>
      </rPr>
      <t>投資用不動產投資</t>
    </r>
    <phoneticPr fontId="30"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</si>
  <si>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30"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</si>
  <si>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30" type="noConversion"/>
  </si>
  <si>
    <r>
      <rPr>
        <sz val="10"/>
        <color theme="1"/>
        <rFont val="標楷體"/>
        <family val="4"/>
        <charset val="136"/>
      </rPr>
      <t>小計</t>
    </r>
  </si>
  <si>
    <r>
      <rPr>
        <sz val="10"/>
        <color theme="1"/>
        <rFont val="標楷體"/>
        <family val="4"/>
        <charset val="136"/>
      </rPr>
      <t>國外投資總計</t>
    </r>
    <phoneticPr fontId="30" type="noConversion"/>
  </si>
  <si>
    <r>
      <rPr>
        <sz val="10"/>
        <color theme="1"/>
        <rFont val="標楷體"/>
        <family val="4"/>
        <charset val="136"/>
      </rPr>
      <t>五年內取自關係人之不動產總計</t>
    </r>
    <phoneticPr fontId="30"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</si>
  <si>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30"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</si>
  <si>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30"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</si>
  <si>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30"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</si>
  <si>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0" type="noConversion"/>
  </si>
  <si>
    <r>
      <rPr>
        <sz val="10"/>
        <color theme="1"/>
        <rFont val="標楷體"/>
        <family val="4"/>
        <charset val="136"/>
      </rPr>
      <t>投資用不動產合計</t>
    </r>
  </si>
  <si>
    <r>
      <rPr>
        <sz val="10"/>
        <color theme="1"/>
        <rFont val="標楷體"/>
        <family val="4"/>
        <charset val="136"/>
      </rPr>
      <t>列號</t>
    </r>
    <phoneticPr fontId="32" type="noConversion"/>
  </si>
  <si>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32" type="noConversion"/>
  </si>
  <si>
    <r>
      <rPr>
        <sz val="10"/>
        <color theme="1"/>
        <rFont val="標楷體"/>
        <family val="4"/>
        <charset val="136"/>
      </rPr>
      <t>投資性不動產後續衡量採用公允價值模式之影響淨額</t>
    </r>
    <phoneticPr fontId="32" type="noConversion"/>
  </si>
  <si>
    <r>
      <rPr>
        <sz val="10"/>
        <color theme="1"/>
        <rFont val="標楷體"/>
        <family val="4"/>
        <charset val="136"/>
      </rPr>
      <t>保險負債採用公允價值評估之增提金額</t>
    </r>
    <phoneticPr fontId="32" type="noConversion"/>
  </si>
  <si>
    <r>
      <rPr>
        <sz val="10"/>
        <color theme="1"/>
        <rFont val="標楷體"/>
        <family val="4"/>
        <charset val="136"/>
      </rPr>
      <t>投資性不動產後續衡量採用公允價值模式計算自有資本影響數</t>
    </r>
    <phoneticPr fontId="32" type="noConversion"/>
  </si>
  <si>
    <r>
      <rPr>
        <sz val="10"/>
        <color theme="1"/>
        <rFont val="標楷體"/>
        <family val="4"/>
        <charset val="136"/>
      </rPr>
      <t>註：</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</si>
  <si>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32"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</si>
  <si>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2" type="noConversion"/>
  </si>
  <si>
    <r>
      <rPr>
        <b/>
        <sz val="12"/>
        <color theme="1"/>
        <rFont val="標楷體"/>
        <family val="4"/>
        <charset val="136"/>
      </rPr>
      <t>債權人名稱</t>
    </r>
    <phoneticPr fontId="30" type="noConversion"/>
  </si>
  <si>
    <r>
      <rPr>
        <b/>
        <sz val="12"/>
        <color theme="1"/>
        <rFont val="標楷體"/>
        <family val="4"/>
        <charset val="136"/>
      </rPr>
      <t>與本公司關係</t>
    </r>
    <phoneticPr fontId="30" type="noConversion"/>
  </si>
  <si>
    <r>
      <rPr>
        <b/>
        <sz val="12"/>
        <color theme="1"/>
        <rFont val="標楷體"/>
        <family val="4"/>
        <charset val="136"/>
      </rPr>
      <t>是否為保險業實質互相投資</t>
    </r>
    <phoneticPr fontId="30" type="noConversion"/>
  </si>
  <si>
    <r>
      <rPr>
        <b/>
        <sz val="12"/>
        <color theme="1"/>
        <rFont val="標楷體"/>
        <family val="4"/>
        <charset val="136"/>
      </rPr>
      <t>募集方式</t>
    </r>
    <phoneticPr fontId="30" type="noConversion"/>
  </si>
  <si>
    <r>
      <rPr>
        <b/>
        <sz val="12"/>
        <color theme="1"/>
        <rFont val="標楷體"/>
        <family val="4"/>
        <charset val="136"/>
      </rPr>
      <t>發行日</t>
    </r>
    <phoneticPr fontId="30" type="noConversion"/>
  </si>
  <si>
    <r>
      <rPr>
        <b/>
        <sz val="12"/>
        <color theme="1"/>
        <rFont val="標楷體"/>
        <family val="4"/>
        <charset val="136"/>
      </rPr>
      <t>到期日</t>
    </r>
    <phoneticPr fontId="30" type="noConversion"/>
  </si>
  <si>
    <r>
      <rPr>
        <b/>
        <sz val="12"/>
        <color theme="1"/>
        <rFont val="標楷體"/>
        <family val="4"/>
        <charset val="136"/>
      </rPr>
      <t>剩餘年限</t>
    </r>
    <phoneticPr fontId="30" type="noConversion"/>
  </si>
  <si>
    <r>
      <rPr>
        <b/>
        <sz val="12"/>
        <color theme="1"/>
        <rFont val="標楷體"/>
        <family val="4"/>
        <charset val="136"/>
      </rPr>
      <t>是否為累積公司債</t>
    </r>
    <phoneticPr fontId="32" type="noConversion"/>
  </si>
  <si>
    <r>
      <rPr>
        <b/>
        <sz val="12"/>
        <color theme="1"/>
        <rFont val="標楷體"/>
        <family val="4"/>
        <charset val="136"/>
      </rPr>
      <t>是否有利率加碼條件或其他提前贖回之誘因</t>
    </r>
    <phoneticPr fontId="32"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</si>
  <si>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</si>
  <si>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備註</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</si>
  <si>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32"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</si>
  <si>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32" type="noConversion"/>
  </si>
  <si>
    <r>
      <rPr>
        <b/>
        <sz val="12"/>
        <color theme="1"/>
        <rFont val="標楷體"/>
        <family val="4"/>
        <charset val="136"/>
      </rPr>
      <t>合計</t>
    </r>
  </si>
  <si>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</si>
  <si>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</si>
  <si>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32"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</si>
  <si>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</si>
  <si>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32"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</si>
  <si>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2"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</si>
  <si>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</si>
  <si>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32"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</si>
  <si>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32" type="noConversion"/>
  </si>
  <si>
    <r>
      <t xml:space="preserve">(7) </t>
    </r>
    <r>
      <rPr>
        <sz val="12"/>
        <color theme="1"/>
        <rFont val="標楷體"/>
        <family val="4"/>
        <charset val="136"/>
      </rPr>
      <t>若有分次發行公司債者，應分別填報</t>
    </r>
    <phoneticPr fontId="32"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</si>
  <si>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32"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</si>
  <si>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32"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</si>
  <si>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32" type="noConversion"/>
  </si>
  <si>
    <r>
      <rPr>
        <b/>
        <sz val="12"/>
        <color theme="1"/>
        <rFont val="標楷體"/>
        <family val="4"/>
        <charset val="136"/>
      </rPr>
      <t>股東名稱</t>
    </r>
    <phoneticPr fontId="30" type="noConversion"/>
  </si>
  <si>
    <r>
      <rPr>
        <b/>
        <sz val="12"/>
        <color theme="1"/>
        <rFont val="標楷體"/>
        <family val="4"/>
        <charset val="136"/>
      </rPr>
      <t>募集方式</t>
    </r>
    <phoneticPr fontId="32" type="noConversion"/>
  </si>
  <si>
    <r>
      <rPr>
        <b/>
        <sz val="12"/>
        <color theme="1"/>
        <rFont val="標楷體"/>
        <family val="4"/>
        <charset val="136"/>
      </rPr>
      <t>小計</t>
    </r>
    <phoneticPr fontId="32" type="noConversion"/>
  </si>
  <si>
    <r>
      <rPr>
        <b/>
        <sz val="12"/>
        <color theme="1"/>
        <rFont val="標楷體"/>
        <family val="4"/>
        <charset val="136"/>
      </rPr>
      <t>合計</t>
    </r>
    <phoneticPr fontId="32" type="noConversion"/>
  </si>
  <si>
    <r>
      <rPr>
        <sz val="12"/>
        <color theme="1"/>
        <rFont val="標楷體"/>
        <family val="4"/>
        <charset val="136"/>
      </rPr>
      <t>填表說明：</t>
    </r>
    <phoneticPr fontId="30"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</si>
  <si>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32"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</si>
  <si>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32"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</si>
  <si>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32" type="noConversion"/>
  </si>
  <si>
    <r>
      <t xml:space="preserve">(7) </t>
    </r>
    <r>
      <rPr>
        <sz val="12"/>
        <color theme="1"/>
        <rFont val="標楷體"/>
        <family val="4"/>
        <charset val="136"/>
      </rPr>
      <t>若有分次發行特別股者，應分別填報</t>
    </r>
    <phoneticPr fontId="32"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</si>
  <si>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</si>
  <si>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</si>
  <si>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</si>
  <si>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(25)</t>
    </r>
    <r>
      <rPr>
        <sz val="12"/>
        <color theme="1"/>
        <rFont val="標楷體"/>
        <family val="4"/>
        <charset val="136"/>
      </rPr>
      <t>欄第</t>
    </r>
    <r>
      <rPr>
        <sz val="12"/>
        <color theme="1"/>
        <rFont val="Times New Roman"/>
        <family val="1"/>
      </rPr>
      <t>(15)</t>
    </r>
    <r>
      <rPr>
        <sz val="12"/>
        <color theme="1"/>
        <rFont val="標楷體"/>
        <family val="4"/>
        <charset val="136"/>
      </rPr>
      <t>列</t>
    </r>
    <phoneticPr fontId="30" type="noConversion"/>
  </si>
  <si>
    <r>
      <rPr>
        <sz val="10"/>
        <color theme="1"/>
        <rFont val="標楷體"/>
        <family val="4"/>
        <charset val="136"/>
      </rPr>
      <t>表</t>
    </r>
    <r>
      <rPr>
        <sz val="10"/>
        <color theme="1"/>
        <rFont val="Book Antiqua"/>
        <family val="1"/>
      </rPr>
      <t>30-7</t>
    </r>
    <r>
      <rPr>
        <sz val="10"/>
        <color theme="1"/>
        <rFont val="標楷體"/>
        <family val="4"/>
        <charset val="136"/>
      </rPr>
      <t>：</t>
    </r>
    <r>
      <rPr>
        <sz val="10"/>
        <color theme="1"/>
        <rFont val="Book Antiqua"/>
        <family val="1"/>
      </rPr>
      <t>R5</t>
    </r>
    <r>
      <rPr>
        <sz val="10"/>
        <color theme="1"/>
        <rFont val="標楷體"/>
        <family val="4"/>
        <charset val="136"/>
      </rPr>
      <t>：其他風險計算表</t>
    </r>
    <phoneticPr fontId="30" type="noConversion"/>
  </si>
  <si>
    <r>
      <rPr>
        <sz val="10"/>
        <color theme="1"/>
        <rFont val="標楷體"/>
        <family val="4"/>
        <charset val="136"/>
      </rPr>
      <t>單位：新台幣元</t>
    </r>
    <phoneticPr fontId="30"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</si>
  <si>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0"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</si>
  <si>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30"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</si>
  <si>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</si>
  <si>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phoneticPr fontId="30" type="noConversion"/>
  </si>
  <si>
    <r>
      <rPr>
        <b/>
        <sz val="10"/>
        <color theme="1"/>
        <rFont val="標楷體"/>
        <family val="4"/>
        <charset val="136"/>
      </rPr>
      <t>風險係數</t>
    </r>
  </si>
  <si>
    <r>
      <rPr>
        <b/>
        <sz val="10"/>
        <color theme="1"/>
        <rFont val="標楷體"/>
        <family val="4"/>
        <charset val="136"/>
      </rPr>
      <t>風險資本額</t>
    </r>
  </si>
  <si>
    <r>
      <t xml:space="preserve"> 5.1 </t>
    </r>
    <r>
      <rPr>
        <sz val="10"/>
        <color theme="1"/>
        <rFont val="標楷體"/>
        <family val="4"/>
        <charset val="136"/>
      </rPr>
      <t>再保業務保費收入</t>
    </r>
    <phoneticPr fontId="30" type="noConversion"/>
  </si>
  <si>
    <r>
      <t xml:space="preserve">  5.1.1</t>
    </r>
    <r>
      <rPr>
        <sz val="10"/>
        <color theme="1"/>
        <rFont val="標楷體"/>
        <family val="4"/>
        <charset val="136"/>
      </rPr>
      <t>產險業務</t>
    </r>
    <phoneticPr fontId="30" type="noConversion"/>
  </si>
  <si>
    <r>
      <t xml:space="preserve">  5.1.2</t>
    </r>
    <r>
      <rPr>
        <sz val="10"/>
        <color theme="1"/>
        <rFont val="標楷體"/>
        <family val="4"/>
        <charset val="136"/>
      </rPr>
      <t>壽險業務</t>
    </r>
    <phoneticPr fontId="30" type="noConversion"/>
  </si>
  <si>
    <r>
      <rPr>
        <sz val="10"/>
        <color theme="1"/>
        <rFont val="標楷體"/>
        <family val="4"/>
        <charset val="136"/>
      </rPr>
      <t>「表</t>
    </r>
    <r>
      <rPr>
        <sz val="10"/>
        <color theme="1"/>
        <rFont val="Book Antiqua"/>
        <family val="1"/>
      </rPr>
      <t>20-2:</t>
    </r>
    <r>
      <rPr>
        <sz val="10"/>
        <color theme="1"/>
        <rFont val="標楷體"/>
        <family val="4"/>
        <charset val="136"/>
      </rPr>
      <t>分入再保險業務業績比較分析表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(15)</t>
    </r>
    <r>
      <rPr>
        <sz val="10"/>
        <color theme="1"/>
        <rFont val="標楷體"/>
        <family val="4"/>
        <charset val="136"/>
      </rPr>
      <t>列</t>
    </r>
    <phoneticPr fontId="30" type="noConversion"/>
  </si>
  <si>
    <r>
      <t xml:space="preserve"> 5.2 </t>
    </r>
    <r>
      <rPr>
        <sz val="10"/>
        <color theme="1"/>
        <rFont val="標楷體"/>
        <family val="4"/>
        <charset val="136"/>
      </rPr>
      <t>保險業資產總額</t>
    </r>
    <phoneticPr fontId="30" type="noConversion"/>
  </si>
  <si>
    <r>
      <rPr>
        <b/>
        <sz val="10"/>
        <color theme="1"/>
        <rFont val="標楷體"/>
        <family val="4"/>
        <charset val="136"/>
      </rPr>
      <t>《其他風險》總計</t>
    </r>
    <phoneticPr fontId="30"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</si>
  <si>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30" type="noConversion"/>
  </si>
  <si>
    <r>
      <rPr>
        <sz val="10"/>
        <color theme="1"/>
        <rFont val="標楷體"/>
        <family val="4"/>
        <charset val="136"/>
      </rPr>
      <t>單位：新台幣元</t>
    </r>
    <phoneticPr fontId="32" type="noConversion"/>
  </si>
  <si>
    <r>
      <rPr>
        <sz val="10"/>
        <color theme="1"/>
        <rFont val="標楷體"/>
        <family val="4"/>
        <charset val="136"/>
      </rPr>
      <t xml:space="preserve">列
號
</t>
    </r>
    <phoneticPr fontId="30" type="noConversion"/>
  </si>
  <si>
    <r>
      <rPr>
        <sz val="10"/>
        <color theme="1"/>
        <rFont val="標楷體"/>
        <family val="4"/>
        <charset val="136"/>
      </rPr>
      <t>商品名稱</t>
    </r>
    <phoneticPr fontId="30"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</si>
  <si>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30" type="noConversion"/>
  </si>
  <si>
    <r>
      <rPr>
        <sz val="10"/>
        <color theme="1"/>
        <rFont val="標楷體"/>
        <family val="4"/>
        <charset val="136"/>
      </rPr>
      <t>自留業務</t>
    </r>
    <phoneticPr fontId="30" type="noConversion"/>
  </si>
  <si>
    <r>
      <rPr>
        <sz val="10"/>
        <color theme="1"/>
        <rFont val="標楷體"/>
        <family val="4"/>
        <charset val="136"/>
      </rPr>
      <t>分出業務</t>
    </r>
    <phoneticPr fontId="30" type="noConversion"/>
  </si>
  <si>
    <r>
      <rPr>
        <sz val="10"/>
        <color theme="1"/>
        <rFont val="標楷體"/>
        <family val="4"/>
        <charset val="136"/>
      </rPr>
      <t>淨自留</t>
    </r>
    <phoneticPr fontId="30"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</si>
  <si>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30"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</si>
  <si>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30"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</si>
  <si>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30"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</si>
  <si>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30" type="noConversion"/>
  </si>
  <si>
    <r>
      <rPr>
        <sz val="10"/>
        <color theme="1"/>
        <rFont val="標楷體"/>
        <family val="4"/>
        <charset val="136"/>
      </rPr>
      <t>風險資本額</t>
    </r>
    <phoneticPr fontId="30"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</si>
  <si>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30"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</si>
  <si>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30"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</si>
  <si>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30" type="noConversion"/>
  </si>
  <si>
    <r>
      <rPr>
        <sz val="10"/>
        <color theme="1"/>
        <rFont val="標楷體"/>
        <family val="4"/>
        <charset val="136"/>
      </rPr>
      <t>《超過一年之人身保險業務》總計</t>
    </r>
    <phoneticPr fontId="30"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</si>
  <si>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30"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</si>
  <si>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30"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</si>
  <si>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30"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</si>
  <si>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30"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</si>
  <si>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30"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</si>
  <si>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30" type="noConversion"/>
  </si>
  <si>
    <r>
      <rPr>
        <sz val="10"/>
        <color theme="1"/>
        <rFont val="標楷體"/>
        <family val="4"/>
        <charset val="136"/>
      </rPr>
      <t>商品種類代號表</t>
    </r>
    <phoneticPr fontId="30" type="noConversion"/>
  </si>
  <si>
    <r>
      <rPr>
        <sz val="10"/>
        <color theme="1"/>
        <rFont val="標楷體"/>
        <family val="4"/>
        <charset val="136"/>
      </rPr>
      <t>商品種類</t>
    </r>
    <phoneticPr fontId="30" type="noConversion"/>
  </si>
  <si>
    <r>
      <rPr>
        <sz val="10"/>
        <color theme="1"/>
        <rFont val="標楷體"/>
        <family val="4"/>
        <charset val="136"/>
      </rPr>
      <t>代號</t>
    </r>
    <phoneticPr fontId="30"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</si>
  <si>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</si>
  <si>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</si>
  <si>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</si>
  <si>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</si>
  <si>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</si>
  <si>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</si>
  <si>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</si>
  <si>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30"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</si>
  <si>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0"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</si>
  <si>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30" type="noConversion"/>
  </si>
  <si>
    <r>
      <rPr>
        <b/>
        <sz val="10"/>
        <color theme="1"/>
        <rFont val="標楷體"/>
        <family val="4"/>
        <charset val="136"/>
      </rPr>
      <t>公司投資
報酬率</t>
    </r>
    <phoneticPr fontId="30" type="noConversion"/>
  </si>
  <si>
    <r>
      <rPr>
        <b/>
        <sz val="10"/>
        <color theme="1"/>
        <rFont val="標楷體"/>
        <family val="4"/>
        <charset val="136"/>
      </rPr>
      <t>風險資本額</t>
    </r>
    <phoneticPr fontId="30" type="noConversion"/>
  </si>
  <si>
    <r>
      <t xml:space="preserve"> 4.1 </t>
    </r>
    <r>
      <rPr>
        <sz val="10"/>
        <color theme="1"/>
        <rFont val="標楷體"/>
        <family val="4"/>
        <charset val="136"/>
      </rPr>
      <t>長期住宅火險未滿期保費準備金</t>
    </r>
    <phoneticPr fontId="30"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</si>
  <si>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0" type="noConversion"/>
  </si>
  <si>
    <r>
      <t xml:space="preserve"> 4.2 </t>
    </r>
    <r>
      <rPr>
        <sz val="10"/>
        <color theme="1"/>
        <rFont val="標楷體"/>
        <family val="4"/>
        <charset val="136"/>
      </rPr>
      <t>長期商業火險未滿期保費準備金</t>
    </r>
    <phoneticPr fontId="30" type="noConversion"/>
  </si>
  <si>
    <r>
      <t xml:space="preserve"> 4.3 </t>
    </r>
    <r>
      <rPr>
        <sz val="10"/>
        <color theme="1"/>
        <rFont val="標楷體"/>
        <family val="4"/>
        <charset val="136"/>
      </rPr>
      <t>還本型火險責任準備金</t>
    </r>
    <phoneticPr fontId="30" type="noConversion"/>
  </si>
  <si>
    <r>
      <t xml:space="preserve">4.3.1 </t>
    </r>
    <r>
      <rPr>
        <sz val="10"/>
        <color theme="1"/>
        <rFont val="標楷體"/>
        <family val="4"/>
        <charset val="136"/>
      </rPr>
      <t>還本型長期住宅火險責任準備金</t>
    </r>
    <phoneticPr fontId="30" type="noConversion"/>
  </si>
  <si>
    <r>
      <t xml:space="preserve">4.3.2 </t>
    </r>
    <r>
      <rPr>
        <sz val="10"/>
        <color theme="1"/>
        <rFont val="標楷體"/>
        <family val="4"/>
        <charset val="136"/>
      </rPr>
      <t>還本型長期商業火險責任準備金</t>
    </r>
    <phoneticPr fontId="30" type="noConversion"/>
  </si>
  <si>
    <r>
      <t xml:space="preserve"> 4.4 </t>
    </r>
    <r>
      <rPr>
        <sz val="10"/>
        <color theme="1"/>
        <rFont val="標楷體"/>
        <family val="4"/>
        <charset val="136"/>
      </rPr>
      <t>還本型火險未滿期保費準備金</t>
    </r>
    <phoneticPr fontId="30" type="noConversion"/>
  </si>
  <si>
    <r>
      <t xml:space="preserve">4.4.1 </t>
    </r>
    <r>
      <rPr>
        <sz val="10"/>
        <color theme="1"/>
        <rFont val="標楷體"/>
        <family val="4"/>
        <charset val="136"/>
      </rPr>
      <t>還本型長期住宅火險未滿期保費準備金</t>
    </r>
    <phoneticPr fontId="30" type="noConversion"/>
  </si>
  <si>
    <r>
      <t xml:space="preserve">4.4.2 </t>
    </r>
    <r>
      <rPr>
        <sz val="10"/>
        <color theme="1"/>
        <rFont val="標楷體"/>
        <family val="4"/>
        <charset val="136"/>
      </rPr>
      <t>還本型長期商業火險未滿期保費準備金</t>
    </r>
    <phoneticPr fontId="30" type="noConversion"/>
  </si>
  <si>
    <r>
      <t xml:space="preserve"> 4.5</t>
    </r>
    <r>
      <rPr>
        <sz val="10"/>
        <color theme="1"/>
        <rFont val="標楷體"/>
        <family val="4"/>
        <charset val="136"/>
      </rPr>
      <t>超過一年之人身保險業務</t>
    </r>
    <phoneticPr fontId="30" type="noConversion"/>
  </si>
  <si>
    <r>
      <t xml:space="preserve">    4.5.1</t>
    </r>
    <r>
      <rPr>
        <sz val="10"/>
        <color theme="1"/>
        <rFont val="標楷體"/>
        <family val="4"/>
        <charset val="136"/>
      </rPr>
      <t>人壽保險－超過一年之人身保險業務</t>
    </r>
    <phoneticPr fontId="30"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</si>
  <si>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30" type="noConversion"/>
  </si>
  <si>
    <r>
      <t xml:space="preserve">    4.5.2</t>
    </r>
    <r>
      <rPr>
        <sz val="10"/>
        <color theme="1"/>
        <rFont val="標楷體"/>
        <family val="4"/>
        <charset val="136"/>
      </rPr>
      <t>年金保險－超過一年之人身保險業務</t>
    </r>
    <phoneticPr fontId="30"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</si>
  <si>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30" type="noConversion"/>
  </si>
  <si>
    <r>
      <rPr>
        <b/>
        <sz val="10"/>
        <color theme="1"/>
        <rFont val="標楷體"/>
        <family val="4"/>
        <charset val="136"/>
      </rPr>
      <t>《資產負債配置風險》總計</t>
    </r>
    <phoneticPr fontId="30"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</si>
  <si>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30" type="noConversion"/>
  </si>
  <si>
    <r>
      <rPr>
        <sz val="12"/>
        <color theme="1"/>
        <rFont val="標楷體"/>
        <family val="4"/>
        <charset val="136"/>
      </rPr>
      <t>表</t>
    </r>
    <r>
      <rPr>
        <sz val="12"/>
        <color theme="1"/>
        <rFont val="Arial"/>
        <family val="2"/>
      </rPr>
      <t>30-5-3</t>
    </r>
    <r>
      <rPr>
        <sz val="12"/>
        <color theme="1"/>
        <rFont val="標楷體"/>
        <family val="4"/>
        <charset val="136"/>
      </rPr>
      <t>：</t>
    </r>
    <r>
      <rPr>
        <sz val="12"/>
        <color theme="1"/>
        <rFont val="Arial"/>
        <family val="2"/>
      </rPr>
      <t>R</t>
    </r>
    <r>
      <rPr>
        <vertAlign val="subscript"/>
        <sz val="12"/>
        <color theme="1"/>
        <rFont val="Arial"/>
        <family val="2"/>
      </rPr>
      <t>3c</t>
    </r>
    <r>
      <rPr>
        <sz val="12"/>
        <color theme="1"/>
        <rFont val="標楷體"/>
        <family val="4"/>
        <charset val="136"/>
      </rPr>
      <t>：天災風險資本計算表</t>
    </r>
    <phoneticPr fontId="30" type="noConversion"/>
  </si>
  <si>
    <r>
      <rPr>
        <sz val="12"/>
        <color theme="1"/>
        <rFont val="標楷體"/>
        <family val="4"/>
        <charset val="136"/>
      </rPr>
      <t>計算工具</t>
    </r>
    <r>
      <rPr>
        <sz val="12"/>
        <color theme="1"/>
        <rFont val="Arial"/>
        <family val="2"/>
      </rPr>
      <t>(</t>
    </r>
    <r>
      <rPr>
        <sz val="12"/>
        <color theme="1"/>
        <rFont val="標楷體"/>
        <family val="4"/>
        <charset val="136"/>
      </rPr>
      <t>註</t>
    </r>
    <r>
      <rPr>
        <sz val="12"/>
        <color theme="1"/>
        <rFont val="Arial"/>
        <family val="2"/>
      </rPr>
      <t>1):</t>
    </r>
    <phoneticPr fontId="30" type="noConversion"/>
  </si>
  <si>
    <r>
      <rPr>
        <b/>
        <sz val="12"/>
        <color theme="1"/>
        <rFont val="標楷體"/>
        <family val="4"/>
        <charset val="136"/>
      </rPr>
      <t>項</t>
    </r>
    <r>
      <rPr>
        <b/>
        <sz val="12"/>
        <color theme="1"/>
        <rFont val="Arial"/>
        <family val="2"/>
      </rPr>
      <t xml:space="preserve">     </t>
    </r>
    <r>
      <rPr>
        <b/>
        <sz val="12"/>
        <color theme="1"/>
        <rFont val="標楷體"/>
        <family val="4"/>
        <charset val="136"/>
      </rPr>
      <t>目</t>
    </r>
    <phoneticPr fontId="30" type="noConversion"/>
  </si>
  <si>
    <r>
      <rPr>
        <b/>
        <sz val="12"/>
        <color theme="1"/>
        <rFont val="標楷體"/>
        <family val="4"/>
        <charset val="136"/>
      </rPr>
      <t>損失額度</t>
    </r>
  </si>
  <si>
    <r>
      <rPr>
        <b/>
        <sz val="12"/>
        <color theme="1"/>
        <rFont val="標楷體"/>
        <family val="4"/>
        <charset val="136"/>
      </rPr>
      <t>風險係數</t>
    </r>
    <phoneticPr fontId="30" type="noConversion"/>
  </si>
  <si>
    <r>
      <rPr>
        <b/>
        <sz val="12"/>
        <color theme="1"/>
        <rFont val="標楷體"/>
        <family val="4"/>
        <charset val="136"/>
      </rPr>
      <t>風險資本額</t>
    </r>
  </si>
  <si>
    <r>
      <rPr>
        <sz val="12"/>
        <color theme="1"/>
        <rFont val="標楷體"/>
        <family val="4"/>
        <charset val="136"/>
      </rPr>
      <t>地震淨自留風險</t>
    </r>
    <phoneticPr fontId="30" type="noConversion"/>
  </si>
  <si>
    <r>
      <rPr>
        <sz val="12"/>
        <color theme="1"/>
        <rFont val="標楷體"/>
        <family val="4"/>
        <charset val="136"/>
      </rPr>
      <t>地震信用風險</t>
    </r>
  </si>
  <si>
    <r>
      <rPr>
        <sz val="12"/>
        <color theme="1"/>
        <rFont val="標楷體"/>
        <family val="4"/>
        <charset val="136"/>
      </rPr>
      <t>颱風洪水淨自留風險</t>
    </r>
    <phoneticPr fontId="30" type="noConversion"/>
  </si>
  <si>
    <r>
      <rPr>
        <sz val="12"/>
        <color theme="1"/>
        <rFont val="標楷體"/>
        <family val="4"/>
        <charset val="136"/>
      </rPr>
      <t>颱風洪水信用風險</t>
    </r>
  </si>
  <si>
    <r>
      <rPr>
        <b/>
        <sz val="12"/>
        <color theme="1"/>
        <rFont val="標楷體"/>
        <family val="4"/>
        <charset val="136"/>
      </rPr>
      <t>天災風險資本</t>
    </r>
    <r>
      <rPr>
        <b/>
        <sz val="12"/>
        <color theme="1"/>
        <rFont val="Arial"/>
        <family val="2"/>
      </rPr>
      <t>R</t>
    </r>
    <r>
      <rPr>
        <b/>
        <vertAlign val="subscript"/>
        <sz val="12"/>
        <color theme="1"/>
        <rFont val="Arial"/>
        <family val="2"/>
      </rPr>
      <t>3c</t>
    </r>
    <r>
      <rPr>
        <b/>
        <sz val="12"/>
        <color theme="1"/>
        <rFont val="標楷體"/>
        <family val="4"/>
        <charset val="136"/>
      </rPr>
      <t>合計</t>
    </r>
    <phoneticPr fontId="30" type="noConversion"/>
  </si>
  <si>
    <r>
      <rPr>
        <b/>
        <sz val="12"/>
        <color theme="1"/>
        <rFont val="標楷體"/>
        <family val="4"/>
        <charset val="136"/>
      </rPr>
      <t>分進業務損失金額
(註</t>
    </r>
    <r>
      <rPr>
        <b/>
        <sz val="12"/>
        <color theme="1"/>
        <rFont val="Arial"/>
        <family val="2"/>
      </rPr>
      <t>3</t>
    </r>
    <r>
      <rPr>
        <b/>
        <sz val="12"/>
        <color theme="1"/>
        <rFont val="標楷體"/>
        <family val="4"/>
        <charset val="136"/>
      </rPr>
      <t>)</t>
    </r>
    <phoneticPr fontId="30" type="noConversion"/>
  </si>
  <si>
    <r>
      <rPr>
        <b/>
        <sz val="12"/>
        <color theme="1"/>
        <rFont val="標楷體"/>
        <family val="4"/>
        <charset val="136"/>
      </rPr>
      <t>自留業務損失金額
(註</t>
    </r>
    <r>
      <rPr>
        <b/>
        <sz val="12"/>
        <color theme="1"/>
        <rFont val="Arial"/>
        <family val="2"/>
      </rPr>
      <t>4</t>
    </r>
    <r>
      <rPr>
        <b/>
        <sz val="12"/>
        <color theme="1"/>
        <rFont val="標楷體"/>
        <family val="4"/>
        <charset val="136"/>
      </rPr>
      <t>)</t>
    </r>
    <phoneticPr fontId="30" type="noConversion"/>
  </si>
  <si>
    <r>
      <t>非比例性轉再保合約的風險抵減額度
(註</t>
    </r>
    <r>
      <rPr>
        <b/>
        <sz val="12"/>
        <color theme="1"/>
        <rFont val="Arial"/>
        <family val="2"/>
      </rPr>
      <t>5</t>
    </r>
    <r>
      <rPr>
        <b/>
        <sz val="12"/>
        <color theme="1"/>
        <rFont val="標楷體"/>
        <family val="4"/>
        <charset val="136"/>
      </rPr>
      <t>)</t>
    </r>
    <phoneticPr fontId="30" type="noConversion"/>
  </si>
  <si>
    <r>
      <t>法定調整項
(註</t>
    </r>
    <r>
      <rPr>
        <b/>
        <sz val="12"/>
        <color theme="1"/>
        <rFont val="Arial"/>
        <family val="2"/>
      </rPr>
      <t>6</t>
    </r>
    <r>
      <rPr>
        <b/>
        <sz val="12"/>
        <color theme="1"/>
        <rFont val="標楷體"/>
        <family val="4"/>
        <charset val="136"/>
      </rPr>
      <t>)</t>
    </r>
    <phoneticPr fontId="30" type="noConversion"/>
  </si>
  <si>
    <r>
      <rPr>
        <b/>
        <sz val="12"/>
        <color theme="1"/>
        <rFont val="標楷體"/>
        <family val="4"/>
        <charset val="136"/>
      </rPr>
      <t>淨自留損失總額</t>
    </r>
    <phoneticPr fontId="71" type="noConversion"/>
  </si>
  <si>
    <r>
      <rPr>
        <b/>
        <sz val="12"/>
        <color theme="1"/>
        <rFont val="標楷體"/>
        <family val="4"/>
        <charset val="136"/>
      </rPr>
      <t>無信用風險考量的
分出業務損失金額
(註</t>
    </r>
    <r>
      <rPr>
        <b/>
        <sz val="12"/>
        <color theme="1"/>
        <rFont val="Arial"/>
        <family val="2"/>
      </rPr>
      <t>2</t>
    </r>
    <r>
      <rPr>
        <b/>
        <sz val="12"/>
        <color theme="1"/>
        <rFont val="標楷體"/>
        <family val="4"/>
        <charset val="136"/>
      </rPr>
      <t>)</t>
    </r>
    <phoneticPr fontId="30" type="noConversion"/>
  </si>
  <si>
    <r>
      <rPr>
        <b/>
        <sz val="12"/>
        <color theme="1"/>
        <rFont val="標楷體"/>
        <family val="4"/>
        <charset val="136"/>
      </rPr>
      <t>地震風險資本</t>
    </r>
    <r>
      <rPr>
        <b/>
        <sz val="12"/>
        <color theme="1"/>
        <rFont val="Arial"/>
        <family val="2"/>
      </rPr>
      <t>:</t>
    </r>
    <phoneticPr fontId="30" type="noConversion"/>
  </si>
  <si>
    <r>
      <rPr>
        <sz val="12"/>
        <color theme="1"/>
        <rFont val="標楷體"/>
        <family val="4"/>
        <charset val="136"/>
      </rPr>
      <t>迴歸期</t>
    </r>
    <r>
      <rPr>
        <sz val="12"/>
        <color theme="1"/>
        <rFont val="Arial"/>
        <family val="2"/>
      </rPr>
      <t>20</t>
    </r>
    <r>
      <rPr>
        <sz val="12"/>
        <color theme="1"/>
        <rFont val="標楷體"/>
        <family val="4"/>
        <charset val="136"/>
      </rPr>
      <t>年</t>
    </r>
    <phoneticPr fontId="30" type="noConversion"/>
  </si>
  <si>
    <r>
      <rPr>
        <sz val="12"/>
        <color theme="1"/>
        <rFont val="標楷體"/>
        <family val="4"/>
        <charset val="136"/>
      </rPr>
      <t>迴歸期</t>
    </r>
    <r>
      <rPr>
        <sz val="12"/>
        <color theme="1"/>
        <rFont val="Arial"/>
        <family val="2"/>
      </rPr>
      <t>50</t>
    </r>
    <r>
      <rPr>
        <sz val="12"/>
        <color theme="1"/>
        <rFont val="標楷體"/>
        <family val="4"/>
        <charset val="136"/>
      </rPr>
      <t>年</t>
    </r>
  </si>
  <si>
    <r>
      <rPr>
        <sz val="12"/>
        <color theme="1"/>
        <rFont val="標楷體"/>
        <family val="4"/>
        <charset val="136"/>
      </rPr>
      <t>迴歸期</t>
    </r>
    <r>
      <rPr>
        <sz val="12"/>
        <color theme="1"/>
        <rFont val="Arial"/>
        <family val="2"/>
      </rPr>
      <t>100</t>
    </r>
    <r>
      <rPr>
        <sz val="12"/>
        <color theme="1"/>
        <rFont val="標楷體"/>
        <family val="4"/>
        <charset val="136"/>
      </rPr>
      <t>年</t>
    </r>
  </si>
  <si>
    <r>
      <rPr>
        <sz val="12"/>
        <color theme="1"/>
        <rFont val="標楷體"/>
        <family val="4"/>
        <charset val="136"/>
      </rPr>
      <t>迴歸期</t>
    </r>
    <r>
      <rPr>
        <sz val="12"/>
        <color theme="1"/>
        <rFont val="Arial"/>
        <family val="2"/>
      </rPr>
      <t>200</t>
    </r>
    <r>
      <rPr>
        <sz val="12"/>
        <color theme="1"/>
        <rFont val="標楷體"/>
        <family val="4"/>
        <charset val="136"/>
      </rPr>
      <t>年</t>
    </r>
    <phoneticPr fontId="30" type="noConversion"/>
  </si>
  <si>
    <r>
      <rPr>
        <b/>
        <sz val="12"/>
        <color theme="1"/>
        <rFont val="標楷體"/>
        <family val="4"/>
        <charset val="136"/>
      </rPr>
      <t>颱風洪水風險</t>
    </r>
    <r>
      <rPr>
        <b/>
        <sz val="12"/>
        <color theme="1"/>
        <rFont val="Arial"/>
        <family val="2"/>
      </rPr>
      <t>:</t>
    </r>
    <phoneticPr fontId="30" type="noConversion"/>
  </si>
  <si>
    <r>
      <rPr>
        <sz val="12"/>
        <color theme="1"/>
        <rFont val="標楷體"/>
        <family val="4"/>
        <charset val="136"/>
      </rPr>
      <t>註</t>
    </r>
    <r>
      <rPr>
        <sz val="12"/>
        <color theme="1"/>
        <rFont val="Arial"/>
        <family val="2"/>
      </rPr>
      <t xml:space="preserve">1 : </t>
    </r>
    <r>
      <rPr>
        <sz val="12"/>
        <color theme="1"/>
        <rFont val="標楷體"/>
        <family val="4"/>
        <charset val="136"/>
      </rPr>
      <t>標準係數法請依據財團法人保險事業發展中心公告之最新</t>
    </r>
    <r>
      <rPr>
        <sz val="12"/>
        <color theme="1"/>
        <rFont val="新細明體"/>
        <family val="1"/>
        <charset val="136"/>
      </rPr>
      <t>「</t>
    </r>
    <r>
      <rPr>
        <sz val="12"/>
        <color theme="1"/>
        <rFont val="標楷體"/>
        <family val="4"/>
        <charset val="136"/>
      </rPr>
      <t>天災風險資本標準係數法試算表</t>
    </r>
    <r>
      <rPr>
        <sz val="12"/>
        <color theme="1"/>
        <rFont val="新細明體"/>
        <family val="1"/>
        <charset val="136"/>
      </rPr>
      <t>」</t>
    </r>
    <r>
      <rPr>
        <sz val="12"/>
        <color theme="1"/>
        <rFont val="標楷體"/>
        <family val="4"/>
        <charset val="136"/>
      </rPr>
      <t>填報。</t>
    </r>
    <phoneticPr fontId="30" type="noConversion"/>
  </si>
  <si>
    <r>
      <rPr>
        <sz val="12"/>
        <color theme="1"/>
        <rFont val="標楷體"/>
        <family val="4"/>
        <charset val="136"/>
      </rPr>
      <t>註</t>
    </r>
    <r>
      <rPr>
        <sz val="12"/>
        <color theme="1"/>
        <rFont val="Arial"/>
        <family val="2"/>
      </rPr>
      <t xml:space="preserve">2 : </t>
    </r>
    <r>
      <rPr>
        <sz val="12"/>
        <color theme="1"/>
        <rFont val="標楷體"/>
        <family val="4"/>
        <charset val="136"/>
      </rPr>
      <t>係指分出對象為政府擔保之基金或政府授權相關機構，目前台灣尚無該類機構。</t>
    </r>
    <phoneticPr fontId="30" type="noConversion"/>
  </si>
  <si>
    <r>
      <rPr>
        <sz val="12"/>
        <color theme="1"/>
        <rFont val="標楷體"/>
        <family val="4"/>
        <charset val="136"/>
      </rPr>
      <t>註</t>
    </r>
    <r>
      <rPr>
        <sz val="12"/>
        <color theme="1"/>
        <rFont val="Arial"/>
        <family val="2"/>
      </rPr>
      <t xml:space="preserve">3 : </t>
    </r>
    <r>
      <rPr>
        <sz val="12"/>
        <color theme="1"/>
        <rFont val="標楷體"/>
        <family val="4"/>
        <charset val="136"/>
      </rPr>
      <t>係指各公司的分進業務，包含國內分進，但不考量任何再保分出之業務。若採內部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商用模型的分進損失金額。</t>
    </r>
    <r>
      <rPr>
        <sz val="12"/>
        <color theme="1"/>
        <rFont val="Arial"/>
        <family val="2"/>
      </rPr>
      <t>(Gross-Gross</t>
    </r>
    <r>
      <rPr>
        <sz val="12"/>
        <color theme="1"/>
        <rFont val="標楷體"/>
        <family val="4"/>
        <charset val="136"/>
      </rPr>
      <t>數</t>
    </r>
    <r>
      <rPr>
        <sz val="12"/>
        <color theme="1"/>
        <rFont val="Arial"/>
        <family val="2"/>
      </rPr>
      <t>)</t>
    </r>
    <phoneticPr fontId="30" type="noConversion"/>
  </si>
  <si>
    <r>
      <rPr>
        <sz val="12"/>
        <color theme="1"/>
        <rFont val="標楷體"/>
        <family val="4"/>
        <charset val="136"/>
      </rPr>
      <t>註</t>
    </r>
    <r>
      <rPr>
        <sz val="12"/>
        <color theme="1"/>
        <rFont val="Arial"/>
        <family val="2"/>
      </rPr>
      <t xml:space="preserve">4 : </t>
    </r>
    <r>
      <rPr>
        <sz val="12"/>
        <color theme="1"/>
        <rFont val="標楷體"/>
        <family val="4"/>
        <charset val="136"/>
      </rPr>
      <t>係指各公司的分進業務經考量比例性再保分出後之業務。若採內部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商用模型的自留損失金額。</t>
    </r>
    <r>
      <rPr>
        <sz val="12"/>
        <color theme="1"/>
        <rFont val="Arial"/>
        <family val="2"/>
      </rPr>
      <t>(Gross-Net</t>
    </r>
    <r>
      <rPr>
        <sz val="12"/>
        <color theme="1"/>
        <rFont val="標楷體"/>
        <family val="4"/>
        <charset val="136"/>
      </rPr>
      <t>數</t>
    </r>
    <r>
      <rPr>
        <sz val="12"/>
        <color theme="1"/>
        <rFont val="Arial"/>
        <family val="2"/>
      </rPr>
      <t>)</t>
    </r>
    <phoneticPr fontId="30" type="noConversion"/>
  </si>
  <si>
    <r>
      <rPr>
        <sz val="12"/>
        <color theme="1"/>
        <rFont val="標楷體"/>
        <family val="4"/>
        <charset val="136"/>
      </rPr>
      <t>註</t>
    </r>
    <r>
      <rPr>
        <sz val="12"/>
        <color theme="1"/>
        <rFont val="Arial"/>
        <family val="2"/>
      </rPr>
      <t xml:space="preserve">5 : </t>
    </r>
    <r>
      <rPr>
        <sz val="12"/>
        <color theme="1"/>
        <rFont val="標楷體"/>
        <family val="4"/>
        <charset val="136"/>
      </rPr>
      <t>各公司在各回歸期下的損失，可透過非比例轉再保合約攤回之損失額度。</t>
    </r>
    <phoneticPr fontId="30" type="noConversion"/>
  </si>
  <si>
    <r>
      <rPr>
        <sz val="12"/>
        <color theme="1"/>
        <rFont val="標楷體"/>
        <family val="4"/>
        <charset val="136"/>
      </rPr>
      <t>註</t>
    </r>
    <r>
      <rPr>
        <sz val="12"/>
        <color theme="1"/>
        <rFont val="Arial"/>
        <family val="2"/>
      </rPr>
      <t xml:space="preserve">6 : </t>
    </r>
    <r>
      <rPr>
        <sz val="12"/>
        <color theme="1"/>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30"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</si>
  <si>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30" type="noConversion"/>
  </si>
  <si>
    <r>
      <rPr>
        <sz val="10"/>
        <color theme="1"/>
        <rFont val="標楷體"/>
        <family val="4"/>
        <charset val="136"/>
      </rPr>
      <t>單位：新台幣元</t>
    </r>
    <r>
      <rPr>
        <sz val="10"/>
        <color theme="1"/>
        <rFont val="Book Antiqua"/>
        <family val="1"/>
      </rPr>
      <t>,%</t>
    </r>
    <phoneticPr fontId="18"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</si>
  <si>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30" type="noConversion"/>
  </si>
  <si>
    <r>
      <rPr>
        <b/>
        <sz val="10"/>
        <color theme="1"/>
        <rFont val="標楷體"/>
        <family val="4"/>
        <charset val="136"/>
      </rPr>
      <t>風險係數</t>
    </r>
    <phoneticPr fontId="30" type="noConversion"/>
  </si>
  <si>
    <r>
      <t xml:space="preserve">R3a </t>
    </r>
    <r>
      <rPr>
        <sz val="10"/>
        <color theme="1"/>
        <rFont val="標楷體"/>
        <family val="4"/>
        <charset val="136"/>
      </rPr>
      <t>準備金風險</t>
    </r>
    <phoneticPr fontId="30"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</si>
  <si>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30" type="noConversion"/>
  </si>
  <si>
    <r>
      <t>3a.1.1</t>
    </r>
    <r>
      <rPr>
        <sz val="10"/>
        <color theme="1"/>
        <rFont val="標楷體"/>
        <family val="4"/>
        <charset val="136"/>
      </rPr>
      <t>財產保險業</t>
    </r>
    <phoneticPr fontId="30" type="noConversion"/>
  </si>
  <si>
    <r>
      <t>3a.1.1.1</t>
    </r>
    <r>
      <rPr>
        <sz val="10"/>
        <color theme="1"/>
        <rFont val="標楷體"/>
        <family val="4"/>
        <charset val="136"/>
      </rPr>
      <t>國內業務</t>
    </r>
    <phoneticPr fontId="30" type="noConversion"/>
  </si>
  <si>
    <r>
      <t xml:space="preserve">3a.1.1.1.1   </t>
    </r>
    <r>
      <rPr>
        <sz val="10"/>
        <color theme="1"/>
        <rFont val="標楷體"/>
        <family val="4"/>
        <charset val="136"/>
      </rPr>
      <t>一年期住宅火災保險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</si>
  <si>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0" type="noConversion"/>
  </si>
  <si>
    <r>
      <t xml:space="preserve">3a.1.1.1.2   </t>
    </r>
    <r>
      <rPr>
        <sz val="10"/>
        <color theme="1"/>
        <rFont val="標楷體"/>
        <family val="4"/>
        <charset val="136"/>
      </rPr>
      <t>長期住宅火災保險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</si>
  <si>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0" type="noConversion"/>
  </si>
  <si>
    <r>
      <t xml:space="preserve">3a.1.1.1.3   </t>
    </r>
    <r>
      <rPr>
        <sz val="10"/>
        <color theme="1"/>
        <rFont val="標楷體"/>
        <family val="4"/>
        <charset val="136"/>
      </rPr>
      <t>一年期商業火災保險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</si>
  <si>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0" type="noConversion"/>
  </si>
  <si>
    <r>
      <t xml:space="preserve">3a.1.1.1.4   </t>
    </r>
    <r>
      <rPr>
        <sz val="10"/>
        <color theme="1"/>
        <rFont val="標楷體"/>
        <family val="4"/>
        <charset val="136"/>
      </rPr>
      <t>長期商業火災保險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</si>
  <si>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0" type="noConversion"/>
  </si>
  <si>
    <r>
      <t xml:space="preserve">3a.1.1.1.5   </t>
    </r>
    <r>
      <rPr>
        <sz val="10"/>
        <color theme="1"/>
        <rFont val="標楷體"/>
        <family val="4"/>
        <charset val="136"/>
      </rPr>
      <t>內陸運輸保險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</si>
  <si>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0" type="noConversion"/>
  </si>
  <si>
    <r>
      <t xml:space="preserve">3a.1.1.1.6   </t>
    </r>
    <r>
      <rPr>
        <sz val="10"/>
        <color theme="1"/>
        <rFont val="標楷體"/>
        <family val="4"/>
        <charset val="136"/>
      </rPr>
      <t>貨物運輸保險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</si>
  <si>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30" type="noConversion"/>
  </si>
  <si>
    <r>
      <t xml:space="preserve">3a.1.1.1.7   </t>
    </r>
    <r>
      <rPr>
        <sz val="10"/>
        <color theme="1"/>
        <rFont val="標楷體"/>
        <family val="4"/>
        <charset val="136"/>
      </rPr>
      <t>船體保險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</si>
  <si>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30" type="noConversion"/>
  </si>
  <si>
    <r>
      <t xml:space="preserve">3a.1.1.1.8   </t>
    </r>
    <r>
      <rPr>
        <sz val="10"/>
        <color theme="1"/>
        <rFont val="標楷體"/>
        <family val="4"/>
        <charset val="136"/>
      </rPr>
      <t>漁船保險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</si>
  <si>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30" type="noConversion"/>
  </si>
  <si>
    <r>
      <t xml:space="preserve">3a.1.1.1.9   </t>
    </r>
    <r>
      <rPr>
        <sz val="10"/>
        <color theme="1"/>
        <rFont val="標楷體"/>
        <family val="4"/>
        <charset val="136"/>
      </rPr>
      <t>航空保險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</si>
  <si>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0"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</si>
  <si>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</si>
  <si>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0" type="noConversion"/>
  </si>
  <si>
    <r>
      <t xml:space="preserve">3a.1.1.1.11 </t>
    </r>
    <r>
      <rPr>
        <sz val="10"/>
        <color theme="1"/>
        <rFont val="標楷體"/>
        <family val="4"/>
        <charset val="136"/>
      </rPr>
      <t>一般商業汽車財產損失保險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</si>
  <si>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0" type="noConversion"/>
  </si>
  <si>
    <r>
      <t xml:space="preserve">3a.1.1.1.12 </t>
    </r>
    <r>
      <rPr>
        <sz val="10"/>
        <color theme="1"/>
        <rFont val="標楷體"/>
        <family val="4"/>
        <charset val="136"/>
      </rPr>
      <t>一般自用汽車責任保險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</si>
  <si>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0" type="noConversion"/>
  </si>
  <si>
    <r>
      <t xml:space="preserve">3a.1.1.1.13 </t>
    </r>
    <r>
      <rPr>
        <sz val="10"/>
        <color theme="1"/>
        <rFont val="標楷體"/>
        <family val="4"/>
        <charset val="136"/>
      </rPr>
      <t>一般商業汽車責任保險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</si>
  <si>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0" type="noConversion"/>
  </si>
  <si>
    <r>
      <t xml:space="preserve">3a.1.1.1.14 </t>
    </r>
    <r>
      <rPr>
        <sz val="10"/>
        <color theme="1"/>
        <rFont val="標楷體"/>
        <family val="4"/>
        <charset val="136"/>
      </rPr>
      <t>強制自用汽車責任保險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</si>
  <si>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30" type="noConversion"/>
  </si>
  <si>
    <r>
      <t xml:space="preserve">3a.1.1.1.15 </t>
    </r>
    <r>
      <rPr>
        <sz val="10"/>
        <color theme="1"/>
        <rFont val="標楷體"/>
        <family val="4"/>
        <charset val="136"/>
      </rPr>
      <t>強制商業汽車責任保險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</si>
  <si>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30" type="noConversion"/>
  </si>
  <si>
    <r>
      <t xml:space="preserve">3a.1.1.1.16 </t>
    </r>
    <r>
      <rPr>
        <sz val="10"/>
        <color theme="1"/>
        <rFont val="標楷體"/>
        <family val="4"/>
        <charset val="136"/>
      </rPr>
      <t>強制機車責任保險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</si>
  <si>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30" type="noConversion"/>
  </si>
  <si>
    <r>
      <t xml:space="preserve">3a.1.1.1.17 </t>
    </r>
    <r>
      <rPr>
        <sz val="10"/>
        <color theme="1"/>
        <rFont val="標楷體"/>
        <family val="4"/>
        <charset val="136"/>
      </rPr>
      <t>一般責任保險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</si>
  <si>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30" type="noConversion"/>
  </si>
  <si>
    <r>
      <t xml:space="preserve">3a.1.1.1.18 </t>
    </r>
    <r>
      <rPr>
        <sz val="10"/>
        <color theme="1"/>
        <rFont val="標楷體"/>
        <family val="4"/>
        <charset val="136"/>
      </rPr>
      <t>專業責任保險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</si>
  <si>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30" type="noConversion"/>
  </si>
  <si>
    <r>
      <t xml:space="preserve">3a.1.1.1.19 </t>
    </r>
    <r>
      <rPr>
        <sz val="10"/>
        <color theme="1"/>
        <rFont val="標楷體"/>
        <family val="4"/>
        <charset val="136"/>
      </rPr>
      <t>工程保險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</si>
  <si>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30" type="noConversion"/>
  </si>
  <si>
    <r>
      <t xml:space="preserve">3a.1.1.1.20 </t>
    </r>
    <r>
      <rPr>
        <sz val="10"/>
        <color theme="1"/>
        <rFont val="標楷體"/>
        <family val="4"/>
        <charset val="136"/>
      </rPr>
      <t>核能保險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</si>
  <si>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30" type="noConversion"/>
  </si>
  <si>
    <r>
      <t xml:space="preserve">3a.1.1.1.28 </t>
    </r>
    <r>
      <rPr>
        <sz val="10"/>
        <color theme="1"/>
        <rFont val="標楷體"/>
        <family val="4"/>
        <charset val="136"/>
      </rPr>
      <t>保證保險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</si>
  <si>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30" type="noConversion"/>
  </si>
  <si>
    <r>
      <t xml:space="preserve">3a.1.1.1.22 </t>
    </r>
    <r>
      <rPr>
        <sz val="10"/>
        <color theme="1"/>
        <rFont val="標楷體"/>
        <family val="4"/>
        <charset val="136"/>
      </rPr>
      <t>信用保險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</si>
  <si>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30" type="noConversion"/>
  </si>
  <si>
    <r>
      <t xml:space="preserve">3a.1.1.1.23 </t>
    </r>
    <r>
      <rPr>
        <sz val="10"/>
        <color theme="1"/>
        <rFont val="標楷體"/>
        <family val="4"/>
        <charset val="136"/>
      </rPr>
      <t>其他財產保險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</si>
  <si>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30" type="noConversion"/>
  </si>
  <si>
    <r>
      <t xml:space="preserve">3a.1.1.1.24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</si>
  <si>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30" type="noConversion"/>
  </si>
  <si>
    <r>
      <t xml:space="preserve">3a.1.1.1.25 </t>
    </r>
    <r>
      <rPr>
        <sz val="10"/>
        <color theme="1"/>
        <rFont val="標楷體"/>
        <family val="4"/>
        <charset val="136"/>
      </rPr>
      <t>非政策性地震險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</si>
  <si>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30" type="noConversion"/>
  </si>
  <si>
    <r>
      <t xml:space="preserve">3a.1.1.1.26 </t>
    </r>
    <r>
      <rPr>
        <sz val="10"/>
        <color theme="1"/>
        <rFont val="標楷體"/>
        <family val="4"/>
        <charset val="136"/>
      </rPr>
      <t>個人綜合保險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</si>
  <si>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30" type="noConversion"/>
  </si>
  <si>
    <r>
      <t xml:space="preserve">3a.1.1.1.27 </t>
    </r>
    <r>
      <rPr>
        <sz val="10"/>
        <color theme="1"/>
        <rFont val="標楷體"/>
        <family val="4"/>
        <charset val="136"/>
      </rPr>
      <t>商業綜合保險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</si>
  <si>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30" type="noConversion"/>
  </si>
  <si>
    <r>
      <t xml:space="preserve">3a.1.1.1.28 </t>
    </r>
    <r>
      <rPr>
        <sz val="10"/>
        <color theme="1"/>
        <rFont val="標楷體"/>
        <family val="4"/>
        <charset val="136"/>
      </rPr>
      <t>颱風、洪水保險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</si>
  <si>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30" type="noConversion"/>
  </si>
  <si>
    <r>
      <t xml:space="preserve">3a.1.1.1.29 </t>
    </r>
    <r>
      <rPr>
        <sz val="10"/>
        <color theme="1"/>
        <rFont val="標楷體"/>
        <family val="4"/>
        <charset val="136"/>
      </rPr>
      <t>政策性住宅地震基本保險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</si>
  <si>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30" type="noConversion"/>
  </si>
  <si>
    <r>
      <t xml:space="preserve">3a.1.1.1.30 </t>
    </r>
    <r>
      <rPr>
        <sz val="10"/>
        <color theme="1"/>
        <rFont val="標楷體"/>
        <family val="4"/>
        <charset val="136"/>
      </rPr>
      <t>健康保險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</si>
  <si>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30" type="noConversion"/>
  </si>
  <si>
    <r>
      <t>3a.1.1.2</t>
    </r>
    <r>
      <rPr>
        <sz val="10"/>
        <color theme="1"/>
        <rFont val="標楷體"/>
        <family val="4"/>
        <charset val="136"/>
      </rPr>
      <t>國外業務</t>
    </r>
    <phoneticPr fontId="30" type="noConversion"/>
  </si>
  <si>
    <r>
      <t xml:space="preserve">3a.1.1.2.1 </t>
    </r>
    <r>
      <rPr>
        <sz val="10"/>
        <color theme="1"/>
        <rFont val="標楷體"/>
        <family val="4"/>
        <charset val="136"/>
      </rPr>
      <t>火災保險</t>
    </r>
    <phoneticPr fontId="30" type="noConversion"/>
  </si>
  <si>
    <r>
      <t xml:space="preserve">3a.1.1.2.2 </t>
    </r>
    <r>
      <rPr>
        <sz val="10"/>
        <color theme="1"/>
        <rFont val="標楷體"/>
        <family val="4"/>
        <charset val="136"/>
      </rPr>
      <t>貨物海上保險</t>
    </r>
    <phoneticPr fontId="30" type="noConversion"/>
  </si>
  <si>
    <r>
      <t xml:space="preserve">3a.1.1.2.3 </t>
    </r>
    <r>
      <rPr>
        <sz val="10"/>
        <color theme="1"/>
        <rFont val="標楷體"/>
        <family val="4"/>
        <charset val="136"/>
      </rPr>
      <t>船體保險</t>
    </r>
    <phoneticPr fontId="30" type="noConversion"/>
  </si>
  <si>
    <r>
      <t xml:space="preserve">3a.1.1.2.4 </t>
    </r>
    <r>
      <rPr>
        <sz val="10"/>
        <color theme="1"/>
        <rFont val="標楷體"/>
        <family val="4"/>
        <charset val="136"/>
      </rPr>
      <t>漁船保險</t>
    </r>
    <phoneticPr fontId="30" type="noConversion"/>
  </si>
  <si>
    <r>
      <t xml:space="preserve">3a.1.1.2.5 </t>
    </r>
    <r>
      <rPr>
        <sz val="10"/>
        <color theme="1"/>
        <rFont val="標楷體"/>
        <family val="4"/>
        <charset val="136"/>
      </rPr>
      <t>汽車保險</t>
    </r>
    <phoneticPr fontId="30" type="noConversion"/>
  </si>
  <si>
    <r>
      <t xml:space="preserve">3a.1.1.2.6 </t>
    </r>
    <r>
      <rPr>
        <sz val="10"/>
        <color theme="1"/>
        <rFont val="標楷體"/>
        <family val="4"/>
        <charset val="136"/>
      </rPr>
      <t>航空保險</t>
    </r>
    <phoneticPr fontId="30" type="noConversion"/>
  </si>
  <si>
    <r>
      <t xml:space="preserve">3a.1.1.2.7 </t>
    </r>
    <r>
      <rPr>
        <sz val="10"/>
        <color theme="1"/>
        <rFont val="標楷體"/>
        <family val="4"/>
        <charset val="136"/>
      </rPr>
      <t>工程保險</t>
    </r>
    <phoneticPr fontId="30" type="noConversion"/>
  </si>
  <si>
    <r>
      <t xml:space="preserve">3a.1.1.2.8 </t>
    </r>
    <r>
      <rPr>
        <sz val="10"/>
        <color theme="1"/>
        <rFont val="標楷體"/>
        <family val="4"/>
        <charset val="136"/>
      </rPr>
      <t>其他財產保險</t>
    </r>
    <phoneticPr fontId="30" type="noConversion"/>
  </si>
  <si>
    <r>
      <t>3a.1.2</t>
    </r>
    <r>
      <rPr>
        <sz val="10"/>
        <color theme="1"/>
        <rFont val="標楷體"/>
        <family val="4"/>
        <charset val="136"/>
      </rPr>
      <t>人身保險業</t>
    </r>
    <phoneticPr fontId="30" type="noConversion"/>
  </si>
  <si>
    <r>
      <t>3a.1.2.1</t>
    </r>
    <r>
      <rPr>
        <sz val="10"/>
        <color theme="1"/>
        <rFont val="標楷體"/>
        <family val="4"/>
        <charset val="136"/>
      </rPr>
      <t>國內業務</t>
    </r>
    <phoneticPr fontId="30" type="noConversion"/>
  </si>
  <si>
    <r>
      <t xml:space="preserve">3a.1.2.1.1 </t>
    </r>
    <r>
      <rPr>
        <sz val="10"/>
        <color theme="1"/>
        <rFont val="標楷體"/>
        <family val="4"/>
        <charset val="136"/>
      </rPr>
      <t>人壽保險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</si>
  <si>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0" type="noConversion"/>
  </si>
  <si>
    <r>
      <t xml:space="preserve">3a.1.2.1.2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</si>
  <si>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0"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</si>
  <si>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</si>
  <si>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0" type="noConversion"/>
  </si>
  <si>
    <r>
      <t xml:space="preserve">3a.1.2.1.4 </t>
    </r>
    <r>
      <rPr>
        <sz val="10"/>
        <color theme="1"/>
        <rFont val="標楷體"/>
        <family val="4"/>
        <charset val="136"/>
      </rPr>
      <t>年金保險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</si>
  <si>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0" type="noConversion"/>
  </si>
  <si>
    <r>
      <t xml:space="preserve">3a.1.2.1.5 </t>
    </r>
    <r>
      <rPr>
        <sz val="10"/>
        <color theme="1"/>
        <rFont val="標楷體"/>
        <family val="4"/>
        <charset val="136"/>
      </rPr>
      <t>財務再保險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</si>
  <si>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0"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</si>
  <si>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</si>
  <si>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</si>
  <si>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</si>
  <si>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</si>
  <si>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30" type="noConversion"/>
  </si>
  <si>
    <r>
      <t xml:space="preserve">3a.1.2.2.1 </t>
    </r>
    <r>
      <rPr>
        <sz val="10"/>
        <color theme="1"/>
        <rFont val="標楷體"/>
        <family val="4"/>
        <charset val="136"/>
      </rPr>
      <t>人壽保險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</si>
  <si>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0" type="noConversion"/>
  </si>
  <si>
    <r>
      <t xml:space="preserve">3a.1.2.2.2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</si>
  <si>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0"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</si>
  <si>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</si>
  <si>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0" type="noConversion"/>
  </si>
  <si>
    <r>
      <t xml:space="preserve">3a.1.2.2.4 </t>
    </r>
    <r>
      <rPr>
        <sz val="10"/>
        <color theme="1"/>
        <rFont val="標楷體"/>
        <family val="4"/>
        <charset val="136"/>
      </rPr>
      <t>年金保險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</si>
  <si>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0" type="noConversion"/>
  </si>
  <si>
    <r>
      <t xml:space="preserve">3a.1.2.2.5 </t>
    </r>
    <r>
      <rPr>
        <sz val="10"/>
        <color theme="1"/>
        <rFont val="標楷體"/>
        <family val="4"/>
        <charset val="136"/>
      </rPr>
      <t>財務再保險</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</si>
  <si>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0"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</si>
  <si>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30" type="noConversion"/>
  </si>
  <si>
    <r>
      <t>3a.2.1</t>
    </r>
    <r>
      <rPr>
        <sz val="10"/>
        <color theme="1"/>
        <rFont val="標楷體"/>
        <family val="4"/>
        <charset val="136"/>
      </rPr>
      <t>財產保險業</t>
    </r>
    <phoneticPr fontId="30" type="noConversion"/>
  </si>
  <si>
    <r>
      <t xml:space="preserve">3a.2.1.1 </t>
    </r>
    <r>
      <rPr>
        <sz val="10"/>
        <color theme="1"/>
        <rFont val="標楷體"/>
        <family val="4"/>
        <charset val="136"/>
      </rPr>
      <t>國內業務</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</si>
  <si>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0" type="noConversion"/>
  </si>
  <si>
    <r>
      <t xml:space="preserve">3a.2.1.2 </t>
    </r>
    <r>
      <rPr>
        <sz val="10"/>
        <color theme="1"/>
        <rFont val="標楷體"/>
        <family val="4"/>
        <charset val="136"/>
      </rPr>
      <t>國外業務</t>
    </r>
    <phoneticPr fontId="30" type="noConversion"/>
  </si>
  <si>
    <r>
      <t>3a.2.2</t>
    </r>
    <r>
      <rPr>
        <sz val="10"/>
        <color theme="1"/>
        <rFont val="標楷體"/>
        <family val="4"/>
        <charset val="136"/>
      </rPr>
      <t>人身保險業</t>
    </r>
    <phoneticPr fontId="30" type="noConversion"/>
  </si>
  <si>
    <r>
      <t xml:space="preserve">3a.2.2.1 </t>
    </r>
    <r>
      <rPr>
        <sz val="10"/>
        <color theme="1"/>
        <rFont val="標楷體"/>
        <family val="4"/>
        <charset val="136"/>
      </rPr>
      <t>國內業務</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</si>
  <si>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0" type="noConversion"/>
  </si>
  <si>
    <r>
      <t xml:space="preserve">3a.2.2.2 </t>
    </r>
    <r>
      <rPr>
        <sz val="10"/>
        <color theme="1"/>
        <rFont val="標楷體"/>
        <family val="4"/>
        <charset val="136"/>
      </rPr>
      <t>國外業務</t>
    </r>
    <phoneticPr fontId="30"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</si>
  <si>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30" type="noConversion"/>
  </si>
  <si>
    <r>
      <t xml:space="preserve">3a.3 </t>
    </r>
    <r>
      <rPr>
        <sz val="10"/>
        <color theme="1"/>
        <rFont val="標楷體"/>
        <family val="4"/>
        <charset val="136"/>
      </rPr>
      <t>公司與市場差異性調整</t>
    </r>
    <phoneticPr fontId="30" type="noConversion"/>
  </si>
  <si>
    <r>
      <t xml:space="preserve">3a.4 </t>
    </r>
    <r>
      <rPr>
        <sz val="10"/>
        <color theme="1"/>
        <rFont val="標楷體"/>
        <family val="4"/>
        <charset val="136"/>
      </rPr>
      <t>損失集中調整</t>
    </r>
    <phoneticPr fontId="30" type="noConversion"/>
  </si>
  <si>
    <r>
      <t xml:space="preserve">3a.5 </t>
    </r>
    <r>
      <rPr>
        <sz val="10"/>
        <color theme="1"/>
        <rFont val="標楷體"/>
        <family val="4"/>
        <charset val="136"/>
      </rPr>
      <t>成長風險</t>
    </r>
    <phoneticPr fontId="30" type="noConversion"/>
  </si>
  <si>
    <r>
      <t xml:space="preserve">  </t>
    </r>
    <r>
      <rPr>
        <sz val="10"/>
        <color theme="1"/>
        <rFont val="標楷體"/>
        <family val="4"/>
        <charset val="136"/>
      </rPr>
      <t>【自留賠款準備金風險】合計</t>
    </r>
    <phoneticPr fontId="30" type="noConversion"/>
  </si>
  <si>
    <r>
      <t xml:space="preserve">R3b </t>
    </r>
    <r>
      <rPr>
        <sz val="10"/>
        <color theme="1"/>
        <rFont val="標楷體"/>
        <family val="4"/>
        <charset val="136"/>
      </rPr>
      <t>保費風險</t>
    </r>
    <phoneticPr fontId="30"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</si>
  <si>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30" type="noConversion"/>
  </si>
  <si>
    <r>
      <t>3b.1.1</t>
    </r>
    <r>
      <rPr>
        <sz val="10"/>
        <color theme="1"/>
        <rFont val="標楷體"/>
        <family val="4"/>
        <charset val="136"/>
      </rPr>
      <t>財產保險業</t>
    </r>
    <phoneticPr fontId="30" type="noConversion"/>
  </si>
  <si>
    <r>
      <t>3b.1.1.1</t>
    </r>
    <r>
      <rPr>
        <sz val="10"/>
        <color theme="1"/>
        <rFont val="標楷體"/>
        <family val="4"/>
        <charset val="136"/>
      </rPr>
      <t>國內業務</t>
    </r>
    <phoneticPr fontId="30" type="noConversion"/>
  </si>
  <si>
    <r>
      <t xml:space="preserve">3b.1.1.1.1   </t>
    </r>
    <r>
      <rPr>
        <sz val="10"/>
        <color theme="1"/>
        <rFont val="標楷體"/>
        <family val="4"/>
        <charset val="136"/>
      </rPr>
      <t>一年期住宅火災保險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</si>
  <si>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</si>
  <si>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</si>
  <si>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</si>
  <si>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</si>
  <si>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</si>
  <si>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</si>
  <si>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</si>
  <si>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</si>
  <si>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</si>
  <si>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</si>
  <si>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</si>
  <si>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</si>
  <si>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</si>
  <si>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</si>
  <si>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</si>
  <si>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</si>
  <si>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</si>
  <si>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</si>
  <si>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</si>
  <si>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</si>
  <si>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</si>
  <si>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</si>
  <si>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</si>
  <si>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</si>
  <si>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</si>
  <si>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</si>
  <si>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30" type="noConversion"/>
  </si>
  <si>
    <r>
      <t xml:space="preserve">3b.1.1.1.15 </t>
    </r>
    <r>
      <rPr>
        <sz val="10"/>
        <color theme="1"/>
        <rFont val="標楷體"/>
        <family val="4"/>
        <charset val="136"/>
      </rPr>
      <t>強制商業汽車責任保險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</si>
  <si>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</si>
  <si>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30" type="noConversion"/>
  </si>
  <si>
    <r>
      <t xml:space="preserve">3b.1.1.1.17 </t>
    </r>
    <r>
      <rPr>
        <sz val="10"/>
        <color theme="1"/>
        <rFont val="標楷體"/>
        <family val="4"/>
        <charset val="136"/>
      </rPr>
      <t>一般責任保險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</si>
  <si>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</si>
  <si>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</si>
  <si>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</si>
  <si>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</si>
  <si>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</si>
  <si>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</si>
  <si>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</si>
  <si>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</si>
  <si>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</si>
  <si>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</si>
  <si>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</si>
  <si>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</si>
  <si>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</si>
  <si>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</si>
  <si>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</si>
  <si>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</si>
  <si>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</si>
  <si>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</si>
  <si>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</si>
  <si>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</si>
  <si>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</si>
  <si>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</si>
  <si>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</si>
  <si>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</si>
  <si>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</si>
  <si>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</si>
  <si>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30" type="noConversion"/>
  </si>
  <si>
    <r>
      <t>3b.1.1.2</t>
    </r>
    <r>
      <rPr>
        <sz val="10"/>
        <color theme="1"/>
        <rFont val="標楷體"/>
        <family val="4"/>
        <charset val="136"/>
      </rPr>
      <t>國外業務</t>
    </r>
    <phoneticPr fontId="30" type="noConversion"/>
  </si>
  <si>
    <r>
      <t xml:space="preserve">3b.1.1.2.1 </t>
    </r>
    <r>
      <rPr>
        <sz val="10"/>
        <color theme="1"/>
        <rFont val="標楷體"/>
        <family val="4"/>
        <charset val="136"/>
      </rPr>
      <t>火災保險</t>
    </r>
    <phoneticPr fontId="30" type="noConversion"/>
  </si>
  <si>
    <r>
      <t xml:space="preserve">3b.1.1.2.2 </t>
    </r>
    <r>
      <rPr>
        <sz val="10"/>
        <color theme="1"/>
        <rFont val="標楷體"/>
        <family val="4"/>
        <charset val="136"/>
      </rPr>
      <t>貨物海上保險</t>
    </r>
    <phoneticPr fontId="30" type="noConversion"/>
  </si>
  <si>
    <r>
      <t xml:space="preserve">3b.1.1.2.3 </t>
    </r>
    <r>
      <rPr>
        <sz val="10"/>
        <color theme="1"/>
        <rFont val="標楷體"/>
        <family val="4"/>
        <charset val="136"/>
      </rPr>
      <t>船體保險</t>
    </r>
    <phoneticPr fontId="30" type="noConversion"/>
  </si>
  <si>
    <r>
      <t xml:space="preserve">3b.1.1.2.4 </t>
    </r>
    <r>
      <rPr>
        <sz val="10"/>
        <color theme="1"/>
        <rFont val="標楷體"/>
        <family val="4"/>
        <charset val="136"/>
      </rPr>
      <t>漁船保險</t>
    </r>
    <phoneticPr fontId="30" type="noConversion"/>
  </si>
  <si>
    <r>
      <t xml:space="preserve">3b.1.1.2.5 </t>
    </r>
    <r>
      <rPr>
        <sz val="10"/>
        <color theme="1"/>
        <rFont val="標楷體"/>
        <family val="4"/>
        <charset val="136"/>
      </rPr>
      <t>汽車保險</t>
    </r>
    <phoneticPr fontId="30" type="noConversion"/>
  </si>
  <si>
    <r>
      <t xml:space="preserve">3b.1.1.2.6 </t>
    </r>
    <r>
      <rPr>
        <sz val="10"/>
        <color theme="1"/>
        <rFont val="標楷體"/>
        <family val="4"/>
        <charset val="136"/>
      </rPr>
      <t>航空保險</t>
    </r>
    <phoneticPr fontId="30" type="noConversion"/>
  </si>
  <si>
    <r>
      <t xml:space="preserve">3b.1.1.2.7 </t>
    </r>
    <r>
      <rPr>
        <sz val="10"/>
        <color theme="1"/>
        <rFont val="標楷體"/>
        <family val="4"/>
        <charset val="136"/>
      </rPr>
      <t>工程保險</t>
    </r>
    <phoneticPr fontId="30" type="noConversion"/>
  </si>
  <si>
    <r>
      <t xml:space="preserve">3b.1.1.2.8 </t>
    </r>
    <r>
      <rPr>
        <sz val="10"/>
        <color theme="1"/>
        <rFont val="標楷體"/>
        <family val="4"/>
        <charset val="136"/>
      </rPr>
      <t>其他財產保險</t>
    </r>
    <phoneticPr fontId="30" type="noConversion"/>
  </si>
  <si>
    <r>
      <t>3b.1.2</t>
    </r>
    <r>
      <rPr>
        <sz val="10"/>
        <color theme="1"/>
        <rFont val="標楷體"/>
        <family val="4"/>
        <charset val="136"/>
      </rPr>
      <t>人身保險業</t>
    </r>
    <phoneticPr fontId="30" type="noConversion"/>
  </si>
  <si>
    <r>
      <t>3b.1.2.1</t>
    </r>
    <r>
      <rPr>
        <sz val="10"/>
        <color theme="1"/>
        <rFont val="標楷體"/>
        <family val="4"/>
        <charset val="136"/>
      </rPr>
      <t>國內業務</t>
    </r>
    <phoneticPr fontId="30" type="noConversion"/>
  </si>
  <si>
    <r>
      <t xml:space="preserve">3b.1.2.1.1 </t>
    </r>
    <r>
      <rPr>
        <sz val="10"/>
        <color theme="1"/>
        <rFont val="標楷體"/>
        <family val="4"/>
        <charset val="136"/>
      </rPr>
      <t>人壽保險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</si>
  <si>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30" type="noConversion"/>
  </si>
  <si>
    <r>
      <t xml:space="preserve">3b.1.2.1.2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</si>
  <si>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30"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</si>
  <si>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</si>
  <si>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30" type="noConversion"/>
  </si>
  <si>
    <r>
      <t xml:space="preserve">3b.1.2.1.4 </t>
    </r>
    <r>
      <rPr>
        <sz val="10"/>
        <color theme="1"/>
        <rFont val="標楷體"/>
        <family val="4"/>
        <charset val="136"/>
      </rPr>
      <t>年金保險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</si>
  <si>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30" type="noConversion"/>
  </si>
  <si>
    <r>
      <t xml:space="preserve">3b.1.2.1.5 </t>
    </r>
    <r>
      <rPr>
        <sz val="10"/>
        <color theme="1"/>
        <rFont val="標楷體"/>
        <family val="4"/>
        <charset val="136"/>
      </rPr>
      <t>財務再保險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</si>
  <si>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30"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</si>
  <si>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</si>
  <si>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</si>
  <si>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</si>
  <si>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</si>
  <si>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30" type="noConversion"/>
  </si>
  <si>
    <r>
      <t xml:space="preserve">3b.1.2.2.1 </t>
    </r>
    <r>
      <rPr>
        <sz val="10"/>
        <color theme="1"/>
        <rFont val="標楷體"/>
        <family val="4"/>
        <charset val="136"/>
      </rPr>
      <t>人壽保險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</si>
  <si>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30" type="noConversion"/>
  </si>
  <si>
    <r>
      <t xml:space="preserve">3b.1.2.2.2 </t>
    </r>
    <r>
      <rPr>
        <sz val="10"/>
        <color theme="1"/>
        <rFont val="標楷體"/>
        <family val="4"/>
        <charset val="136"/>
      </rPr>
      <t>傷害保險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</si>
  <si>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30"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</si>
  <si>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</si>
  <si>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30" type="noConversion"/>
  </si>
  <si>
    <r>
      <t xml:space="preserve">3b.1.2.2.4 </t>
    </r>
    <r>
      <rPr>
        <sz val="10"/>
        <color theme="1"/>
        <rFont val="標楷體"/>
        <family val="4"/>
        <charset val="136"/>
      </rPr>
      <t>年金保險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</si>
  <si>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30" type="noConversion"/>
  </si>
  <si>
    <r>
      <t xml:space="preserve">3b.1.2.2.5 </t>
    </r>
    <r>
      <rPr>
        <sz val="10"/>
        <color theme="1"/>
        <rFont val="標楷體"/>
        <family val="4"/>
        <charset val="136"/>
      </rPr>
      <t>財務再保險</t>
    </r>
    <phoneticPr fontId="30"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</si>
  <si>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30"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</si>
  <si>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30" type="noConversion"/>
  </si>
  <si>
    <r>
      <t>3b.2.1</t>
    </r>
    <r>
      <rPr>
        <sz val="10"/>
        <color theme="1"/>
        <rFont val="標楷體"/>
        <family val="4"/>
        <charset val="136"/>
      </rPr>
      <t>財產保險業</t>
    </r>
    <phoneticPr fontId="30" type="noConversion"/>
  </si>
  <si>
    <r>
      <t xml:space="preserve">3b.2.1.1 </t>
    </r>
    <r>
      <rPr>
        <sz val="10"/>
        <color theme="1"/>
        <rFont val="標楷體"/>
        <family val="4"/>
        <charset val="136"/>
      </rPr>
      <t>國內業務</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</si>
  <si>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0" type="noConversion"/>
  </si>
  <si>
    <r>
      <t xml:space="preserve">3b.2.1.2 </t>
    </r>
    <r>
      <rPr>
        <sz val="10"/>
        <color theme="1"/>
        <rFont val="標楷體"/>
        <family val="4"/>
        <charset val="136"/>
      </rPr>
      <t>國外業務</t>
    </r>
    <phoneticPr fontId="30" type="noConversion"/>
  </si>
  <si>
    <r>
      <t>3b.2.2</t>
    </r>
    <r>
      <rPr>
        <sz val="10"/>
        <color theme="1"/>
        <rFont val="標楷體"/>
        <family val="4"/>
        <charset val="136"/>
      </rPr>
      <t>人身保險業</t>
    </r>
    <phoneticPr fontId="30" type="noConversion"/>
  </si>
  <si>
    <r>
      <t xml:space="preserve">3b.2.2.1 </t>
    </r>
    <r>
      <rPr>
        <sz val="10"/>
        <color theme="1"/>
        <rFont val="標楷體"/>
        <family val="4"/>
        <charset val="136"/>
      </rPr>
      <t>國內業務</t>
    </r>
    <phoneticPr fontId="30"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</si>
  <si>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0" type="noConversion"/>
  </si>
  <si>
    <r>
      <t xml:space="preserve">3b.2.2.2 </t>
    </r>
    <r>
      <rPr>
        <sz val="10"/>
        <color theme="1"/>
        <rFont val="標楷體"/>
        <family val="4"/>
        <charset val="136"/>
      </rPr>
      <t>國外業務</t>
    </r>
    <phoneticPr fontId="30"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</si>
  <si>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30" type="noConversion"/>
  </si>
  <si>
    <r>
      <t xml:space="preserve">3b.3 </t>
    </r>
    <r>
      <rPr>
        <sz val="10"/>
        <color theme="1"/>
        <rFont val="標楷體"/>
        <family val="4"/>
        <charset val="136"/>
      </rPr>
      <t>公司與市場差異性調整</t>
    </r>
    <phoneticPr fontId="30" type="noConversion"/>
  </si>
  <si>
    <r>
      <t xml:space="preserve">3b.4 </t>
    </r>
    <r>
      <rPr>
        <sz val="10"/>
        <color theme="1"/>
        <rFont val="標楷體"/>
        <family val="4"/>
        <charset val="136"/>
      </rPr>
      <t>損失集中調整</t>
    </r>
    <phoneticPr fontId="30" type="noConversion"/>
  </si>
  <si>
    <r>
      <t xml:space="preserve">3b.5 </t>
    </r>
    <r>
      <rPr>
        <sz val="10"/>
        <color theme="1"/>
        <rFont val="標楷體"/>
        <family val="4"/>
        <charset val="136"/>
      </rPr>
      <t>成長風險</t>
    </r>
    <phoneticPr fontId="30" type="noConversion"/>
  </si>
  <si>
    <r>
      <t xml:space="preserve">  </t>
    </r>
    <r>
      <rPr>
        <sz val="10"/>
        <color theme="1"/>
        <rFont val="標楷體"/>
        <family val="4"/>
        <charset val="136"/>
      </rPr>
      <t>【保費風險】合計</t>
    </r>
    <phoneticPr fontId="30" type="noConversion"/>
  </si>
  <si>
    <r>
      <rPr>
        <b/>
        <sz val="10"/>
        <color theme="1"/>
        <rFont val="標楷體"/>
        <family val="4"/>
        <charset val="136"/>
      </rPr>
      <t>《核保風險》總計</t>
    </r>
    <phoneticPr fontId="30"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</si>
  <si>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</si>
  <si>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30"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</si>
  <si>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30"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</si>
  <si>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2"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</si>
  <si>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0" type="noConversion"/>
  </si>
  <si>
    <r>
      <rPr>
        <b/>
        <sz val="12"/>
        <color theme="1"/>
        <rFont val="標楷體"/>
        <family val="4"/>
        <charset val="136"/>
      </rPr>
      <t>發行機構信用評等</t>
    </r>
    <phoneticPr fontId="30"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</si>
  <si>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2"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</si>
  <si>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</si>
  <si>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</si>
  <si>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2"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</si>
  <si>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30"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</si>
  <si>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30" type="noConversion"/>
  </si>
  <si>
    <r>
      <rPr>
        <b/>
        <sz val="12"/>
        <color theme="1"/>
        <rFont val="標楷體"/>
        <family val="4"/>
        <charset val="136"/>
      </rPr>
      <t>具控制與從屬關係之關係人</t>
    </r>
    <phoneticPr fontId="30" type="noConversion"/>
  </si>
  <si>
    <r>
      <rPr>
        <b/>
        <sz val="12"/>
        <color theme="1"/>
        <rFont val="標楷體"/>
        <family val="4"/>
        <charset val="136"/>
      </rPr>
      <t>非具控制與從屬關係之關係人</t>
    </r>
    <phoneticPr fontId="32" type="noConversion"/>
  </si>
  <si>
    <r>
      <rPr>
        <b/>
        <sz val="12"/>
        <color theme="1"/>
        <rFont val="標楷體"/>
        <family val="4"/>
        <charset val="136"/>
      </rPr>
      <t>已開發國家</t>
    </r>
    <phoneticPr fontId="30" type="noConversion"/>
  </si>
  <si>
    <r>
      <rPr>
        <b/>
        <sz val="12"/>
        <color theme="1"/>
        <rFont val="標楷體"/>
        <family val="4"/>
        <charset val="136"/>
      </rPr>
      <t>新興市場</t>
    </r>
    <phoneticPr fontId="30"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</si>
  <si>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30" type="noConversion"/>
  </si>
  <si>
    <r>
      <t>100%</t>
    </r>
    <r>
      <rPr>
        <sz val="12"/>
        <color theme="1"/>
        <rFont val="標楷體"/>
        <family val="4"/>
        <charset val="136"/>
      </rPr>
      <t>保本合計</t>
    </r>
    <phoneticPr fontId="32"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</si>
  <si>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30" type="noConversion"/>
  </si>
  <si>
    <r>
      <t>90%</t>
    </r>
    <r>
      <rPr>
        <sz val="12"/>
        <color theme="1"/>
        <rFont val="標楷體"/>
        <family val="4"/>
        <charset val="136"/>
      </rPr>
      <t>保本合計</t>
    </r>
    <phoneticPr fontId="32"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</si>
  <si>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2" type="noConversion"/>
  </si>
  <si>
    <r>
      <rPr>
        <sz val="12"/>
        <color theme="1"/>
        <rFont val="標楷體"/>
        <family val="4"/>
        <charset val="136"/>
      </rPr>
      <t>註</t>
    </r>
    <r>
      <rPr>
        <sz val="12"/>
        <color theme="1"/>
        <rFont val="Times New Roman"/>
        <family val="1"/>
      </rPr>
      <t>1</t>
    </r>
    <phoneticPr fontId="32"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</si>
  <si>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2"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</si>
  <si>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</si>
  <si>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2"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</si>
  <si>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</si>
  <si>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2" type="noConversion"/>
  </si>
  <si>
    <r>
      <rPr>
        <sz val="12"/>
        <color theme="1"/>
        <rFont val="標楷體"/>
        <family val="4"/>
        <charset val="136"/>
      </rPr>
      <t>註</t>
    </r>
    <r>
      <rPr>
        <sz val="12"/>
        <color theme="1"/>
        <rFont val="Times New Roman"/>
        <family val="1"/>
      </rPr>
      <t>4</t>
    </r>
  </si>
  <si>
    <r>
      <rPr>
        <sz val="12"/>
        <color theme="1"/>
        <rFont val="標楷體"/>
        <family val="4"/>
        <charset val="136"/>
      </rPr>
      <t>係指依資產負債表日前半年每日收盤價計算之算術平均價格</t>
    </r>
    <phoneticPr fontId="32" type="noConversion"/>
  </si>
  <si>
    <r>
      <rPr>
        <sz val="12"/>
        <color theme="1"/>
        <rFont val="標楷體"/>
        <family val="4"/>
        <charset val="136"/>
      </rPr>
      <t>註</t>
    </r>
    <r>
      <rPr>
        <sz val="12"/>
        <color theme="1"/>
        <rFont val="Times New Roman"/>
        <family val="1"/>
      </rPr>
      <t>1</t>
    </r>
  </si>
  <si>
    <r>
      <rPr>
        <b/>
        <sz val="12"/>
        <color theme="1"/>
        <rFont val="標楷體"/>
        <family val="4"/>
        <charset val="136"/>
      </rPr>
      <t>風險資本額</t>
    </r>
    <phoneticPr fontId="30"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</si>
  <si>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2" type="noConversion"/>
  </si>
  <si>
    <r>
      <rPr>
        <sz val="12"/>
        <color theme="1"/>
        <rFont val="標楷體"/>
        <family val="4"/>
        <charset val="136"/>
      </rPr>
      <t>＊計算說明</t>
    </r>
    <phoneticPr fontId="30"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</si>
  <si>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30"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</si>
  <si>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30"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</si>
  <si>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30" type="noConversion"/>
  </si>
  <si>
    <r>
      <rPr>
        <sz val="12"/>
        <color theme="1"/>
        <rFont val="標楷體"/>
        <family val="4"/>
        <charset val="136"/>
      </rPr>
      <t>＊結果分析</t>
    </r>
    <phoneticPr fontId="30" type="noConversion"/>
  </si>
  <si>
    <r>
      <rPr>
        <b/>
        <sz val="12"/>
        <color theme="1"/>
        <rFont val="標楷體"/>
        <family val="4"/>
        <charset val="136"/>
      </rPr>
      <t>風險項目</t>
    </r>
    <phoneticPr fontId="30"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</si>
  <si>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</si>
  <si>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30"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</si>
  <si>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30"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</si>
  <si>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30"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</si>
  <si>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30"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</si>
  <si>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30"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</si>
  <si>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30"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</si>
  <si>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30"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</si>
  <si>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30"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</si>
  <si>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30"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</si>
  <si>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30" type="noConversion"/>
  </si>
  <si>
    <r>
      <t>R</t>
    </r>
    <r>
      <rPr>
        <vertAlign val="subscript"/>
        <sz val="12"/>
        <color theme="1"/>
        <rFont val="Times New Roman"/>
        <family val="1"/>
      </rPr>
      <t>2</t>
    </r>
    <r>
      <rPr>
        <sz val="12"/>
        <color theme="1"/>
        <rFont val="標楷體"/>
        <family val="4"/>
        <charset val="136"/>
      </rPr>
      <t>：信用風險</t>
    </r>
    <phoneticPr fontId="30"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</si>
  <si>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30"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</si>
  <si>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30" type="noConversion"/>
  </si>
  <si>
    <r>
      <t>R</t>
    </r>
    <r>
      <rPr>
        <vertAlign val="subscript"/>
        <sz val="12"/>
        <color theme="1"/>
        <rFont val="Times New Roman"/>
        <family val="1"/>
      </rPr>
      <t>3c</t>
    </r>
    <r>
      <rPr>
        <sz val="12"/>
        <color theme="1"/>
        <rFont val="標楷體"/>
        <family val="4"/>
        <charset val="136"/>
      </rPr>
      <t>：天災風險</t>
    </r>
    <phoneticPr fontId="30" type="noConversion"/>
  </si>
  <si>
    <r>
      <t>R</t>
    </r>
    <r>
      <rPr>
        <vertAlign val="subscript"/>
        <sz val="12"/>
        <color theme="1"/>
        <rFont val="Times New Roman"/>
        <family val="1"/>
      </rPr>
      <t>4</t>
    </r>
    <r>
      <rPr>
        <sz val="12"/>
        <color theme="1"/>
        <rFont val="標楷體"/>
        <family val="4"/>
        <charset val="136"/>
      </rPr>
      <t>：資產負債配置風險</t>
    </r>
    <phoneticPr fontId="30" type="noConversion"/>
  </si>
  <si>
    <r>
      <t>R</t>
    </r>
    <r>
      <rPr>
        <vertAlign val="subscript"/>
        <sz val="12"/>
        <color theme="1"/>
        <rFont val="Times New Roman"/>
        <family val="1"/>
      </rPr>
      <t>5</t>
    </r>
    <r>
      <rPr>
        <sz val="12"/>
        <color theme="1"/>
        <rFont val="標楷體"/>
        <family val="4"/>
        <charset val="136"/>
      </rPr>
      <t>：其他風險</t>
    </r>
    <phoneticPr fontId="30" type="noConversion"/>
  </si>
  <si>
    <r>
      <rPr>
        <sz val="12"/>
        <color theme="1"/>
        <rFont val="標楷體"/>
        <family val="4"/>
        <charset val="136"/>
      </rPr>
      <t>調整前風險資本總額</t>
    </r>
    <phoneticPr fontId="30"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</si>
  <si>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30" type="noConversion"/>
  </si>
  <si>
    <r>
      <rPr>
        <sz val="12"/>
        <color theme="1"/>
        <rFont val="標楷體"/>
        <family val="4"/>
        <charset val="136"/>
      </rPr>
      <t>自有資本總額</t>
    </r>
    <phoneticPr fontId="30"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</si>
  <si>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30" type="noConversion"/>
  </si>
  <si>
    <r>
      <rPr>
        <sz val="10"/>
        <color theme="1"/>
        <rFont val="標楷體"/>
        <family val="4"/>
        <charset val="136"/>
      </rPr>
      <t>危險變動</t>
    </r>
    <phoneticPr fontId="30" type="noConversion"/>
  </si>
  <si>
    <r>
      <rPr>
        <sz val="10"/>
        <color theme="1"/>
        <rFont val="標楷體"/>
        <family val="4"/>
        <charset val="136"/>
      </rPr>
      <t>其他因特殊需要而加提之準備金</t>
    </r>
    <phoneticPr fontId="30" type="noConversion"/>
  </si>
  <si>
    <r>
      <rPr>
        <sz val="10"/>
        <color theme="1"/>
        <rFont val="標楷體"/>
        <family val="4"/>
        <charset val="136"/>
      </rPr>
      <t>不動產增值利益</t>
    </r>
    <phoneticPr fontId="30"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</si>
  <si>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2"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</si>
  <si>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2"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</si>
  <si>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2"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</si>
  <si>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2"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</si>
  <si>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2"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</si>
  <si>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2"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</si>
  <si>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2" type="noConversion"/>
  </si>
  <si>
    <r>
      <rPr>
        <sz val="10"/>
        <color theme="1"/>
        <rFont val="標楷體"/>
        <family val="4"/>
        <charset val="136"/>
      </rPr>
      <t>國內再保業務</t>
    </r>
    <phoneticPr fontId="32" type="noConversion"/>
  </si>
  <si>
    <r>
      <rPr>
        <sz val="10"/>
        <color theme="1"/>
        <rFont val="標楷體"/>
        <family val="4"/>
        <charset val="136"/>
      </rPr>
      <t>一年期住宅火災保險</t>
    </r>
    <phoneticPr fontId="30" type="noConversion"/>
  </si>
  <si>
    <r>
      <rPr>
        <sz val="10"/>
        <color theme="1"/>
        <rFont val="標楷體"/>
        <family val="4"/>
        <charset val="136"/>
      </rPr>
      <t>長期住宅火災保險</t>
    </r>
    <phoneticPr fontId="30" type="noConversion"/>
  </si>
  <si>
    <r>
      <rPr>
        <sz val="10"/>
        <color theme="1"/>
        <rFont val="標楷體"/>
        <family val="4"/>
        <charset val="136"/>
      </rPr>
      <t>一年期商業火災保險</t>
    </r>
    <phoneticPr fontId="30" type="noConversion"/>
  </si>
  <si>
    <r>
      <rPr>
        <sz val="10"/>
        <color theme="1"/>
        <rFont val="標楷體"/>
        <family val="4"/>
        <charset val="136"/>
      </rPr>
      <t>長期商業火災保險</t>
    </r>
    <phoneticPr fontId="30" type="noConversion"/>
  </si>
  <si>
    <r>
      <rPr>
        <sz val="10"/>
        <color theme="1"/>
        <rFont val="標楷體"/>
        <family val="4"/>
        <charset val="136"/>
      </rPr>
      <t>內陸運輸保險</t>
    </r>
    <phoneticPr fontId="30" type="noConversion"/>
  </si>
  <si>
    <r>
      <rPr>
        <sz val="10"/>
        <color theme="1"/>
        <rFont val="標楷體"/>
        <family val="4"/>
        <charset val="136"/>
      </rPr>
      <t>貨物運輸保險</t>
    </r>
    <phoneticPr fontId="30" type="noConversion"/>
  </si>
  <si>
    <r>
      <rPr>
        <sz val="10"/>
        <color theme="1"/>
        <rFont val="標楷體"/>
        <family val="4"/>
        <charset val="136"/>
      </rPr>
      <t>船體保險</t>
    </r>
    <phoneticPr fontId="30" type="noConversion"/>
  </si>
  <si>
    <r>
      <rPr>
        <sz val="10"/>
        <color theme="1"/>
        <rFont val="標楷體"/>
        <family val="4"/>
        <charset val="136"/>
      </rPr>
      <t>漁船保險</t>
    </r>
    <phoneticPr fontId="30" type="noConversion"/>
  </si>
  <si>
    <r>
      <rPr>
        <sz val="10"/>
        <color theme="1"/>
        <rFont val="標楷體"/>
        <family val="4"/>
        <charset val="136"/>
      </rPr>
      <t>航空保險</t>
    </r>
    <phoneticPr fontId="30" type="noConversion"/>
  </si>
  <si>
    <r>
      <rPr>
        <sz val="10"/>
        <color theme="1"/>
        <rFont val="標楷體"/>
        <family val="4"/>
        <charset val="136"/>
      </rPr>
      <t>一般自用汽車財產損失保險</t>
    </r>
    <phoneticPr fontId="30" type="noConversion"/>
  </si>
  <si>
    <r>
      <rPr>
        <sz val="10"/>
        <color theme="1"/>
        <rFont val="標楷體"/>
        <family val="4"/>
        <charset val="136"/>
      </rPr>
      <t>一般商業汽車財產損失保險</t>
    </r>
    <phoneticPr fontId="30" type="noConversion"/>
  </si>
  <si>
    <r>
      <rPr>
        <sz val="10"/>
        <color theme="1"/>
        <rFont val="標楷體"/>
        <family val="4"/>
        <charset val="136"/>
      </rPr>
      <t>一般自用汽車責任保險</t>
    </r>
    <phoneticPr fontId="30" type="noConversion"/>
  </si>
  <si>
    <r>
      <rPr>
        <sz val="10"/>
        <color theme="1"/>
        <rFont val="標楷體"/>
        <family val="4"/>
        <charset val="136"/>
      </rPr>
      <t>一般商業汽車責任保險</t>
    </r>
    <phoneticPr fontId="30" type="noConversion"/>
  </si>
  <si>
    <r>
      <rPr>
        <sz val="10"/>
        <color theme="1"/>
        <rFont val="標楷體"/>
        <family val="4"/>
        <charset val="136"/>
      </rPr>
      <t>強制自用汽車責任保險</t>
    </r>
    <phoneticPr fontId="30" type="noConversion"/>
  </si>
  <si>
    <r>
      <rPr>
        <sz val="10"/>
        <color theme="1"/>
        <rFont val="標楷體"/>
        <family val="4"/>
        <charset val="136"/>
      </rPr>
      <t>強制商業汽車責任保險</t>
    </r>
    <phoneticPr fontId="30" type="noConversion"/>
  </si>
  <si>
    <r>
      <rPr>
        <sz val="10"/>
        <color theme="1"/>
        <rFont val="標楷體"/>
        <family val="4"/>
        <charset val="136"/>
      </rPr>
      <t>強制機車責任保險</t>
    </r>
    <phoneticPr fontId="30" type="noConversion"/>
  </si>
  <si>
    <r>
      <rPr>
        <sz val="10"/>
        <color theme="1"/>
        <rFont val="標楷體"/>
        <family val="4"/>
        <charset val="136"/>
      </rPr>
      <t>一般責任保險</t>
    </r>
    <phoneticPr fontId="30" type="noConversion"/>
  </si>
  <si>
    <r>
      <rPr>
        <sz val="10"/>
        <color theme="1"/>
        <rFont val="標楷體"/>
        <family val="4"/>
        <charset val="136"/>
      </rPr>
      <t>專業責任保險</t>
    </r>
    <phoneticPr fontId="30" type="noConversion"/>
  </si>
  <si>
    <r>
      <rPr>
        <sz val="10"/>
        <color theme="1"/>
        <rFont val="標楷體"/>
        <family val="4"/>
        <charset val="136"/>
      </rPr>
      <t>工程保險</t>
    </r>
    <phoneticPr fontId="30" type="noConversion"/>
  </si>
  <si>
    <r>
      <rPr>
        <sz val="10"/>
        <color theme="1"/>
        <rFont val="標楷體"/>
        <family val="4"/>
        <charset val="136"/>
      </rPr>
      <t>核能保險</t>
    </r>
    <phoneticPr fontId="30" type="noConversion"/>
  </si>
  <si>
    <r>
      <rPr>
        <sz val="10"/>
        <color theme="1"/>
        <rFont val="標楷體"/>
        <family val="4"/>
        <charset val="136"/>
      </rPr>
      <t>保證保險</t>
    </r>
    <phoneticPr fontId="30" type="noConversion"/>
  </si>
  <si>
    <r>
      <rPr>
        <sz val="10"/>
        <color theme="1"/>
        <rFont val="標楷體"/>
        <family val="4"/>
        <charset val="136"/>
      </rPr>
      <t>信用保險</t>
    </r>
    <phoneticPr fontId="30" type="noConversion"/>
  </si>
  <si>
    <r>
      <rPr>
        <sz val="10"/>
        <color theme="1"/>
        <rFont val="標楷體"/>
        <family val="4"/>
        <charset val="136"/>
      </rPr>
      <t>其他財產保險</t>
    </r>
    <phoneticPr fontId="30" type="noConversion"/>
  </si>
  <si>
    <r>
      <rPr>
        <sz val="10"/>
        <color theme="1"/>
        <rFont val="標楷體"/>
        <family val="4"/>
        <charset val="136"/>
      </rPr>
      <t>傷害保險</t>
    </r>
    <phoneticPr fontId="30" type="noConversion"/>
  </si>
  <si>
    <r>
      <rPr>
        <sz val="10"/>
        <color theme="1"/>
        <rFont val="標楷體"/>
        <family val="4"/>
        <charset val="136"/>
      </rPr>
      <t>商業性地震保險</t>
    </r>
    <phoneticPr fontId="30" type="noConversion"/>
  </si>
  <si>
    <r>
      <rPr>
        <sz val="10"/>
        <color theme="1"/>
        <rFont val="標楷體"/>
        <family val="4"/>
        <charset val="136"/>
      </rPr>
      <t>個人綜合保險</t>
    </r>
    <phoneticPr fontId="30" type="noConversion"/>
  </si>
  <si>
    <r>
      <rPr>
        <sz val="10"/>
        <color theme="1"/>
        <rFont val="標楷體"/>
        <family val="4"/>
        <charset val="136"/>
      </rPr>
      <t>商業綜合保險</t>
    </r>
    <phoneticPr fontId="30" type="noConversion"/>
  </si>
  <si>
    <r>
      <rPr>
        <sz val="10"/>
        <color theme="1"/>
        <rFont val="標楷體"/>
        <family val="4"/>
        <charset val="136"/>
      </rPr>
      <t>颱風、洪水保險</t>
    </r>
    <phoneticPr fontId="30" type="noConversion"/>
  </si>
  <si>
    <r>
      <rPr>
        <sz val="10"/>
        <color theme="1"/>
        <rFont val="標楷體"/>
        <family val="4"/>
        <charset val="136"/>
      </rPr>
      <t>政策性住宅地震基本保險</t>
    </r>
  </si>
  <si>
    <r>
      <rPr>
        <sz val="10"/>
        <color theme="1"/>
        <rFont val="標楷體"/>
        <family val="4"/>
        <charset val="136"/>
      </rPr>
      <t>國外再保業務</t>
    </r>
    <phoneticPr fontId="32"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</si>
  <si>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</si>
  <si>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</si>
  <si>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</si>
  <si>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</si>
  <si>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</si>
  <si>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</si>
  <si>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</si>
  <si>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</si>
  <si>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</si>
  <si>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</si>
  <si>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</si>
  <si>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</si>
  <si>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</si>
  <si>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</si>
  <si>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</si>
  <si>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</si>
  <si>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2" type="noConversion"/>
  </si>
  <si>
    <r>
      <rPr>
        <sz val="10"/>
        <color theme="1"/>
        <rFont val="標楷體"/>
        <family val="4"/>
        <charset val="136"/>
      </rPr>
      <t>合計</t>
    </r>
  </si>
  <si>
    <r>
      <t>註</t>
    </r>
    <r>
      <rPr>
        <sz val="10"/>
        <color theme="1"/>
        <rFont val="Times New Roman"/>
        <family val="1"/>
      </rPr>
      <t>:</t>
    </r>
    <phoneticPr fontId="32"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</si>
  <si>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</si>
  <si>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</si>
  <si>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rPr>
        <sz val="10"/>
        <color theme="1"/>
        <rFont val="標楷體"/>
        <family val="4"/>
        <charset val="136"/>
      </rPr>
      <t>人壽保險</t>
    </r>
    <phoneticPr fontId="32" type="noConversion"/>
  </si>
  <si>
    <r>
      <rPr>
        <sz val="10"/>
        <color theme="1"/>
        <rFont val="標楷體"/>
        <family val="4"/>
        <charset val="136"/>
      </rPr>
      <t>傷害保險</t>
    </r>
    <phoneticPr fontId="32" type="noConversion"/>
  </si>
  <si>
    <r>
      <rPr>
        <sz val="10"/>
        <color theme="1"/>
        <rFont val="標楷體"/>
        <family val="4"/>
        <charset val="136"/>
      </rPr>
      <t>年金保險</t>
    </r>
    <phoneticPr fontId="32" type="noConversion"/>
  </si>
  <si>
    <r>
      <rPr>
        <sz val="10"/>
        <color theme="1"/>
        <rFont val="標楷體"/>
        <family val="4"/>
        <charset val="136"/>
      </rPr>
      <t>財務再保險</t>
    </r>
    <phoneticPr fontId="32" type="noConversion"/>
  </si>
  <si>
    <r>
      <rPr>
        <sz val="10"/>
        <color theme="1"/>
        <rFont val="標楷體"/>
        <family val="4"/>
        <charset val="136"/>
      </rPr>
      <t>不含強制險</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</si>
  <si>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2" type="noConversion"/>
  </si>
  <si>
    <r>
      <rPr>
        <sz val="10"/>
        <color theme="1"/>
        <rFont val="標楷體"/>
        <family val="4"/>
        <charset val="136"/>
      </rPr>
      <t>國內再保業務</t>
    </r>
    <phoneticPr fontId="30" type="noConversion"/>
  </si>
  <si>
    <r>
      <rPr>
        <sz val="10"/>
        <color theme="1"/>
        <rFont val="標楷體"/>
        <family val="4"/>
        <charset val="136"/>
      </rPr>
      <t>國外再保業務</t>
    </r>
    <phoneticPr fontId="30"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</si>
  <si>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2" type="noConversion"/>
  </si>
  <si>
    <r>
      <rPr>
        <sz val="10"/>
        <color theme="1"/>
        <rFont val="標楷體"/>
        <family val="4"/>
        <charset val="136"/>
      </rPr>
      <t>註：</t>
    </r>
    <phoneticPr fontId="32" type="noConversion"/>
  </si>
  <si>
    <r>
      <rPr>
        <sz val="10"/>
        <color theme="1"/>
        <rFont val="標楷體"/>
        <family val="4"/>
        <charset val="136"/>
      </rPr>
      <t>不含強制險</t>
    </r>
    <phoneticPr fontId="32" type="noConversion"/>
  </si>
  <si>
    <r>
      <t>表</t>
    </r>
    <r>
      <rPr>
        <sz val="10"/>
        <color theme="1"/>
        <rFont val="Times New Roman"/>
        <family val="1"/>
      </rPr>
      <t>19-6</t>
    </r>
    <r>
      <rPr>
        <sz val="10"/>
        <color theme="1"/>
        <rFont val="標楷體"/>
        <family val="4"/>
        <charset val="136"/>
      </rPr>
      <t>：再保險資產－帳齡分析(應收再保往來款項)</t>
    </r>
    <phoneticPr fontId="32" type="noConversion"/>
  </si>
  <si>
    <r>
      <t>表</t>
    </r>
    <r>
      <rPr>
        <sz val="10"/>
        <color theme="1"/>
        <rFont val="Times New Roman"/>
        <family val="1"/>
      </rPr>
      <t>19-5</t>
    </r>
    <r>
      <rPr>
        <sz val="10"/>
        <color theme="1"/>
        <rFont val="標楷體"/>
        <family val="4"/>
        <charset val="136"/>
      </rPr>
      <t>：再保險資產－帳齡分析(應攤回再保賠款與給付)</t>
    </r>
    <phoneticPr fontId="32" type="noConversion"/>
  </si>
  <si>
    <r>
      <rPr>
        <sz val="10"/>
        <color theme="1"/>
        <rFont val="標楷體"/>
        <family val="4"/>
        <charset val="136"/>
      </rPr>
      <t>再保險人</t>
    </r>
    <phoneticPr fontId="30" type="noConversion"/>
  </si>
  <si>
    <r>
      <rPr>
        <sz val="10"/>
        <color theme="1"/>
        <rFont val="標楷體"/>
        <family val="4"/>
        <charset val="136"/>
      </rPr>
      <t>名稱</t>
    </r>
    <phoneticPr fontId="30" type="noConversion"/>
  </si>
  <si>
    <r>
      <rPr>
        <sz val="10"/>
        <color theme="1"/>
        <rFont val="標楷體"/>
        <family val="4"/>
        <charset val="136"/>
      </rPr>
      <t>註</t>
    </r>
    <r>
      <rPr>
        <sz val="10"/>
        <color theme="1"/>
        <rFont val="Book Antiqua"/>
        <family val="1"/>
      </rPr>
      <t>:</t>
    </r>
    <phoneticPr fontId="30" type="noConversion"/>
  </si>
  <si>
    <r>
      <rPr>
        <sz val="10"/>
        <color theme="1"/>
        <rFont val="標楷體"/>
        <family val="4"/>
        <charset val="136"/>
      </rPr>
      <t>為資產負債表應攤回再保賠款與給付－淨額</t>
    </r>
    <phoneticPr fontId="30" type="noConversion"/>
  </si>
  <si>
    <r>
      <rPr>
        <sz val="10"/>
        <color theme="1"/>
        <rFont val="標楷體"/>
        <family val="4"/>
        <charset val="136"/>
      </rPr>
      <t>各欄之小計數應與資產負債表數核對相符。</t>
    </r>
    <phoneticPr fontId="30" type="noConversion"/>
  </si>
  <si>
    <r>
      <rPr>
        <sz val="10"/>
        <color theme="1"/>
        <rFont val="標楷體"/>
        <family val="4"/>
        <charset val="136"/>
      </rPr>
      <t>僅需填列合計數。</t>
    </r>
    <phoneticPr fontId="30"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</si>
  <si>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</si>
  <si>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</si>
  <si>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</si>
  <si>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</si>
  <si>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30"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</si>
  <si>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30"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</si>
  <si>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</si>
  <si>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</si>
  <si>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</si>
  <si>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</si>
  <si>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</si>
  <si>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</si>
  <si>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</si>
  <si>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</si>
  <si>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</si>
  <si>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</si>
  <si>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</si>
  <si>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</si>
  <si>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</si>
  <si>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</si>
  <si>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</si>
  <si>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</si>
  <si>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</si>
  <si>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</si>
  <si>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30"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</si>
  <si>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30"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</si>
  <si>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30" type="noConversion"/>
  </si>
  <si>
    <r>
      <rPr>
        <sz val="10"/>
        <color theme="1"/>
        <rFont val="標楷體"/>
        <family val="4"/>
        <charset val="136"/>
      </rPr>
      <t>名目部位金額</t>
    </r>
    <phoneticPr fontId="30"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</si>
  <si>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</si>
  <si>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</si>
  <si>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</si>
  <si>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</si>
  <si>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</si>
  <si>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</si>
  <si>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2" type="noConversion"/>
  </si>
  <si>
    <r>
      <rPr>
        <sz val="10"/>
        <color theme="1"/>
        <rFont val="標楷體"/>
        <family val="4"/>
        <charset val="136"/>
      </rPr>
      <t>期貨</t>
    </r>
    <phoneticPr fontId="30" type="noConversion"/>
  </si>
  <si>
    <r>
      <rPr>
        <sz val="10"/>
        <color theme="1"/>
        <rFont val="標楷體"/>
        <family val="4"/>
        <charset val="136"/>
      </rPr>
      <t>買入賣權</t>
    </r>
    <phoneticPr fontId="32"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</si>
  <si>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2"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</si>
  <si>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2" type="noConversion"/>
  </si>
  <si>
    <r>
      <rPr>
        <sz val="10"/>
        <color theme="1"/>
        <rFont val="標楷體"/>
        <family val="4"/>
        <charset val="136"/>
      </rPr>
      <t>可扣抵風險資本避險小計</t>
    </r>
    <phoneticPr fontId="32"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</si>
  <si>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30" type="noConversion"/>
  </si>
  <si>
    <r>
      <rPr>
        <sz val="10"/>
        <color theme="1"/>
        <rFont val="標楷體"/>
        <family val="4"/>
        <charset val="136"/>
      </rPr>
      <t>期貨與遠期</t>
    </r>
    <phoneticPr fontId="30" type="noConversion"/>
  </si>
  <si>
    <r>
      <rPr>
        <sz val="10"/>
        <color theme="1"/>
        <rFont val="標楷體"/>
        <family val="4"/>
        <charset val="136"/>
      </rPr>
      <t>交換</t>
    </r>
    <phoneticPr fontId="30" type="noConversion"/>
  </si>
  <si>
    <r>
      <rPr>
        <sz val="10"/>
        <color theme="1"/>
        <rFont val="標楷體"/>
        <family val="4"/>
        <charset val="136"/>
      </rPr>
      <t>買入選擇權</t>
    </r>
    <phoneticPr fontId="30" type="noConversion"/>
  </si>
  <si>
    <r>
      <rPr>
        <sz val="10"/>
        <color theme="1"/>
        <rFont val="標楷體"/>
        <family val="4"/>
        <charset val="136"/>
      </rPr>
      <t>賣出選擇權</t>
    </r>
    <phoneticPr fontId="30" type="noConversion"/>
  </si>
  <si>
    <r>
      <rPr>
        <sz val="10"/>
        <color theme="1"/>
        <rFont val="標楷體"/>
        <family val="4"/>
        <charset val="136"/>
      </rPr>
      <t>其他</t>
    </r>
    <phoneticPr fontId="30" type="noConversion"/>
  </si>
  <si>
    <r>
      <rPr>
        <sz val="10"/>
        <color theme="1"/>
        <rFont val="標楷體"/>
        <family val="4"/>
        <charset val="136"/>
      </rPr>
      <t>不可扣抵風險資本避險小計</t>
    </r>
    <phoneticPr fontId="30" type="noConversion"/>
  </si>
  <si>
    <r>
      <rPr>
        <sz val="10"/>
        <color theme="1"/>
        <rFont val="標楷體"/>
        <family val="4"/>
        <charset val="136"/>
      </rPr>
      <t>權益證券相關小計</t>
    </r>
    <phoneticPr fontId="30" type="noConversion"/>
  </si>
  <si>
    <r>
      <rPr>
        <sz val="10"/>
        <color theme="1"/>
        <rFont val="標楷體"/>
        <family val="4"/>
        <charset val="136"/>
      </rPr>
      <t>其他衍生性小計</t>
    </r>
  </si>
  <si>
    <r>
      <rPr>
        <sz val="10"/>
        <color theme="1"/>
        <rFont val="華康仿宋體W6"/>
        <family val="3"/>
        <charset val="136"/>
      </rPr>
      <t>列號</t>
    </r>
    <phoneticPr fontId="30"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</si>
  <si>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30"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</si>
  <si>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30"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</si>
  <si>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2"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</si>
  <si>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2"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</si>
  <si>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2"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</si>
  <si>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30"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</si>
  <si>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30" type="noConversion"/>
  </si>
  <si>
    <r>
      <rPr>
        <sz val="10"/>
        <color theme="1"/>
        <rFont val="標楷體"/>
        <family val="4"/>
        <charset val="136"/>
      </rPr>
      <t>交易目的</t>
    </r>
    <phoneticPr fontId="30" type="noConversion"/>
  </si>
  <si>
    <r>
      <rPr>
        <sz val="10"/>
        <color theme="1"/>
        <rFont val="標楷體"/>
        <family val="4"/>
        <charset val="136"/>
      </rPr>
      <t>類型</t>
    </r>
    <phoneticPr fontId="30" type="noConversion"/>
  </si>
  <si>
    <r>
      <rPr>
        <sz val="10"/>
        <color theme="1"/>
        <rFont val="標楷體"/>
        <family val="4"/>
        <charset val="136"/>
      </rPr>
      <t>交易對手</t>
    </r>
  </si>
  <si>
    <r>
      <rPr>
        <sz val="10"/>
        <color theme="1"/>
        <rFont val="標楷體"/>
        <family val="4"/>
        <charset val="136"/>
      </rPr>
      <t>衍生性商品名稱</t>
    </r>
    <phoneticPr fontId="30" type="noConversion"/>
  </si>
  <si>
    <r>
      <rPr>
        <sz val="10"/>
        <color theme="1"/>
        <rFont val="標楷體"/>
        <family val="4"/>
        <charset val="136"/>
      </rPr>
      <t>交易日期</t>
    </r>
  </si>
  <si>
    <r>
      <rPr>
        <sz val="10"/>
        <color theme="1"/>
        <rFont val="標楷體"/>
        <family val="4"/>
        <charset val="136"/>
      </rPr>
      <t>到期日</t>
    </r>
    <phoneticPr fontId="30" type="noConversion"/>
  </si>
  <si>
    <r>
      <rPr>
        <sz val="10"/>
        <color theme="1"/>
        <rFont val="標楷體"/>
        <family val="4"/>
        <charset val="136"/>
      </rPr>
      <t>契約數</t>
    </r>
    <phoneticPr fontId="30" type="noConversion"/>
  </si>
  <si>
    <r>
      <rPr>
        <sz val="10"/>
        <color theme="1"/>
        <rFont val="標楷體"/>
        <family val="4"/>
        <charset val="136"/>
      </rPr>
      <t>契約名目部位金額</t>
    </r>
    <phoneticPr fontId="30" type="noConversion"/>
  </si>
  <si>
    <r>
      <rPr>
        <sz val="10"/>
        <color theme="1"/>
        <rFont val="標楷體"/>
        <family val="4"/>
        <charset val="136"/>
      </rPr>
      <t>最近收盤日衍生性商品契約市價總金額</t>
    </r>
    <phoneticPr fontId="30" type="noConversion"/>
  </si>
  <si>
    <r>
      <rPr>
        <sz val="10"/>
        <color theme="1"/>
        <rFont val="標楷體"/>
        <family val="4"/>
        <charset val="136"/>
      </rPr>
      <t>未實現損益</t>
    </r>
    <phoneticPr fontId="30" type="noConversion"/>
  </si>
  <si>
    <r>
      <rPr>
        <sz val="10"/>
        <color theme="1"/>
        <rFont val="標楷體"/>
        <family val="4"/>
        <charset val="136"/>
      </rPr>
      <t>衍生性商品
標的物</t>
    </r>
    <phoneticPr fontId="30"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</si>
  <si>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30" type="noConversion"/>
  </si>
  <si>
    <r>
      <rPr>
        <sz val="10"/>
        <color theme="1"/>
        <rFont val="標楷體"/>
        <family val="4"/>
        <charset val="136"/>
      </rPr>
      <t>被避險資產名稱</t>
    </r>
    <phoneticPr fontId="30" type="noConversion"/>
  </si>
  <si>
    <r>
      <rPr>
        <sz val="10"/>
        <color theme="1"/>
        <rFont val="標楷體"/>
        <family val="4"/>
        <charset val="136"/>
      </rPr>
      <t>衍生性商品標的物與被避險資產
之相關係數</t>
    </r>
    <phoneticPr fontId="30" type="noConversion"/>
  </si>
  <si>
    <r>
      <rPr>
        <sz val="10"/>
        <color theme="1"/>
        <rFont val="標楷體"/>
        <family val="4"/>
        <charset val="136"/>
      </rPr>
      <t>最後持有資產幣別</t>
    </r>
    <phoneticPr fontId="30"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</si>
  <si>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</si>
  <si>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</si>
  <si>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</si>
  <si>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</si>
  <si>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</si>
  <si>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</si>
  <si>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</si>
  <si>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30"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</si>
  <si>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30"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</si>
  <si>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</si>
  <si>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無</t>
    </r>
    <phoneticPr fontId="30"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</si>
  <si>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</si>
  <si>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30" type="noConversion"/>
  </si>
  <si>
    <r>
      <rPr>
        <sz val="10"/>
        <color theme="1"/>
        <rFont val="標楷體"/>
        <family val="4"/>
        <charset val="136"/>
      </rPr>
      <t>權益證券相關</t>
    </r>
    <phoneticPr fontId="30" type="noConversion"/>
  </si>
  <si>
    <r>
      <rPr>
        <sz val="10"/>
        <color theme="1"/>
        <rFont val="標楷體"/>
        <family val="4"/>
        <charset val="136"/>
      </rPr>
      <t>其他標的</t>
    </r>
    <phoneticPr fontId="30" type="noConversion"/>
  </si>
  <si>
    <r>
      <rPr>
        <sz val="10"/>
        <color theme="1"/>
        <rFont val="標楷體"/>
        <family val="4"/>
        <charset val="136"/>
      </rPr>
      <t>被避險資產屬國內投資</t>
    </r>
  </si>
  <si>
    <r>
      <rPr>
        <sz val="10"/>
        <color theme="1"/>
        <rFont val="標楷體"/>
        <family val="4"/>
        <charset val="136"/>
      </rPr>
      <t>以避險為目的小計</t>
    </r>
    <phoneticPr fontId="30"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</si>
  <si>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30" type="noConversion"/>
  </si>
  <si>
    <r>
      <rPr>
        <sz val="10"/>
        <color theme="1"/>
        <rFont val="標楷體"/>
        <family val="4"/>
        <charset val="136"/>
      </rPr>
      <t>匯率相關</t>
    </r>
    <phoneticPr fontId="30"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</si>
  <si>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</si>
  <si>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</si>
  <si>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衍生性商品標的屬國內投資</t>
    </r>
    <phoneticPr fontId="30" type="noConversion"/>
  </si>
  <si>
    <r>
      <rPr>
        <sz val="10"/>
        <color theme="1"/>
        <rFont val="標楷體"/>
        <family val="4"/>
        <charset val="136"/>
      </rPr>
      <t>衍生性商品標的國內投資</t>
    </r>
    <phoneticPr fontId="30"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</si>
  <si>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30"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</si>
  <si>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30"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</si>
  <si>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30"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</si>
  <si>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0" type="noConversion"/>
  </si>
  <si>
    <r>
      <rPr>
        <sz val="10"/>
        <color theme="1"/>
        <rFont val="標楷體"/>
        <family val="4"/>
        <charset val="136"/>
      </rPr>
      <t>本表所稱與權益證券相關之衍生性金融商品係包括以個別權益證券及股價指數為標的之衍生性金融商品</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</si>
  <si>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2"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</si>
  <si>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2"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</si>
  <si>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30"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</si>
  <si>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30" type="noConversion"/>
  </si>
  <si>
    <r>
      <rPr>
        <sz val="10"/>
        <color theme="1"/>
        <rFont val="標楷體"/>
        <family val="4"/>
        <charset val="136"/>
      </rPr>
      <t>選擇權最近收盤日市價總金額</t>
    </r>
    <phoneticPr fontId="30" type="noConversion"/>
  </si>
  <si>
    <r>
      <rPr>
        <sz val="10"/>
        <color theme="1"/>
        <rFont val="標楷體"/>
        <family val="4"/>
        <charset val="136"/>
      </rPr>
      <t>選擇權未實現損益</t>
    </r>
    <phoneticPr fontId="30" type="noConversion"/>
  </si>
  <si>
    <r>
      <rPr>
        <sz val="10"/>
        <color theme="1"/>
        <rFont val="標楷體"/>
        <family val="4"/>
        <charset val="136"/>
      </rPr>
      <t>選擇權標的物</t>
    </r>
    <phoneticPr fontId="30"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</si>
  <si>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30"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</si>
  <si>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30"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</si>
  <si>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30"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</si>
  <si>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30" type="noConversion"/>
  </si>
  <si>
    <r>
      <rPr>
        <sz val="10"/>
        <color theme="1"/>
        <rFont val="標楷體"/>
        <family val="4"/>
        <charset val="136"/>
      </rPr>
      <t>選擇權標的物與被避險資產
之相關係數</t>
    </r>
    <phoneticPr fontId="30" type="noConversion"/>
  </si>
  <si>
    <r>
      <rPr>
        <sz val="10"/>
        <color theme="1"/>
        <rFont val="標楷體"/>
        <family val="4"/>
        <charset val="136"/>
      </rPr>
      <t>選擇權名稱</t>
    </r>
    <phoneticPr fontId="30" type="noConversion"/>
  </si>
  <si>
    <r>
      <rPr>
        <sz val="10"/>
        <color theme="1"/>
        <rFont val="標楷體"/>
        <family val="4"/>
        <charset val="136"/>
      </rPr>
      <t>價內值</t>
    </r>
    <phoneticPr fontId="30" type="noConversion"/>
  </si>
  <si>
    <r>
      <rPr>
        <sz val="10"/>
        <color theme="1"/>
        <rFont val="標楷體"/>
        <family val="4"/>
        <charset val="136"/>
      </rPr>
      <t>價外值</t>
    </r>
    <phoneticPr fontId="30" type="noConversion"/>
  </si>
  <si>
    <r>
      <rPr>
        <sz val="10"/>
        <color theme="1"/>
        <rFont val="標楷體"/>
        <family val="4"/>
        <charset val="136"/>
      </rPr>
      <t>以增加收益為目的</t>
    </r>
    <phoneticPr fontId="30" type="noConversion"/>
  </si>
  <si>
    <r>
      <rPr>
        <sz val="10"/>
        <color theme="1"/>
        <rFont val="標楷體"/>
        <family val="4"/>
        <charset val="136"/>
      </rPr>
      <t>以增加收益為目的小計</t>
    </r>
    <phoneticPr fontId="30"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</si>
  <si>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30" type="noConversion"/>
  </si>
  <si>
    <r>
      <rPr>
        <sz val="10"/>
        <color theme="1"/>
        <rFont val="標楷體"/>
        <family val="4"/>
        <charset val="136"/>
      </rPr>
      <t>本表所稱與權益證券相關之選擇權係包括以個別權益證券及股價指數為標的之選擇權商品</t>
    </r>
    <phoneticPr fontId="30"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</si>
  <si>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30"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</si>
  <si>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30"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</si>
  <si>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30"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</si>
  <si>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30"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</si>
  <si>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30"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</si>
  <si>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30"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</si>
  <si>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30" type="noConversion"/>
  </si>
  <si>
    <r>
      <rPr>
        <sz val="11"/>
        <color theme="1"/>
        <rFont val="標楷體"/>
        <family val="4"/>
        <charset val="136"/>
      </rPr>
      <t>臺指賣權</t>
    </r>
    <phoneticPr fontId="30" type="noConversion"/>
  </si>
  <si>
    <r>
      <rPr>
        <sz val="10"/>
        <color theme="1"/>
        <rFont val="標楷體"/>
        <family val="4"/>
        <charset val="136"/>
      </rPr>
      <t>發行量加權股價指數</t>
    </r>
    <phoneticPr fontId="30" type="noConversion"/>
  </si>
  <si>
    <r>
      <rPr>
        <sz val="10"/>
        <color theme="1"/>
        <rFont val="標楷體"/>
        <family val="4"/>
        <charset val="136"/>
      </rPr>
      <t>證券組合</t>
    </r>
    <phoneticPr fontId="30" type="noConversion"/>
  </si>
  <si>
    <r>
      <rPr>
        <sz val="11"/>
        <color theme="1"/>
        <rFont val="標楷體"/>
        <family val="4"/>
        <charset val="136"/>
      </rPr>
      <t>臺指賣權</t>
    </r>
  </si>
  <si>
    <r>
      <rPr>
        <sz val="12"/>
        <color theme="1"/>
        <rFont val="標楷體"/>
        <family val="4"/>
        <charset val="136"/>
      </rPr>
      <t>小計</t>
    </r>
    <phoneticPr fontId="30"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</si>
  <si>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30"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</si>
  <si>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30"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</si>
  <si>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30"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</si>
  <si>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30" type="noConversion"/>
  </si>
  <si>
    <r>
      <rPr>
        <sz val="10"/>
        <color theme="1"/>
        <rFont val="標楷體"/>
        <family val="4"/>
        <charset val="136"/>
      </rPr>
      <t>保險業利用衍生性金融商品進行國內股票避險，於評價日符合下列條件：</t>
    </r>
    <phoneticPr fontId="30"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</si>
  <si>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30"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</si>
  <si>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</si>
  <si>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2" type="noConversion"/>
  </si>
  <si>
    <r>
      <rPr>
        <sz val="10"/>
        <color theme="1"/>
        <rFont val="標楷體"/>
        <family val="4"/>
        <charset val="136"/>
      </rPr>
      <t>其他填報應注意事項請併參填報說明。</t>
    </r>
    <phoneticPr fontId="30"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</si>
  <si>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30"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</si>
  <si>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30" type="noConversion"/>
  </si>
  <si>
    <r>
      <rPr>
        <sz val="10"/>
        <color theme="1"/>
        <rFont val="標楷體"/>
        <family val="4"/>
        <charset val="136"/>
      </rPr>
      <t>衍生性商品
標的物</t>
    </r>
    <r>
      <rPr>
        <sz val="10"/>
        <color theme="1"/>
        <rFont val="Book Antiqua"/>
        <family val="1"/>
      </rPr>
      <t>(13)</t>
    </r>
    <phoneticPr fontId="30" type="noConversion"/>
  </si>
  <si>
    <r>
      <rPr>
        <sz val="10"/>
        <color theme="1"/>
        <rFont val="標楷體"/>
        <family val="4"/>
        <charset val="136"/>
      </rPr>
      <t>標的物資產計價幣別</t>
    </r>
    <r>
      <rPr>
        <sz val="10"/>
        <color theme="1"/>
        <rFont val="Book Antiqua"/>
        <family val="1"/>
      </rPr>
      <t>(14)</t>
    </r>
    <phoneticPr fontId="30" type="noConversion"/>
  </si>
  <si>
    <r>
      <rPr>
        <sz val="10"/>
        <color theme="1"/>
        <rFont val="標楷體"/>
        <family val="4"/>
        <charset val="136"/>
      </rPr>
      <t>換入</t>
    </r>
    <phoneticPr fontId="30" type="noConversion"/>
  </si>
  <si>
    <r>
      <rPr>
        <sz val="10"/>
        <color theme="1"/>
        <rFont val="標楷體"/>
        <family val="4"/>
        <charset val="136"/>
      </rPr>
      <t>換出</t>
    </r>
    <phoneticPr fontId="30"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</si>
  <si>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30"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</si>
  <si>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30"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</si>
  <si>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30"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</si>
  <si>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30"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</si>
  <si>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30" type="noConversion"/>
  </si>
  <si>
    <r>
      <rPr>
        <sz val="10"/>
        <color theme="1"/>
        <rFont val="標楷體"/>
        <family val="4"/>
        <charset val="136"/>
      </rPr>
      <t>換入標的屬國內投資</t>
    </r>
    <phoneticPr fontId="30"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</si>
  <si>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0" type="noConversion"/>
  </si>
  <si>
    <r>
      <rPr>
        <sz val="10"/>
        <color theme="1"/>
        <rFont val="標楷體"/>
        <family val="4"/>
        <charset val="136"/>
      </rPr>
      <t>本表所稱與權益證券相關之交換契約係包括以個別權益證券及股價指數為標的之交換契約</t>
    </r>
    <phoneticPr fontId="30" type="noConversion"/>
  </si>
  <si>
    <r>
      <rPr>
        <sz val="10"/>
        <color theme="1"/>
        <rFont val="標楷體"/>
        <family val="4"/>
        <charset val="136"/>
      </rPr>
      <t>本表所稱與匯率相關之交換契約係包括換匯以及換匯換利</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</si>
  <si>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2"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</si>
  <si>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2"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</si>
  <si>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30"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</si>
  <si>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30" type="noConversion"/>
  </si>
  <si>
    <r>
      <rPr>
        <sz val="10"/>
        <color theme="1"/>
        <rFont val="標楷體"/>
        <family val="4"/>
        <charset val="136"/>
      </rPr>
      <t>臺股期貨</t>
    </r>
    <phoneticPr fontId="30"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</si>
  <si>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30"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</si>
  <si>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30"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</si>
  <si>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</si>
  <si>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</si>
  <si>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0" type="noConversion"/>
  </si>
  <si>
    <r>
      <rPr>
        <sz val="10"/>
        <color theme="1"/>
        <rFont val="標楷體"/>
        <family val="4"/>
        <charset val="136"/>
      </rPr>
      <t>表</t>
    </r>
    <r>
      <rPr>
        <sz val="10"/>
        <color theme="1"/>
        <rFont val="Book Antiqua"/>
        <family val="1"/>
      </rPr>
      <t>13-4</t>
    </r>
    <r>
      <rPr>
        <sz val="10"/>
        <color theme="1"/>
        <rFont val="標楷體"/>
        <family val="4"/>
        <charset val="136"/>
      </rPr>
      <t>：國外及大陸地區不動產投資情形明細表</t>
    </r>
    <phoneticPr fontId="30" type="noConversion"/>
  </si>
  <si>
    <r>
      <rPr>
        <sz val="10"/>
        <color theme="1"/>
        <rFont val="標楷體"/>
        <family val="4"/>
        <charset val="136"/>
      </rPr>
      <t>小計</t>
    </r>
    <phoneticPr fontId="32" type="noConversion"/>
  </si>
  <si>
    <r>
      <rPr>
        <sz val="10"/>
        <color theme="1"/>
        <rFont val="標楷體"/>
        <family val="4"/>
        <charset val="136"/>
      </rPr>
      <t>已開發國家</t>
    </r>
    <phoneticPr fontId="32" type="noConversion"/>
  </si>
  <si>
    <r>
      <rPr>
        <sz val="10"/>
        <color theme="1"/>
        <rFont val="標楷體"/>
        <family val="4"/>
        <charset val="136"/>
      </rPr>
      <t>新興市場</t>
    </r>
    <phoneticPr fontId="32"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</si>
  <si>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32" type="noConversion"/>
  </si>
  <si>
    <r>
      <rPr>
        <sz val="10"/>
        <color theme="1"/>
        <rFont val="標楷體"/>
        <family val="4"/>
        <charset val="136"/>
      </rPr>
      <t>本表請依「保險業辦理國外投資管理辦法」第</t>
    </r>
    <r>
      <rPr>
        <sz val="10"/>
        <color theme="1"/>
        <rFont val="Book Antiqua"/>
        <family val="1"/>
      </rPr>
      <t>11</t>
    </r>
    <r>
      <rPr>
        <sz val="10"/>
        <color theme="1"/>
        <rFont val="標楷體"/>
        <family val="4"/>
        <charset val="136"/>
      </rPr>
      <t>條至第</t>
    </r>
    <r>
      <rPr>
        <sz val="10"/>
        <color theme="1"/>
        <rFont val="Book Antiqua"/>
        <family val="1"/>
      </rPr>
      <t>11</t>
    </r>
    <r>
      <rPr>
        <sz val="10"/>
        <color theme="1"/>
        <rFont val="標楷體"/>
        <family val="4"/>
        <charset val="136"/>
      </rPr>
      <t>條之</t>
    </r>
    <r>
      <rPr>
        <sz val="10"/>
        <color theme="1"/>
        <rFont val="Book Antiqua"/>
        <family val="1"/>
      </rPr>
      <t>3</t>
    </r>
    <r>
      <rPr>
        <sz val="10"/>
        <color theme="1"/>
        <rFont val="標楷體"/>
        <family val="4"/>
        <charset val="136"/>
      </rPr>
      <t>規定填報。</t>
    </r>
    <phoneticPr fontId="32" type="noConversion"/>
  </si>
  <si>
    <r>
      <rPr>
        <sz val="10"/>
        <color theme="1"/>
        <rFont val="標楷體"/>
        <family val="4"/>
        <charset val="136"/>
      </rPr>
      <t>種類請依序填列</t>
    </r>
    <r>
      <rPr>
        <sz val="10"/>
        <color theme="1"/>
        <rFont val="Book Antiqua"/>
        <family val="1"/>
      </rPr>
      <t xml:space="preserve"> A.</t>
    </r>
    <r>
      <rPr>
        <sz val="10"/>
        <color theme="1"/>
        <rFont val="標楷體"/>
        <family val="4"/>
        <charset val="136"/>
      </rPr>
      <t>土地</t>
    </r>
    <r>
      <rPr>
        <sz val="10"/>
        <color theme="1"/>
        <rFont val="Book Antiqua"/>
        <family val="1"/>
      </rPr>
      <t>, B.</t>
    </r>
    <r>
      <rPr>
        <sz val="10"/>
        <color theme="1"/>
        <rFont val="標楷體"/>
        <family val="4"/>
        <charset val="136"/>
      </rPr>
      <t>房屋</t>
    </r>
    <r>
      <rPr>
        <sz val="10"/>
        <color theme="1"/>
        <rFont val="Book Antiqua"/>
        <family val="1"/>
      </rPr>
      <t>, C.</t>
    </r>
    <r>
      <rPr>
        <sz val="10"/>
        <color theme="1"/>
        <rFont val="標楷體"/>
        <family val="4"/>
        <charset val="136"/>
      </rPr>
      <t>預付房地款</t>
    </r>
    <r>
      <rPr>
        <sz val="10"/>
        <color theme="1"/>
        <rFont val="Book Antiqua"/>
        <family val="1"/>
      </rPr>
      <t>, D.</t>
    </r>
    <r>
      <rPr>
        <sz val="10"/>
        <color theme="1"/>
        <rFont val="標楷體"/>
        <family val="4"/>
        <charset val="136"/>
      </rPr>
      <t>投資特定目的事業預付款</t>
    </r>
    <r>
      <rPr>
        <sz val="10"/>
        <color theme="1"/>
        <rFont val="Book Antiqua"/>
        <family val="1"/>
      </rPr>
      <t>, E.</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</si>
  <si>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</si>
  <si>
    <r>
      <rPr>
        <sz val="10"/>
        <color theme="1"/>
        <rFont val="標楷體"/>
        <family val="4"/>
        <charset val="136"/>
      </rPr>
      <t>使用種類請依序填列</t>
    </r>
    <r>
      <rPr>
        <sz val="10"/>
        <color theme="1"/>
        <rFont val="Book Antiqua"/>
        <family val="1"/>
      </rPr>
      <t xml:space="preserve"> A.</t>
    </r>
    <r>
      <rPr>
        <sz val="10"/>
        <color theme="1"/>
        <rFont val="標楷體"/>
        <family val="4"/>
        <charset val="136"/>
      </rPr>
      <t>自用</t>
    </r>
    <r>
      <rPr>
        <sz val="10"/>
        <color theme="1"/>
        <rFont val="Book Antiqua"/>
        <family val="1"/>
      </rPr>
      <t>, B.</t>
    </r>
    <r>
      <rPr>
        <sz val="10"/>
        <color theme="1"/>
        <rFont val="標楷體"/>
        <family val="4"/>
        <charset val="136"/>
      </rPr>
      <t>投資用</t>
    </r>
    <r>
      <rPr>
        <sz val="10"/>
        <color theme="1"/>
        <rFont val="Book Antiqua"/>
        <family val="1"/>
      </rPr>
      <t>, 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r>
      <rPr>
        <sz val="10"/>
        <color theme="1"/>
        <rFont val="標楷體"/>
        <family val="4"/>
        <charset val="136"/>
      </rPr>
      <t>。</t>
    </r>
    <phoneticPr fontId="32" type="noConversion"/>
  </si>
  <si>
    <r>
      <rPr>
        <sz val="10"/>
        <color theme="1"/>
        <rFont val="標楷體"/>
        <family val="4"/>
        <charset val="136"/>
      </rPr>
      <t>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t>
    </r>
    <phoneticPr fontId="32" type="noConversion"/>
  </si>
  <si>
    <r>
      <rPr>
        <sz val="10"/>
        <color theme="1"/>
        <rFont val="標楷體"/>
        <family val="4"/>
        <charset val="136"/>
      </rPr>
      <t>第</t>
    </r>
    <r>
      <rPr>
        <sz val="10"/>
        <color theme="1"/>
        <rFont val="Book Antiqua"/>
        <family val="1"/>
      </rPr>
      <t>(8)</t>
    </r>
    <r>
      <rPr>
        <sz val="10"/>
        <color theme="1"/>
        <rFont val="標楷體"/>
        <family val="4"/>
        <charset val="136"/>
      </rPr>
      <t>欄到第</t>
    </r>
    <r>
      <rPr>
        <sz val="10"/>
        <color theme="1"/>
        <rFont val="Book Antiqua"/>
        <family val="1"/>
      </rPr>
      <t>(12)</t>
    </r>
    <r>
      <rPr>
        <sz val="10"/>
        <color theme="1"/>
        <rFont val="標楷體"/>
        <family val="4"/>
        <charset val="136"/>
      </rPr>
      <t>欄、及第</t>
    </r>
    <r>
      <rPr>
        <sz val="10"/>
        <color theme="1"/>
        <rFont val="Book Antiqua"/>
        <family val="1"/>
      </rPr>
      <t>(15)</t>
    </r>
    <r>
      <rPr>
        <sz val="10"/>
        <color theme="1"/>
        <rFont val="標楷體"/>
        <family val="4"/>
        <charset val="136"/>
      </rPr>
      <t>欄金額單位請以新臺幣元填列。</t>
    </r>
    <phoneticPr fontId="32" type="noConversion"/>
  </si>
  <si>
    <r>
      <rPr>
        <sz val="10"/>
        <color theme="1"/>
        <rFont val="標楷體"/>
        <family val="4"/>
        <charset val="136"/>
      </rPr>
      <t>本表第</t>
    </r>
    <r>
      <rPr>
        <sz val="10"/>
        <color theme="1"/>
        <rFont val="Book Antiqua"/>
        <family val="1"/>
      </rPr>
      <t>(9)</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第</t>
    </r>
    <r>
      <rPr>
        <sz val="10"/>
        <color theme="1"/>
        <rFont val="Book Antiqua"/>
        <family val="1"/>
      </rPr>
      <t>(11)</t>
    </r>
    <r>
      <rPr>
        <sz val="10"/>
        <color theme="1"/>
        <rFont val="標楷體"/>
        <family val="4"/>
        <charset val="136"/>
      </rPr>
      <t>欄第</t>
    </r>
    <r>
      <rPr>
        <sz val="10"/>
        <color theme="1"/>
        <rFont val="Book Antiqua"/>
        <family val="1"/>
      </rPr>
      <t>(14)</t>
    </r>
    <r>
      <rPr>
        <sz val="10"/>
        <color theme="1"/>
        <rFont val="標楷體"/>
        <family val="4"/>
        <charset val="136"/>
      </rPr>
      <t>列之金額相一致。</t>
    </r>
    <phoneticPr fontId="32" type="noConversion"/>
  </si>
  <si>
    <r>
      <rPr>
        <sz val="10"/>
        <color theme="1"/>
        <rFont val="標楷體"/>
        <family val="4"/>
        <charset val="136"/>
      </rPr>
      <t>本表第</t>
    </r>
    <r>
      <rPr>
        <sz val="10"/>
        <color theme="1"/>
        <rFont val="Book Antiqua"/>
        <family val="1"/>
      </rPr>
      <t>(10)</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10-3</t>
    </r>
    <r>
      <rPr>
        <sz val="10"/>
        <color theme="1"/>
        <rFont val="標楷體"/>
        <family val="4"/>
        <charset val="136"/>
      </rPr>
      <t>：關係人股票投資明細表第</t>
    </r>
    <r>
      <rPr>
        <sz val="10"/>
        <color theme="1"/>
        <rFont val="Book Antiqua"/>
        <family val="1"/>
      </rPr>
      <t>(6</t>
    </r>
    <r>
      <rPr>
        <sz val="10"/>
        <color theme="1"/>
        <rFont val="標楷體"/>
        <family val="4"/>
        <charset val="136"/>
      </rPr>
      <t>＋</t>
    </r>
    <r>
      <rPr>
        <sz val="10"/>
        <color theme="1"/>
        <rFont val="Book Antiqua"/>
        <family val="1"/>
      </rPr>
      <t>7)</t>
    </r>
    <r>
      <rPr>
        <sz val="10"/>
        <color theme="1"/>
        <rFont val="標楷體"/>
        <family val="4"/>
        <charset val="136"/>
      </rPr>
      <t>欄第</t>
    </r>
    <r>
      <rPr>
        <sz val="10"/>
        <color theme="1"/>
        <rFont val="Book Antiqua"/>
        <family val="1"/>
      </rPr>
      <t>(31)</t>
    </r>
    <r>
      <rPr>
        <sz val="10"/>
        <color theme="1"/>
        <rFont val="標楷體"/>
        <family val="4"/>
        <charset val="136"/>
      </rPr>
      <t>列</t>
    </r>
    <r>
      <rPr>
        <sz val="10"/>
        <color theme="1"/>
        <rFont val="Book Antiqua"/>
        <family val="1"/>
      </rPr>
      <t xml:space="preserve"> </t>
    </r>
    <r>
      <rPr>
        <sz val="10"/>
        <color theme="1"/>
        <rFont val="標楷體"/>
        <family val="4"/>
        <charset val="136"/>
      </rPr>
      <t>之金額相一致。</t>
    </r>
    <phoneticPr fontId="32" type="noConversion"/>
  </si>
  <si>
    <r>
      <rPr>
        <sz val="10"/>
        <color theme="1"/>
        <rFont val="標楷體"/>
        <family val="4"/>
        <charset val="136"/>
      </rPr>
      <t>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phoneticPr fontId="30" type="noConversion"/>
  </si>
  <si>
    <r>
      <rPr>
        <sz val="10"/>
        <color theme="1"/>
        <rFont val="標楷體"/>
        <family val="4"/>
        <charset val="136"/>
      </rPr>
      <t>單位</t>
    </r>
    <r>
      <rPr>
        <sz val="10"/>
        <color theme="1"/>
        <rFont val="Book Antiqua"/>
        <family val="1"/>
      </rPr>
      <t>:</t>
    </r>
    <r>
      <rPr>
        <sz val="10"/>
        <color theme="1"/>
        <rFont val="標楷體"/>
        <family val="4"/>
        <charset val="136"/>
      </rPr>
      <t>新台幣元</t>
    </r>
    <r>
      <rPr>
        <sz val="10"/>
        <color theme="1"/>
        <rFont val="Book Antiqua"/>
        <family val="1"/>
      </rPr>
      <t>,%</t>
    </r>
  </si>
  <si>
    <r>
      <rPr>
        <sz val="10"/>
        <color theme="1"/>
        <rFont val="標楷體"/>
        <family val="4"/>
        <charset val="136"/>
      </rPr>
      <t>不動產種類</t>
    </r>
  </si>
  <si>
    <r>
      <rPr>
        <sz val="10"/>
        <color theme="1"/>
        <rFont val="標楷體"/>
        <family val="4"/>
        <charset val="136"/>
      </rPr>
      <t>國內投資帳面淨額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30" type="noConversion"/>
  </si>
  <si>
    <r>
      <rPr>
        <sz val="10"/>
        <color theme="1"/>
        <rFont val="標楷體"/>
        <family val="4"/>
        <charset val="136"/>
      </rPr>
      <t>國外投資帳面淨額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30" type="noConversion"/>
  </si>
  <si>
    <r>
      <rPr>
        <sz val="10"/>
        <color theme="1"/>
        <rFont val="標楷體"/>
        <family val="4"/>
        <charset val="136"/>
      </rPr>
      <t>國內外投資帳面淨額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r>
      <rPr>
        <sz val="10"/>
        <color theme="1"/>
        <rFont val="標楷體"/>
        <family val="4"/>
        <charset val="136"/>
      </rPr>
      <t>合計</t>
    </r>
    <phoneticPr fontId="30" type="noConversion"/>
  </si>
  <si>
    <r>
      <rPr>
        <sz val="10"/>
        <color theme="1"/>
        <rFont val="標楷體"/>
        <family val="4"/>
        <charset val="136"/>
      </rPr>
      <t>投資性不動產稅後增值或稅後減少之金額</t>
    </r>
    <r>
      <rPr>
        <sz val="10"/>
        <color theme="1"/>
        <rFont val="Book Antiqua"/>
        <family val="1"/>
      </rPr>
      <t>(</t>
    </r>
    <r>
      <rPr>
        <sz val="10"/>
        <color theme="1"/>
        <rFont val="標楷體"/>
        <family val="4"/>
        <charset val="136"/>
      </rPr>
      <t>註</t>
    </r>
    <r>
      <rPr>
        <sz val="10"/>
        <color theme="1"/>
        <rFont val="Book Antiqua"/>
        <family val="1"/>
      </rPr>
      <t>)</t>
    </r>
    <phoneticPr fontId="30" type="noConversion"/>
  </si>
  <si>
    <r>
      <rPr>
        <sz val="10"/>
        <color theme="1"/>
        <rFont val="標楷體"/>
        <family val="4"/>
        <charset val="136"/>
      </rPr>
      <t>土地</t>
    </r>
  </si>
  <si>
    <r>
      <rPr>
        <sz val="10"/>
        <color theme="1"/>
        <rFont val="標楷體"/>
        <family val="4"/>
        <charset val="136"/>
      </rPr>
      <t>房屋</t>
    </r>
  </si>
  <si>
    <r>
      <rPr>
        <sz val="10"/>
        <color theme="1"/>
        <rFont val="標楷體"/>
        <family val="4"/>
        <charset val="136"/>
      </rPr>
      <t>地上權</t>
    </r>
  </si>
  <si>
    <r>
      <rPr>
        <sz val="10"/>
        <color theme="1"/>
        <rFont val="標楷體"/>
        <family val="4"/>
        <charset val="136"/>
      </rPr>
      <t>占資金比率</t>
    </r>
    <r>
      <rPr>
        <sz val="10"/>
        <color theme="1"/>
        <rFont val="Book Antiqua"/>
        <family val="1"/>
      </rPr>
      <t>%</t>
    </r>
  </si>
  <si>
    <r>
      <rPr>
        <sz val="10"/>
        <color theme="1"/>
        <rFont val="標楷體"/>
        <family val="4"/>
        <charset val="136"/>
      </rPr>
      <t>占業主權益比率</t>
    </r>
    <r>
      <rPr>
        <sz val="10"/>
        <color theme="1"/>
        <rFont val="Book Antiqua"/>
        <family val="1"/>
      </rPr>
      <t>%</t>
    </r>
  </si>
  <si>
    <r>
      <rPr>
        <sz val="10"/>
        <color theme="1"/>
        <rFont val="標楷體"/>
        <family val="4"/>
        <charset val="136"/>
      </rPr>
      <t>國內</t>
    </r>
    <phoneticPr fontId="30" type="noConversion"/>
  </si>
  <si>
    <r>
      <rPr>
        <sz val="10"/>
        <color theme="1"/>
        <rFont val="標楷體"/>
        <family val="4"/>
        <charset val="136"/>
      </rPr>
      <t>國外</t>
    </r>
    <phoneticPr fontId="30" type="noConversion"/>
  </si>
  <si>
    <r>
      <rPr>
        <sz val="10"/>
        <color theme="1"/>
        <rFont val="標楷體"/>
        <family val="4"/>
        <charset val="136"/>
      </rPr>
      <t>國內投資總計</t>
    </r>
  </si>
  <si>
    <r>
      <rPr>
        <sz val="10"/>
        <color theme="1"/>
        <rFont val="標楷體"/>
        <family val="4"/>
        <charset val="136"/>
      </rPr>
      <t>自用</t>
    </r>
  </si>
  <si>
    <r>
      <rPr>
        <sz val="10"/>
        <color theme="1"/>
        <rFont val="標楷體"/>
        <family val="4"/>
        <charset val="136"/>
      </rPr>
      <t>不動產</t>
    </r>
  </si>
  <si>
    <r>
      <rPr>
        <sz val="10"/>
        <color theme="1"/>
        <rFont val="標楷體"/>
        <family val="4"/>
        <charset val="136"/>
      </rPr>
      <t>投資用</t>
    </r>
  </si>
  <si>
    <r>
      <rPr>
        <sz val="10"/>
        <color theme="1"/>
        <rFont val="標楷體"/>
        <family val="4"/>
        <charset val="136"/>
      </rPr>
      <t>不動產投資</t>
    </r>
  </si>
  <si>
    <r>
      <rPr>
        <sz val="10"/>
        <color theme="1"/>
        <rFont val="標楷體"/>
        <family val="4"/>
        <charset val="136"/>
      </rPr>
      <t>具有收益性不動產</t>
    </r>
  </si>
  <si>
    <r>
      <rPr>
        <sz val="10"/>
        <color theme="1"/>
        <rFont val="標楷體"/>
        <family val="4"/>
        <charset val="136"/>
      </rPr>
      <t>其他不動產投資</t>
    </r>
  </si>
  <si>
    <r>
      <rPr>
        <sz val="10"/>
        <color theme="1"/>
        <rFont val="標楷體"/>
        <family val="4"/>
        <charset val="136"/>
      </rPr>
      <t>承受擔保品</t>
    </r>
  </si>
  <si>
    <r>
      <rPr>
        <sz val="10"/>
        <color theme="1"/>
        <rFont val="標楷體"/>
        <family val="4"/>
        <charset val="136"/>
      </rPr>
      <t>承受擔保品</t>
    </r>
    <r>
      <rPr>
        <sz val="10"/>
        <color theme="1"/>
        <rFont val="Book Antiqua"/>
        <family val="1"/>
      </rPr>
      <t>---</t>
    </r>
    <r>
      <rPr>
        <sz val="10"/>
        <color theme="1"/>
        <rFont val="標楷體"/>
        <family val="4"/>
        <charset val="136"/>
      </rPr>
      <t>協議取得</t>
    </r>
  </si>
  <si>
    <r>
      <rPr>
        <sz val="10"/>
        <color theme="1"/>
        <rFont val="標楷體"/>
        <family val="4"/>
        <charset val="136"/>
      </rPr>
      <t>承受擔保品</t>
    </r>
    <r>
      <rPr>
        <sz val="10"/>
        <color theme="1"/>
        <rFont val="Book Antiqua"/>
        <family val="1"/>
      </rPr>
      <t>---</t>
    </r>
    <r>
      <rPr>
        <sz val="10"/>
        <color theme="1"/>
        <rFont val="標楷體"/>
        <family val="4"/>
        <charset val="136"/>
      </rPr>
      <t>經法院拍賣取得</t>
    </r>
  </si>
  <si>
    <r>
      <rPr>
        <sz val="10"/>
        <color theme="1"/>
        <rFont val="標楷體"/>
        <family val="4"/>
        <charset val="136"/>
      </rPr>
      <t>國外投資總計</t>
    </r>
  </si>
  <si>
    <r>
      <rPr>
        <sz val="10"/>
        <color theme="1"/>
        <rFont val="標楷體"/>
        <family val="4"/>
        <charset val="136"/>
      </rPr>
      <t>國外不動產</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</si>
  <si>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國外不動產</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</si>
  <si>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五年內取自關係人之不動產總計</t>
    </r>
  </si>
  <si>
    <r>
      <rPr>
        <sz val="10"/>
        <color theme="1"/>
        <rFont val="標楷體"/>
        <family val="4"/>
        <charset val="136"/>
      </rPr>
      <t>自用不動產合計</t>
    </r>
  </si>
  <si>
    <r>
      <rPr>
        <sz val="10"/>
        <color theme="1"/>
        <rFont val="標楷體"/>
        <family val="4"/>
        <charset val="136"/>
      </rPr>
      <t>不動產合計</t>
    </r>
  </si>
  <si>
    <r>
      <rPr>
        <sz val="10"/>
        <color theme="1"/>
        <rFont val="標楷體"/>
        <family val="4"/>
        <charset val="136"/>
      </rPr>
      <t>表</t>
    </r>
    <r>
      <rPr>
        <sz val="10"/>
        <color theme="1"/>
        <rFont val="Book Antiqua"/>
        <family val="1"/>
      </rPr>
      <t>13-1</t>
    </r>
    <r>
      <rPr>
        <sz val="10"/>
        <color theme="1"/>
        <rFont val="標楷體"/>
        <family val="4"/>
        <charset val="136"/>
      </rPr>
      <t>：不動產餘額明細表</t>
    </r>
    <phoneticPr fontId="32" type="noConversion"/>
  </si>
  <si>
    <r>
      <rPr>
        <sz val="10"/>
        <color theme="1"/>
        <rFont val="標楷體"/>
        <family val="4"/>
        <charset val="136"/>
      </rPr>
      <t>種類</t>
    </r>
  </si>
  <si>
    <r>
      <rPr>
        <sz val="10"/>
        <color theme="1"/>
        <rFont val="標楷體"/>
        <family val="4"/>
        <charset val="136"/>
      </rPr>
      <t>不動產座落地點</t>
    </r>
  </si>
  <si>
    <r>
      <rPr>
        <sz val="10"/>
        <color theme="1"/>
        <rFont val="標楷體"/>
        <family val="4"/>
        <charset val="136"/>
      </rPr>
      <t>是否有收益性</t>
    </r>
  </si>
  <si>
    <r>
      <rPr>
        <sz val="10"/>
        <color theme="1"/>
        <rFont val="標楷體"/>
        <family val="4"/>
        <charset val="136"/>
      </rPr>
      <t xml:space="preserve">面積
</t>
    </r>
    <r>
      <rPr>
        <sz val="10"/>
        <color theme="1"/>
        <rFont val="Book Antiqua"/>
        <family val="1"/>
      </rPr>
      <t>(</t>
    </r>
    <r>
      <rPr>
        <sz val="10"/>
        <color theme="1"/>
        <rFont val="標楷體"/>
        <family val="4"/>
        <charset val="136"/>
      </rPr>
      <t>平方公尺</t>
    </r>
    <r>
      <rPr>
        <sz val="10"/>
        <color theme="1"/>
        <rFont val="Book Antiqua"/>
        <family val="1"/>
      </rPr>
      <t>)</t>
    </r>
  </si>
  <si>
    <r>
      <rPr>
        <sz val="10"/>
        <color theme="1"/>
        <rFont val="標楷體"/>
        <family val="4"/>
        <charset val="136"/>
      </rPr>
      <t>使用種類</t>
    </r>
  </si>
  <si>
    <r>
      <rPr>
        <sz val="10"/>
        <color theme="1"/>
        <rFont val="標楷體"/>
        <family val="4"/>
        <charset val="136"/>
      </rPr>
      <t>取得方式</t>
    </r>
  </si>
  <si>
    <r>
      <rPr>
        <sz val="10"/>
        <color theme="1"/>
        <rFont val="標楷體"/>
        <family val="4"/>
        <charset val="136"/>
      </rPr>
      <t xml:space="preserve">取得年月日
</t>
    </r>
    <r>
      <rPr>
        <sz val="10"/>
        <color theme="1"/>
        <rFont val="Book Antiqua"/>
        <family val="1"/>
      </rPr>
      <t>(</t>
    </r>
    <r>
      <rPr>
        <sz val="10"/>
        <color theme="1"/>
        <rFont val="標楷體"/>
        <family val="4"/>
        <charset val="136"/>
      </rPr>
      <t>主排序</t>
    </r>
    <r>
      <rPr>
        <sz val="10"/>
        <color theme="1"/>
        <rFont val="Book Antiqua"/>
        <family val="1"/>
      </rPr>
      <t>-</t>
    </r>
    <r>
      <rPr>
        <sz val="10"/>
        <color theme="1"/>
        <rFont val="標楷體"/>
        <family val="4"/>
        <charset val="136"/>
      </rPr>
      <t>遞減</t>
    </r>
    <r>
      <rPr>
        <sz val="10"/>
        <color theme="1"/>
        <rFont val="Book Antiqua"/>
        <family val="1"/>
      </rPr>
      <t>)</t>
    </r>
  </si>
  <si>
    <r>
      <rPr>
        <sz val="10"/>
        <color theme="1"/>
        <rFont val="標楷體"/>
        <family val="4"/>
        <charset val="136"/>
      </rPr>
      <t>出賣人</t>
    </r>
  </si>
  <si>
    <r>
      <rPr>
        <sz val="10"/>
        <color theme="1"/>
        <rFont val="標楷體"/>
        <family val="4"/>
        <charset val="136"/>
      </rPr>
      <t>持有資產幣別</t>
    </r>
  </si>
  <si>
    <r>
      <rPr>
        <sz val="10"/>
        <color theme="1"/>
        <rFont val="標楷體"/>
        <family val="4"/>
        <charset val="136"/>
      </rPr>
      <t>取得時投入成本</t>
    </r>
  </si>
  <si>
    <r>
      <rPr>
        <sz val="10"/>
        <color theme="1"/>
        <rFont val="標楷體"/>
        <family val="4"/>
        <charset val="136"/>
      </rPr>
      <t>重估增值
金額</t>
    </r>
  </si>
  <si>
    <r>
      <rPr>
        <sz val="10"/>
        <color theme="1"/>
        <rFont val="標楷體"/>
        <family val="4"/>
        <charset val="136"/>
      </rPr>
      <t>首次採用國際會計準則調整數</t>
    </r>
    <phoneticPr fontId="34" type="noConversion"/>
  </si>
  <si>
    <r>
      <rPr>
        <sz val="10"/>
        <color theme="1"/>
        <rFont val="標楷體"/>
        <family val="4"/>
        <charset val="136"/>
      </rPr>
      <t>後續衡量採用公允價值模式之影響金額</t>
    </r>
    <phoneticPr fontId="34" type="noConversion"/>
  </si>
  <si>
    <r>
      <rPr>
        <sz val="10"/>
        <color theme="1"/>
        <rFont val="標楷體"/>
        <family val="4"/>
        <charset val="136"/>
      </rPr>
      <t>帳面金額</t>
    </r>
  </si>
  <si>
    <r>
      <rPr>
        <sz val="10"/>
        <color theme="1"/>
        <rFont val="標楷體"/>
        <family val="4"/>
        <charset val="136"/>
      </rPr>
      <t>抵減項目</t>
    </r>
  </si>
  <si>
    <r>
      <rPr>
        <sz val="10"/>
        <color theme="1"/>
        <rFont val="標楷體"/>
        <family val="4"/>
        <charset val="136"/>
      </rPr>
      <t>帳面淨額</t>
    </r>
  </si>
  <si>
    <r>
      <rPr>
        <sz val="10"/>
        <color theme="1"/>
        <rFont val="標楷體"/>
        <family val="4"/>
        <charset val="136"/>
      </rPr>
      <t>後續衡量採用公允價值模式之影響淨額</t>
    </r>
    <phoneticPr fontId="34" type="noConversion"/>
  </si>
  <si>
    <r>
      <rPr>
        <sz val="10"/>
        <color theme="1"/>
        <rFont val="標楷體"/>
        <family val="4"/>
        <charset val="136"/>
      </rPr>
      <t>後續衡量未採用公允價值模式之帳面淨額</t>
    </r>
    <phoneticPr fontId="34" type="noConversion"/>
  </si>
  <si>
    <r>
      <rPr>
        <sz val="10"/>
        <color theme="1"/>
        <rFont val="標楷體"/>
        <family val="4"/>
        <charset val="136"/>
      </rPr>
      <t>取得時鑑價公司</t>
    </r>
  </si>
  <si>
    <r>
      <rPr>
        <sz val="10"/>
        <color theme="1"/>
        <rFont val="標楷體"/>
        <family val="4"/>
        <charset val="136"/>
      </rPr>
      <t>首次採用</t>
    </r>
    <r>
      <rPr>
        <sz val="10"/>
        <color theme="1"/>
        <rFont val="Book Antiqua"/>
        <family val="1"/>
      </rPr>
      <t>IFRSs</t>
    </r>
    <r>
      <rPr>
        <sz val="10"/>
        <color theme="1"/>
        <rFont val="標楷體"/>
        <family val="4"/>
        <charset val="136"/>
      </rPr>
      <t>依公允價值調整認定成本時之鑑價公司</t>
    </r>
    <phoneticPr fontId="32" type="noConversion"/>
  </si>
  <si>
    <r>
      <rPr>
        <sz val="10"/>
        <color theme="1"/>
        <rFont val="標楷體"/>
        <family val="4"/>
        <charset val="136"/>
      </rPr>
      <t>是否符合計入自有資本調整項之規範</t>
    </r>
    <phoneticPr fontId="32" type="noConversion"/>
  </si>
  <si>
    <r>
      <rPr>
        <sz val="10"/>
        <color theme="1"/>
        <rFont val="標楷體"/>
        <family val="4"/>
        <charset val="136"/>
      </rPr>
      <t>最近三個月內之鑑價結果</t>
    </r>
    <phoneticPr fontId="32" type="noConversion"/>
  </si>
  <si>
    <r>
      <rPr>
        <sz val="10"/>
        <color theme="1"/>
        <rFont val="標楷體"/>
        <family val="4"/>
        <charset val="136"/>
      </rPr>
      <t>未實現增值應負擔之稅負</t>
    </r>
    <phoneticPr fontId="32" type="noConversion"/>
  </si>
  <si>
    <r>
      <rPr>
        <sz val="10"/>
        <color theme="1"/>
        <rFont val="標楷體"/>
        <family val="4"/>
        <charset val="136"/>
      </rPr>
      <t>稅後增值或稅後減少之金額</t>
    </r>
    <phoneticPr fontId="32" type="noConversion"/>
  </si>
  <si>
    <r>
      <rPr>
        <sz val="10"/>
        <color theme="1"/>
        <rFont val="標楷體"/>
        <family val="4"/>
        <charset val="136"/>
      </rPr>
      <t>年</t>
    </r>
  </si>
  <si>
    <r>
      <rPr>
        <sz val="10"/>
        <color theme="1"/>
        <rFont val="標楷體"/>
        <family val="4"/>
        <charset val="136"/>
      </rPr>
      <t>後續衡量未採用公允價值模式</t>
    </r>
    <phoneticPr fontId="32" type="noConversion"/>
  </si>
  <si>
    <r>
      <rPr>
        <sz val="10"/>
        <color theme="1"/>
        <rFont val="標楷體"/>
        <family val="4"/>
        <charset val="136"/>
      </rPr>
      <t>後續衡量採用公允價值模式之差異數</t>
    </r>
    <phoneticPr fontId="32" type="noConversion"/>
  </si>
  <si>
    <r>
      <rPr>
        <sz val="10"/>
        <color theme="1"/>
        <rFont val="標楷體"/>
        <family val="4"/>
        <charset val="136"/>
      </rPr>
      <t>鑑價價格</t>
    </r>
  </si>
  <si>
    <r>
      <rPr>
        <sz val="10"/>
        <color theme="1"/>
        <rFont val="標楷體"/>
        <family val="4"/>
        <charset val="136"/>
      </rPr>
      <t>註：</t>
    </r>
  </si>
  <si>
    <r>
      <rPr>
        <sz val="10"/>
        <color theme="1"/>
        <rFont val="標楷體"/>
        <family val="4"/>
        <charset val="136"/>
      </rPr>
      <t>各項代號係指統一編號或洽由財團法人保險事業發展中心統一配賦</t>
    </r>
  </si>
  <si>
    <r>
      <rPr>
        <sz val="10"/>
        <color theme="1"/>
        <rFont val="標楷體"/>
        <family val="4"/>
        <charset val="136"/>
      </rPr>
      <t>種類請依序填列</t>
    </r>
    <r>
      <rPr>
        <sz val="10"/>
        <color theme="1"/>
        <rFont val="Book Antiqua"/>
        <family val="1"/>
      </rPr>
      <t>A.</t>
    </r>
    <r>
      <rPr>
        <sz val="10"/>
        <color theme="1"/>
        <rFont val="標楷體"/>
        <family val="4"/>
        <charset val="136"/>
      </rPr>
      <t>土地</t>
    </r>
    <r>
      <rPr>
        <sz val="10"/>
        <color theme="1"/>
        <rFont val="Book Antiqua"/>
        <family val="1"/>
      </rPr>
      <t>B.</t>
    </r>
    <r>
      <rPr>
        <sz val="10"/>
        <color theme="1"/>
        <rFont val="標楷體"/>
        <family val="4"/>
        <charset val="136"/>
      </rPr>
      <t>房屋</t>
    </r>
    <r>
      <rPr>
        <sz val="10"/>
        <color theme="1"/>
        <rFont val="Book Antiqua"/>
        <family val="1"/>
      </rPr>
      <t>,C.</t>
    </r>
    <r>
      <rPr>
        <sz val="10"/>
        <color theme="1"/>
        <rFont val="標楷體"/>
        <family val="4"/>
        <charset val="136"/>
      </rPr>
      <t>地上權</t>
    </r>
    <r>
      <rPr>
        <sz val="10"/>
        <color theme="1"/>
        <rFont val="Book Antiqua"/>
        <family val="1"/>
      </rPr>
      <t>,D.</t>
    </r>
    <r>
      <rPr>
        <sz val="10"/>
        <color theme="1"/>
        <rFont val="標楷體"/>
        <family val="4"/>
        <charset val="136"/>
      </rPr>
      <t>預付房地款</t>
    </r>
    <r>
      <rPr>
        <sz val="10"/>
        <color theme="1"/>
        <rFont val="Book Antiqua"/>
        <family val="1"/>
      </rPr>
      <t>,E.</t>
    </r>
    <r>
      <rPr>
        <sz val="10"/>
        <color theme="1"/>
        <rFont val="標楷體"/>
        <family val="4"/>
        <charset val="136"/>
      </rPr>
      <t>未完工程</t>
    </r>
    <r>
      <rPr>
        <sz val="10"/>
        <color theme="1"/>
        <rFont val="Book Antiqua"/>
        <family val="1"/>
      </rPr>
      <t>,F.</t>
    </r>
    <r>
      <rPr>
        <sz val="10"/>
        <color theme="1"/>
        <rFont val="標楷體"/>
        <family val="4"/>
        <charset val="136"/>
      </rPr>
      <t>其他</t>
    </r>
    <r>
      <rPr>
        <sz val="10"/>
        <color theme="1"/>
        <rFont val="Book Antiqua"/>
        <family val="1"/>
      </rPr>
      <t>,</t>
    </r>
    <r>
      <rPr>
        <sz val="10"/>
        <color theme="1"/>
        <rFont val="標楷體"/>
        <family val="4"/>
        <charset val="136"/>
      </rPr>
      <t>本表含在建工程或未完工程等項目</t>
    </r>
  </si>
  <si>
    <r>
      <rPr>
        <sz val="10"/>
        <color theme="1"/>
        <rFont val="標楷體"/>
        <family val="4"/>
        <charset val="136"/>
      </rPr>
      <t>座落地點於土地請填詳細地號，於房屋請填詳細地址及建號</t>
    </r>
    <r>
      <rPr>
        <sz val="10"/>
        <color theme="1"/>
        <rFont val="Book Antiqua"/>
        <family val="1"/>
      </rPr>
      <t xml:space="preserve"> </t>
    </r>
  </si>
  <si>
    <r>
      <rPr>
        <sz val="10"/>
        <color theme="1"/>
        <rFont val="標楷體"/>
        <family val="4"/>
        <charset val="136"/>
      </rPr>
      <t>所稱收益性係指不動產有出租事實並有現金流入者</t>
    </r>
    <r>
      <rPr>
        <sz val="10"/>
        <color theme="1"/>
        <rFont val="Book Antiqua"/>
        <family val="1"/>
      </rPr>
      <t>,</t>
    </r>
    <r>
      <rPr>
        <sz val="10"/>
        <color theme="1"/>
        <rFont val="標楷體"/>
        <family val="4"/>
        <charset val="136"/>
      </rPr>
      <t>有收益者請填</t>
    </r>
    <r>
      <rPr>
        <sz val="10"/>
        <color theme="1"/>
        <rFont val="Book Antiqua"/>
        <family val="1"/>
      </rPr>
      <t>Y,</t>
    </r>
    <r>
      <rPr>
        <sz val="10"/>
        <color theme="1"/>
        <rFont val="標楷體"/>
        <family val="4"/>
        <charset val="136"/>
      </rPr>
      <t>若無請填</t>
    </r>
    <r>
      <rPr>
        <sz val="10"/>
        <color theme="1"/>
        <rFont val="Book Antiqua"/>
        <family val="1"/>
      </rPr>
      <t>N</t>
    </r>
  </si>
  <si>
    <r>
      <rPr>
        <sz val="10"/>
        <color theme="1"/>
        <rFont val="標楷體"/>
        <family val="4"/>
        <charset val="136"/>
      </rPr>
      <t>所稱面積於土地係指土地面積</t>
    </r>
    <r>
      <rPr>
        <sz val="10"/>
        <color theme="1"/>
        <rFont val="Book Antiqua"/>
        <family val="1"/>
      </rPr>
      <t>,</t>
    </r>
    <r>
      <rPr>
        <sz val="10"/>
        <color theme="1"/>
        <rFont val="標楷體"/>
        <family val="4"/>
        <charset val="136"/>
      </rPr>
      <t>於房屋係指建物面積</t>
    </r>
    <r>
      <rPr>
        <sz val="10"/>
        <color theme="1"/>
        <rFont val="Book Antiqua"/>
        <family val="1"/>
      </rPr>
      <t>,</t>
    </r>
    <r>
      <rPr>
        <sz val="10"/>
        <color theme="1"/>
        <rFont val="標楷體"/>
        <family val="4"/>
        <charset val="136"/>
      </rPr>
      <t>單位為平方公尺</t>
    </r>
    <r>
      <rPr>
        <sz val="10"/>
        <color theme="1"/>
        <rFont val="Book Antiqua"/>
        <family val="1"/>
      </rPr>
      <t xml:space="preserve"> </t>
    </r>
  </si>
  <si>
    <r>
      <rPr>
        <sz val="10"/>
        <color theme="1"/>
        <rFont val="標楷體"/>
        <family val="4"/>
        <charset val="136"/>
      </rPr>
      <t>使用種類請依序填列</t>
    </r>
    <r>
      <rPr>
        <sz val="10"/>
        <color theme="1"/>
        <rFont val="Book Antiqua"/>
        <family val="1"/>
      </rPr>
      <t>A.</t>
    </r>
    <r>
      <rPr>
        <sz val="10"/>
        <color theme="1"/>
        <rFont val="標楷體"/>
        <family val="4"/>
        <charset val="136"/>
      </rPr>
      <t>自用</t>
    </r>
    <r>
      <rPr>
        <sz val="10"/>
        <color theme="1"/>
        <rFont val="Book Antiqua"/>
        <family val="1"/>
      </rPr>
      <t>,B.</t>
    </r>
    <r>
      <rPr>
        <sz val="10"/>
        <color theme="1"/>
        <rFont val="標楷體"/>
        <family val="4"/>
        <charset val="136"/>
      </rPr>
      <t>投資用</t>
    </r>
    <r>
      <rPr>
        <sz val="10"/>
        <color theme="1"/>
        <rFont val="Book Antiqua"/>
        <family val="1"/>
      </rPr>
      <t>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</si>
  <si>
    <r>
      <rPr>
        <sz val="10"/>
        <color theme="1"/>
        <rFont val="標楷體"/>
        <family val="4"/>
        <charset val="136"/>
      </rPr>
      <t>取得方式請填</t>
    </r>
    <r>
      <rPr>
        <sz val="10"/>
        <color theme="1"/>
        <rFont val="Book Antiqua"/>
        <family val="1"/>
      </rPr>
      <t>A.</t>
    </r>
    <r>
      <rPr>
        <sz val="10"/>
        <color theme="1"/>
        <rFont val="標楷體"/>
        <family val="4"/>
        <charset val="136"/>
      </rPr>
      <t>買賣</t>
    </r>
    <r>
      <rPr>
        <sz val="10"/>
        <color theme="1"/>
        <rFont val="Book Antiqua"/>
        <family val="1"/>
      </rPr>
      <t>,B.</t>
    </r>
    <r>
      <rPr>
        <sz val="10"/>
        <color theme="1"/>
        <rFont val="標楷體"/>
        <family val="4"/>
        <charset val="136"/>
      </rPr>
      <t>承受擔保</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</si>
  <si>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r>
      <rPr>
        <sz val="10"/>
        <color theme="1"/>
        <rFont val="Book Antiqua"/>
        <family val="1"/>
      </rPr>
      <t>,</t>
    </r>
    <r>
      <rPr>
        <sz val="10"/>
        <color theme="1"/>
        <rFont val="標楷體"/>
        <family val="4"/>
        <charset val="136"/>
      </rPr>
      <t>在建工程或未完工程請填無</t>
    </r>
  </si>
  <si>
    <r>
      <rPr>
        <sz val="10"/>
        <color theme="1"/>
        <rFont val="標楷體"/>
        <family val="4"/>
        <charset val="136"/>
      </rPr>
      <t>是否為關係人請依序填列</t>
    </r>
    <r>
      <rPr>
        <sz val="10"/>
        <color theme="1"/>
        <rFont val="Book Antiqua"/>
        <family val="1"/>
      </rPr>
      <t>A.</t>
    </r>
    <r>
      <rPr>
        <sz val="10"/>
        <color theme="1"/>
        <rFont val="標楷體"/>
        <family val="4"/>
        <charset val="136"/>
      </rPr>
      <t>否</t>
    </r>
    <r>
      <rPr>
        <sz val="10"/>
        <color theme="1"/>
        <rFont val="Book Antiqua"/>
        <family val="1"/>
      </rPr>
      <t>,B.</t>
    </r>
    <r>
      <rPr>
        <sz val="10"/>
        <color theme="1"/>
        <rFont val="標楷體"/>
        <family val="4"/>
        <charset val="136"/>
      </rPr>
      <t>關係人</t>
    </r>
    <r>
      <rPr>
        <sz val="10"/>
        <color theme="1"/>
        <rFont val="Book Antiqua"/>
        <family val="1"/>
      </rPr>
      <t>-</t>
    </r>
    <r>
      <rPr>
        <sz val="10"/>
        <color theme="1"/>
        <rFont val="標楷體"/>
        <family val="4"/>
        <charset val="136"/>
      </rPr>
      <t>非控制與從屬關係</t>
    </r>
    <r>
      <rPr>
        <sz val="10"/>
        <color theme="1"/>
        <rFont val="Book Antiqua"/>
        <family val="1"/>
      </rPr>
      <t>,C.</t>
    </r>
    <r>
      <rPr>
        <sz val="10"/>
        <color theme="1"/>
        <rFont val="標楷體"/>
        <family val="4"/>
        <charset val="136"/>
      </rPr>
      <t>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所稱關係人係依國際會計準則第二十四號公報及公司法第</t>
    </r>
    <r>
      <rPr>
        <sz val="10"/>
        <color theme="1"/>
        <rFont val="Book Antiqua"/>
        <family val="1"/>
      </rPr>
      <t>369-1~369-3</t>
    </r>
    <r>
      <rPr>
        <sz val="10"/>
        <color theme="1"/>
        <rFont val="標楷體"/>
        <family val="4"/>
        <charset val="136"/>
      </rPr>
      <t>條、第</t>
    </r>
    <r>
      <rPr>
        <sz val="10"/>
        <color theme="1"/>
        <rFont val="Book Antiqua"/>
        <family val="1"/>
      </rPr>
      <t>369-9</t>
    </r>
    <r>
      <rPr>
        <sz val="10"/>
        <color theme="1"/>
        <rFont val="標楷體"/>
        <family val="4"/>
        <charset val="136"/>
      </rPr>
      <t>條、及第</t>
    </r>
    <r>
      <rPr>
        <sz val="10"/>
        <color theme="1"/>
        <rFont val="Book Antiqua"/>
        <family val="1"/>
      </rPr>
      <t>369-11</t>
    </r>
    <r>
      <rPr>
        <sz val="10"/>
        <color theme="1"/>
        <rFont val="標楷體"/>
        <family val="4"/>
        <charset val="136"/>
      </rPr>
      <t>條及關係企業合併營業報告書關係企業合併財務報表及關係報告書編製準則第六條之規定</t>
    </r>
    <phoneticPr fontId="32" type="noConversion"/>
  </si>
  <si>
    <r>
      <rPr>
        <sz val="10"/>
        <color theme="1"/>
        <rFont val="標楷體"/>
        <family val="4"/>
        <charset val="136"/>
      </rPr>
      <t>買賣人代號請填其統一編號或身分證字號</t>
    </r>
    <r>
      <rPr>
        <sz val="10"/>
        <color theme="1"/>
        <rFont val="Book Antiqua"/>
        <family val="1"/>
      </rPr>
      <t>,</t>
    </r>
    <r>
      <rPr>
        <sz val="10"/>
        <color theme="1"/>
        <rFont val="標楷體"/>
        <family val="4"/>
        <charset val="136"/>
      </rPr>
      <t>若現所持有不動產係五年內購自於關係人者</t>
    </r>
    <r>
      <rPr>
        <sz val="10"/>
        <color theme="1"/>
        <rFont val="Book Antiqua"/>
        <family val="1"/>
      </rPr>
      <t>,</t>
    </r>
    <r>
      <rPr>
        <sz val="10"/>
        <color theme="1"/>
        <rFont val="標楷體"/>
        <family val="4"/>
        <charset val="136"/>
      </rPr>
      <t>應於出賣人欄填列出賣人名稱及代號</t>
    </r>
    <r>
      <rPr>
        <sz val="10"/>
        <color theme="1"/>
        <rFont val="Book Antiqua"/>
        <family val="1"/>
      </rPr>
      <t>,</t>
    </r>
    <r>
      <rPr>
        <sz val="10"/>
        <color theme="1"/>
        <rFont val="標楷體"/>
        <family val="4"/>
        <charset val="136"/>
      </rPr>
      <t>餘若不可考者免填</t>
    </r>
  </si>
  <si>
    <r>
      <rPr>
        <sz val="10"/>
        <color theme="1"/>
        <rFont val="標楷體"/>
        <family val="4"/>
        <charset val="136"/>
      </rPr>
      <t>本表均含國內外投資</t>
    </r>
    <r>
      <rPr>
        <sz val="10"/>
        <color theme="1"/>
        <rFont val="Book Antiqua"/>
        <family val="1"/>
      </rPr>
      <t>,</t>
    </r>
    <r>
      <rPr>
        <sz val="10"/>
        <color theme="1"/>
        <rFont val="標楷體"/>
        <family val="4"/>
        <charset val="136"/>
      </rPr>
      <t>若屬國外投資者於持有資產幣別請填該幣別代號如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，請以期末匯率換算為新台幣帳面淨額。</t>
    </r>
    <phoneticPr fontId="32" type="noConversion"/>
  </si>
  <si>
    <r>
      <rPr>
        <sz val="10"/>
        <color theme="1"/>
        <rFont val="標楷體"/>
        <family val="4"/>
        <charset val="136"/>
      </rPr>
      <t>取得時投入成本含修繕不動產之資本支出</t>
    </r>
  </si>
  <si>
    <r>
      <rPr>
        <sz val="10"/>
        <color theme="1"/>
        <rFont val="標楷體"/>
        <family val="4"/>
        <charset val="136"/>
      </rPr>
      <t>抵減項目於房屋部分指累計折舊、累計減損及建物增值稅</t>
    </r>
    <r>
      <rPr>
        <sz val="10"/>
        <color theme="1"/>
        <rFont val="Book Antiqua"/>
        <family val="1"/>
      </rPr>
      <t>,</t>
    </r>
    <r>
      <rPr>
        <sz val="10"/>
        <color theme="1"/>
        <rFont val="標楷體"/>
        <family val="4"/>
        <charset val="136"/>
      </rPr>
      <t>土地部分指土地增值稅準備及累計減損；以及不動產採用國際財務報導準則第</t>
    </r>
    <r>
      <rPr>
        <sz val="10"/>
        <color theme="1"/>
        <rFont val="Book Antiqua"/>
        <family val="1"/>
      </rPr>
      <t xml:space="preserve">16 </t>
    </r>
    <r>
      <rPr>
        <sz val="10"/>
        <color theme="1"/>
        <rFont val="標楷體"/>
        <family val="4"/>
        <charset val="136"/>
      </rPr>
      <t>號「租賃」</t>
    </r>
    <r>
      <rPr>
        <sz val="10"/>
        <color theme="1"/>
        <rFont val="Book Antiqua"/>
        <family val="1"/>
      </rPr>
      <t>(IFRS 16)</t>
    </r>
    <r>
      <rPr>
        <sz val="10"/>
        <color theme="1"/>
        <rFont val="標楷體"/>
        <family val="4"/>
        <charset val="136"/>
      </rPr>
      <t>產生之租賃負債。有「不動產採用</t>
    </r>
    <r>
      <rPr>
        <sz val="10"/>
        <color theme="1"/>
        <rFont val="Book Antiqua"/>
        <family val="1"/>
      </rPr>
      <t>IFRS16</t>
    </r>
    <r>
      <rPr>
        <sz val="10"/>
        <color theme="1"/>
        <rFont val="標楷體"/>
        <family val="4"/>
        <charset val="136"/>
      </rPr>
      <t>產生之租賃負債」抵減項目者，應於備註欄位註明抵減金額數。</t>
    </r>
    <phoneticPr fontId="30" type="noConversion"/>
  </si>
  <si>
    <r>
      <rPr>
        <sz val="10"/>
        <color theme="1"/>
        <rFont val="標楷體"/>
        <family val="4"/>
        <charset val="136"/>
      </rPr>
      <t>鑑價公司係指九十年以後取得</t>
    </r>
    <r>
      <rPr>
        <sz val="10"/>
        <color theme="1"/>
        <rFont val="Book Antiqua"/>
        <family val="1"/>
      </rPr>
      <t>(</t>
    </r>
    <r>
      <rPr>
        <sz val="10"/>
        <color theme="1"/>
        <rFont val="標楷體"/>
        <family val="4"/>
        <charset val="136"/>
      </rPr>
      <t>買賣交易</t>
    </r>
    <r>
      <rPr>
        <sz val="10"/>
        <color theme="1"/>
        <rFont val="Book Antiqua"/>
        <family val="1"/>
      </rPr>
      <t>)</t>
    </r>
    <r>
      <rPr>
        <sz val="10"/>
        <color theme="1"/>
        <rFont val="標楷體"/>
        <family val="4"/>
        <charset val="136"/>
      </rPr>
      <t>不動產時之鑑價公司</t>
    </r>
  </si>
  <si>
    <r>
      <rPr>
        <sz val="10"/>
        <color theme="1"/>
        <rFont val="標楷體"/>
        <family val="4"/>
        <charset val="136"/>
      </rPr>
      <t>第</t>
    </r>
    <r>
      <rPr>
        <sz val="10"/>
        <color theme="1"/>
        <rFont val="Book Antiqua"/>
        <family val="1"/>
      </rPr>
      <t>(28)</t>
    </r>
    <r>
      <rPr>
        <sz val="10"/>
        <color theme="1"/>
        <rFont val="標楷體"/>
        <family val="4"/>
        <charset val="136"/>
      </rPr>
      <t>欄填列為</t>
    </r>
    <r>
      <rPr>
        <sz val="10"/>
        <color theme="1"/>
        <rFont val="Book Antiqua"/>
        <family val="1"/>
      </rPr>
      <t>N</t>
    </r>
    <r>
      <rPr>
        <sz val="10"/>
        <color theme="1"/>
        <rFont val="標楷體"/>
        <family val="4"/>
        <charset val="136"/>
      </rPr>
      <t>者，得不需填列第</t>
    </r>
    <r>
      <rPr>
        <sz val="10"/>
        <color theme="1"/>
        <rFont val="Book Antiqua"/>
        <family val="1"/>
      </rPr>
      <t>(29)</t>
    </r>
    <r>
      <rPr>
        <sz val="10"/>
        <color theme="1"/>
        <rFont val="標楷體"/>
        <family val="4"/>
        <charset val="136"/>
      </rPr>
      <t>欄到</t>
    </r>
    <r>
      <rPr>
        <sz val="10"/>
        <color theme="1"/>
        <rFont val="Book Antiqua"/>
        <family val="1"/>
      </rPr>
      <t>(34)</t>
    </r>
    <r>
      <rPr>
        <sz val="10"/>
        <color theme="1"/>
        <rFont val="標楷體"/>
        <family val="4"/>
        <charset val="136"/>
      </rPr>
      <t>欄</t>
    </r>
    <phoneticPr fontId="32"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</si>
  <si>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者，其財務報表針對投資性不動產之後續衡量採公允價值模式之保險公司，於中華民國</t>
    </r>
    <r>
      <rPr>
        <sz val="10"/>
        <color theme="1"/>
        <rFont val="Book Antiqua"/>
        <family val="1"/>
      </rPr>
      <t>109</t>
    </r>
    <r>
      <rPr>
        <sz val="10"/>
        <color theme="1"/>
        <rFont val="標楷體"/>
        <family val="4"/>
        <charset val="136"/>
      </rPr>
      <t>年</t>
    </r>
    <r>
      <rPr>
        <sz val="10"/>
        <color theme="1"/>
        <rFont val="Book Antiqua"/>
        <family val="1"/>
      </rPr>
      <t>5</t>
    </r>
    <r>
      <rPr>
        <sz val="10"/>
        <color theme="1"/>
        <rFont val="標楷體"/>
        <family val="4"/>
        <charset val="136"/>
      </rPr>
      <t>月</t>
    </r>
    <r>
      <rPr>
        <sz val="10"/>
        <color theme="1"/>
        <rFont val="Book Antiqua"/>
        <family val="1"/>
      </rPr>
      <t>11</t>
    </r>
    <r>
      <rPr>
        <sz val="10"/>
        <color theme="1"/>
        <rFont val="標楷體"/>
        <family val="4"/>
        <charset val="136"/>
      </rPr>
      <t>日保險業財務報告編製準則修正發布前，原帳列投資性不動產之後續衡量已採用公允價值模式者，若市價高於帳面價值，則以稅後增值金額之</t>
    </r>
    <r>
      <rPr>
        <b/>
        <sz val="10"/>
        <color theme="1"/>
        <rFont val="Book Antiqua"/>
        <family val="1"/>
      </rPr>
      <t>85%</t>
    </r>
    <r>
      <rPr>
        <sz val="10"/>
        <color theme="1"/>
        <rFont val="標楷體"/>
        <family val="4"/>
        <charset val="136"/>
      </rPr>
      <t>列入自有資本；前述修正發布後採用公允價值模式者，以稅後增值金額之</t>
    </r>
    <r>
      <rPr>
        <sz val="10"/>
        <color theme="1"/>
        <rFont val="Book Antiqua"/>
        <family val="1"/>
      </rPr>
      <t>100%</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2" type="noConversion"/>
  </si>
  <si>
    <r>
      <rPr>
        <sz val="10"/>
        <color theme="1"/>
        <rFont val="標楷體"/>
        <family val="4"/>
        <charset val="136"/>
      </rPr>
      <t>投資性不動產之後續衡量採公允價值模式者，以第</t>
    </r>
    <r>
      <rPr>
        <sz val="10"/>
        <color theme="1"/>
        <rFont val="Book Antiqua"/>
        <family val="1"/>
      </rPr>
      <t>(20)</t>
    </r>
    <r>
      <rPr>
        <sz val="10"/>
        <color theme="1"/>
        <rFont val="標楷體"/>
        <family val="4"/>
        <charset val="136"/>
      </rPr>
      <t>欄「後續衡量採用公允價值模式之影響淨額」作為計算第</t>
    </r>
    <r>
      <rPr>
        <sz val="10"/>
        <color theme="1"/>
        <rFont val="Book Antiqua"/>
        <family val="1"/>
      </rPr>
      <t>(34)</t>
    </r>
    <r>
      <rPr>
        <sz val="10"/>
        <color theme="1"/>
        <rFont val="標楷體"/>
        <family val="4"/>
        <charset val="136"/>
      </rPr>
      <t>欄「調整後不動產稅後增值或稅後減少之金額」之依據，無需填列第</t>
    </r>
    <r>
      <rPr>
        <sz val="10"/>
        <color theme="1"/>
        <rFont val="Book Antiqua"/>
        <family val="1"/>
      </rPr>
      <t>(29)</t>
    </r>
    <r>
      <rPr>
        <sz val="10"/>
        <color theme="1"/>
        <rFont val="標楷體"/>
        <family val="4"/>
        <charset val="136"/>
      </rPr>
      <t>欄到</t>
    </r>
    <r>
      <rPr>
        <sz val="10"/>
        <color theme="1"/>
        <rFont val="Book Antiqua"/>
        <family val="1"/>
      </rPr>
      <t>(33)</t>
    </r>
    <r>
      <rPr>
        <sz val="10"/>
        <color theme="1"/>
        <rFont val="標楷體"/>
        <family val="4"/>
        <charset val="136"/>
      </rPr>
      <t>欄</t>
    </r>
    <phoneticPr fontId="32" type="noConversion"/>
  </si>
  <si>
    <r>
      <rPr>
        <sz val="12"/>
        <color theme="1"/>
        <rFont val="標楷體"/>
        <family val="4"/>
        <charset val="136"/>
      </rPr>
      <t>單位：新台幣元</t>
    </r>
    <r>
      <rPr>
        <sz val="12"/>
        <color theme="1"/>
        <rFont val="Times New Roman"/>
        <family val="1"/>
      </rPr>
      <t>, %</t>
    </r>
    <phoneticPr fontId="30"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</si>
  <si>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</si>
  <si>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</si>
  <si>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國內外投資合計</t>
    </r>
  </si>
  <si>
    <r>
      <rPr>
        <b/>
        <sz val="12"/>
        <color theme="1"/>
        <rFont val="標楷體"/>
        <family val="4"/>
        <charset val="136"/>
      </rPr>
      <t>帳載金額</t>
    </r>
    <phoneticPr fontId="32" type="noConversion"/>
  </si>
  <si>
    <r>
      <rPr>
        <b/>
        <sz val="12"/>
        <color theme="1"/>
        <rFont val="標楷體"/>
        <family val="4"/>
        <charset val="136"/>
      </rPr>
      <t>最近公允價值或淨值總金額</t>
    </r>
    <phoneticPr fontId="32"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</si>
  <si>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34"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</si>
  <si>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</si>
  <si>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</si>
  <si>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</si>
  <si>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證券種類</t>
    </r>
  </si>
  <si>
    <r>
      <rPr>
        <b/>
        <sz val="12"/>
        <color theme="1"/>
        <rFont val="標楷體"/>
        <family val="4"/>
        <charset val="136"/>
      </rPr>
      <t>發行機構</t>
    </r>
  </si>
  <si>
    <r>
      <rPr>
        <b/>
        <sz val="12"/>
        <color theme="1"/>
        <rFont val="標楷體"/>
        <family val="4"/>
        <charset val="136"/>
      </rPr>
      <t>投資型態</t>
    </r>
  </si>
  <si>
    <r>
      <rPr>
        <b/>
        <sz val="12"/>
        <color theme="1"/>
        <rFont val="標楷體"/>
        <family val="4"/>
        <charset val="136"/>
      </rPr>
      <t>持有資產幣別</t>
    </r>
  </si>
  <si>
    <r>
      <rPr>
        <b/>
        <sz val="12"/>
        <color theme="1"/>
        <rFont val="標楷體"/>
        <family val="4"/>
        <charset val="136"/>
      </rPr>
      <t>未實現損益</t>
    </r>
    <phoneticPr fontId="34" type="noConversion"/>
  </si>
  <si>
    <r>
      <rPr>
        <b/>
        <sz val="12"/>
        <color theme="1"/>
        <rFont val="標楷體"/>
        <family val="4"/>
        <charset val="136"/>
      </rPr>
      <t>帳載金額占資金總額比率</t>
    </r>
    <phoneticPr fontId="32" type="noConversion"/>
  </si>
  <si>
    <r>
      <rPr>
        <b/>
        <sz val="12"/>
        <color theme="1"/>
        <rFont val="標楷體"/>
        <family val="4"/>
        <charset val="136"/>
      </rPr>
      <t>取得成本</t>
    </r>
    <phoneticPr fontId="32" type="noConversion"/>
  </si>
  <si>
    <r>
      <rPr>
        <b/>
        <sz val="12"/>
        <color theme="1"/>
        <rFont val="標楷體"/>
        <family val="4"/>
        <charset val="136"/>
      </rPr>
      <t>是否為關係人</t>
    </r>
  </si>
  <si>
    <r>
      <rPr>
        <b/>
        <sz val="12"/>
        <color theme="1"/>
        <rFont val="標楷體"/>
        <family val="4"/>
        <charset val="136"/>
      </rPr>
      <t>非以公允價值評價者</t>
    </r>
    <phoneticPr fontId="30" type="noConversion"/>
  </si>
  <si>
    <r>
      <rPr>
        <b/>
        <sz val="12"/>
        <color theme="1"/>
        <rFont val="標楷體"/>
        <family val="4"/>
        <charset val="136"/>
      </rPr>
      <t>以公允價值評價者</t>
    </r>
  </si>
  <si>
    <r>
      <rPr>
        <sz val="12"/>
        <color theme="1"/>
        <rFont val="標楷體"/>
        <family val="4"/>
        <charset val="136"/>
      </rPr>
      <t>保管情形請填保管機構名稱及帳號，若屬集保帳戶請填集保。</t>
    </r>
    <phoneticPr fontId="32" type="noConversion"/>
  </si>
  <si>
    <r>
      <rPr>
        <sz val="12"/>
        <color theme="1"/>
        <rFont val="標楷體"/>
        <family val="4"/>
        <charset val="136"/>
      </rPr>
      <t>係指依資產負債表日前半年每日收盤價計算之算術平均價格。</t>
    </r>
    <phoneticPr fontId="32"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</si>
  <si>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</si>
  <si>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sz val="12"/>
        <color theme="1"/>
        <rFont val="標楷體"/>
        <family val="4"/>
        <charset val="136"/>
      </rPr>
      <t>單位：新台幣元</t>
    </r>
    <r>
      <rPr>
        <sz val="12"/>
        <color theme="1"/>
        <rFont val="Times New Roman"/>
        <family val="1"/>
      </rPr>
      <t>, %</t>
    </r>
    <phoneticPr fontId="32" type="noConversion"/>
  </si>
  <si>
    <r>
      <rPr>
        <sz val="12"/>
        <color theme="1"/>
        <rFont val="標楷體"/>
        <family val="4"/>
        <charset val="136"/>
      </rPr>
      <t>列號</t>
    </r>
  </si>
  <si>
    <r>
      <rPr>
        <sz val="12"/>
        <color theme="1"/>
        <rFont val="標楷體"/>
        <family val="4"/>
        <charset val="136"/>
      </rPr>
      <t>證券種類</t>
    </r>
  </si>
  <si>
    <r>
      <rPr>
        <sz val="12"/>
        <color theme="1"/>
        <rFont val="標楷體"/>
        <family val="4"/>
        <charset val="136"/>
      </rPr>
      <t>國內投資</t>
    </r>
  </si>
  <si>
    <r>
      <rPr>
        <sz val="12"/>
        <color theme="1"/>
        <rFont val="標楷體"/>
        <family val="4"/>
        <charset val="136"/>
      </rPr>
      <t>國外投資</t>
    </r>
  </si>
  <si>
    <r>
      <rPr>
        <sz val="12"/>
        <color theme="1"/>
        <rFont val="標楷體"/>
        <family val="4"/>
        <charset val="136"/>
      </rPr>
      <t>國內外投資合計</t>
    </r>
  </si>
  <si>
    <r>
      <rPr>
        <sz val="12"/>
        <color theme="1"/>
        <rFont val="標楷體"/>
        <family val="4"/>
        <charset val="136"/>
      </rPr>
      <t>備註</t>
    </r>
  </si>
  <si>
    <r>
      <rPr>
        <sz val="12"/>
        <color theme="1"/>
        <rFont val="標楷體"/>
        <family val="4"/>
        <charset val="136"/>
      </rPr>
      <t>帳載金額</t>
    </r>
    <phoneticPr fontId="32" type="noConversion"/>
  </si>
  <si>
    <r>
      <rPr>
        <sz val="12"/>
        <color theme="1"/>
        <rFont val="標楷體"/>
        <family val="4"/>
        <charset val="136"/>
      </rPr>
      <t>最近期成交日公允價值總金額</t>
    </r>
    <phoneticPr fontId="32" type="noConversion"/>
  </si>
  <si>
    <r>
      <rPr>
        <sz val="12"/>
        <color theme="1"/>
        <rFont val="標楷體"/>
        <family val="4"/>
        <charset val="136"/>
      </rPr>
      <t>未實現損益</t>
    </r>
    <r>
      <rPr>
        <sz val="12"/>
        <color theme="1"/>
        <rFont val="Times New Roman"/>
        <family val="1"/>
      </rPr>
      <t>-</t>
    </r>
    <r>
      <rPr>
        <sz val="12"/>
        <color theme="1"/>
        <rFont val="標楷體"/>
        <family val="4"/>
        <charset val="136"/>
      </rPr>
      <t>非以公允價值評價者</t>
    </r>
    <phoneticPr fontId="34" type="noConversion"/>
  </si>
  <si>
    <r>
      <rPr>
        <sz val="12"/>
        <color theme="1"/>
        <rFont val="標楷體"/>
        <family val="4"/>
        <charset val="136"/>
      </rPr>
      <t>未實現損益</t>
    </r>
    <r>
      <rPr>
        <sz val="12"/>
        <color theme="1"/>
        <rFont val="Times New Roman"/>
        <family val="1"/>
      </rPr>
      <t>-</t>
    </r>
    <r>
      <rPr>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</si>
  <si>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</si>
  <si>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32"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</si>
  <si>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32"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</si>
  <si>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32" type="noConversion"/>
  </si>
  <si>
    <r>
      <rPr>
        <sz val="12"/>
        <color theme="1"/>
        <rFont val="標楷體"/>
        <family val="4"/>
        <charset val="136"/>
      </rPr>
      <t>透過其他綜合損益按公允價值衡量之金融資產</t>
    </r>
    <phoneticPr fontId="32" type="noConversion"/>
  </si>
  <si>
    <r>
      <rPr>
        <sz val="12"/>
        <color theme="1"/>
        <rFont val="標楷體"/>
        <family val="4"/>
        <charset val="136"/>
      </rPr>
      <t>按攤銷後成本衡量之金融資產</t>
    </r>
    <phoneticPr fontId="32" type="noConversion"/>
  </si>
  <si>
    <r>
      <rPr>
        <sz val="12"/>
        <color theme="1"/>
        <rFont val="標楷體"/>
        <family val="4"/>
        <charset val="136"/>
      </rPr>
      <t>非關係人公司債投資：</t>
    </r>
    <phoneticPr fontId="32" type="noConversion"/>
  </si>
  <si>
    <r>
      <rPr>
        <sz val="12"/>
        <color theme="1"/>
        <rFont val="標楷體"/>
        <family val="4"/>
        <charset val="136"/>
      </rPr>
      <t>小計</t>
    </r>
  </si>
  <si>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</si>
  <si>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</si>
  <si>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</si>
  <si>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</si>
  <si>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</si>
  <si>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32" type="noConversion"/>
  </si>
  <si>
    <r>
      <rPr>
        <sz val="12"/>
        <color theme="1"/>
        <rFont val="標楷體"/>
        <family val="4"/>
        <charset val="136"/>
      </rPr>
      <t>有擔保公司債</t>
    </r>
    <phoneticPr fontId="32" type="noConversion"/>
  </si>
  <si>
    <r>
      <rPr>
        <sz val="12"/>
        <color theme="1"/>
        <rFont val="標楷體"/>
        <family val="4"/>
        <charset val="136"/>
      </rPr>
      <t>無擔保公司債</t>
    </r>
    <phoneticPr fontId="32" type="noConversion"/>
  </si>
  <si>
    <r>
      <rPr>
        <sz val="12"/>
        <color theme="1"/>
        <rFont val="標楷體"/>
        <family val="4"/>
        <charset val="136"/>
      </rPr>
      <t>可轉換公司債及附認股權公司債</t>
    </r>
    <phoneticPr fontId="30" type="noConversion"/>
  </si>
  <si>
    <r>
      <rPr>
        <sz val="12"/>
        <color theme="1"/>
        <rFont val="標楷體"/>
        <family val="4"/>
        <charset val="136"/>
      </rPr>
      <t>私募公司債</t>
    </r>
    <phoneticPr fontId="32" type="noConversion"/>
  </si>
  <si>
    <r>
      <rPr>
        <sz val="12"/>
        <color theme="1"/>
        <rFont val="標楷體"/>
        <family val="4"/>
        <charset val="136"/>
      </rPr>
      <t>專案運用公共及社會福利事業投資</t>
    </r>
    <phoneticPr fontId="32"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</si>
  <si>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32" type="noConversion"/>
  </si>
  <si>
    <r>
      <rPr>
        <sz val="12"/>
        <color theme="1"/>
        <rFont val="標楷體"/>
        <family val="4"/>
        <charset val="136"/>
      </rPr>
      <t>具控制與從屬關係</t>
    </r>
    <phoneticPr fontId="32" type="noConversion"/>
  </si>
  <si>
    <r>
      <rPr>
        <sz val="12"/>
        <color theme="1"/>
        <rFont val="標楷體"/>
        <family val="4"/>
        <charset val="136"/>
      </rPr>
      <t>投資保險相關事業</t>
    </r>
    <phoneticPr fontId="32" type="noConversion"/>
  </si>
  <si>
    <r>
      <rPr>
        <sz val="12"/>
        <color theme="1"/>
        <rFont val="標楷體"/>
        <family val="4"/>
        <charset val="136"/>
      </rPr>
      <t>投資非保險相關事業</t>
    </r>
    <phoneticPr fontId="32" type="noConversion"/>
  </si>
  <si>
    <r>
      <rPr>
        <sz val="12"/>
        <color theme="1"/>
        <rFont val="標楷體"/>
        <family val="4"/>
        <charset val="136"/>
      </rPr>
      <t>非控制與從屬關係</t>
    </r>
    <phoneticPr fontId="32"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</si>
  <si>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32"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</si>
  <si>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32"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</si>
  <si>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32"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</si>
  <si>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2"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</si>
  <si>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phoneticPr fontId="32" type="noConversion"/>
  </si>
  <si>
    <r>
      <rPr>
        <b/>
        <sz val="12"/>
        <color theme="1"/>
        <rFont val="標楷體"/>
        <family val="4"/>
        <charset val="136"/>
      </rPr>
      <t>是否為專案運用公共及社會福利事業投資</t>
    </r>
    <phoneticPr fontId="32" type="noConversion"/>
  </si>
  <si>
    <r>
      <rPr>
        <b/>
        <sz val="12"/>
        <color theme="1"/>
        <rFont val="標楷體"/>
        <family val="4"/>
        <charset val="136"/>
      </rPr>
      <t>是否為具資本性質債券</t>
    </r>
    <phoneticPr fontId="32" type="noConversion"/>
  </si>
  <si>
    <r>
      <rPr>
        <b/>
        <sz val="12"/>
        <color theme="1"/>
        <rFont val="標楷體"/>
        <family val="4"/>
        <charset val="136"/>
      </rPr>
      <t>是否屬實質互相投資之具資本性質債券</t>
    </r>
    <phoneticPr fontId="32" type="noConversion"/>
  </si>
  <si>
    <r>
      <rPr>
        <b/>
        <sz val="12"/>
        <color theme="1"/>
        <rFont val="標楷體"/>
        <family val="4"/>
        <charset val="136"/>
      </rPr>
      <t>發行公司隸屬國家</t>
    </r>
  </si>
  <si>
    <r>
      <rPr>
        <b/>
        <sz val="12"/>
        <color theme="1"/>
        <rFont val="標楷體"/>
        <family val="4"/>
        <charset val="136"/>
      </rPr>
      <t>是否為擔保公司債</t>
    </r>
  </si>
  <si>
    <r>
      <rPr>
        <b/>
        <sz val="12"/>
        <color theme="1"/>
        <rFont val="標楷體"/>
        <family val="4"/>
        <charset val="136"/>
      </rPr>
      <t>交易市場型態</t>
    </r>
  </si>
  <si>
    <r>
      <rPr>
        <b/>
        <sz val="12"/>
        <color theme="1"/>
        <rFont val="標楷體"/>
        <family val="4"/>
        <charset val="136"/>
      </rPr>
      <t>到期
年月日</t>
    </r>
  </si>
  <si>
    <r>
      <rPr>
        <b/>
        <sz val="12"/>
        <color theme="1"/>
        <rFont val="標楷體"/>
        <family val="4"/>
        <charset val="136"/>
      </rPr>
      <t>帳載金額占該發行公司債之公司業主權益比率</t>
    </r>
    <r>
      <rPr>
        <b/>
        <sz val="12"/>
        <color theme="1"/>
        <rFont val="Times New Roman"/>
        <family val="1"/>
      </rPr>
      <t>%</t>
    </r>
    <phoneticPr fontId="32" type="noConversion"/>
  </si>
  <si>
    <r>
      <rPr>
        <b/>
        <sz val="12"/>
        <color theme="1"/>
        <rFont val="標楷體"/>
        <family val="4"/>
        <charset val="136"/>
      </rPr>
      <t>最近期成交日公允價值總金額</t>
    </r>
    <phoneticPr fontId="32" type="noConversion"/>
  </si>
  <si>
    <r>
      <rPr>
        <b/>
        <sz val="12"/>
        <color theme="1"/>
        <rFont val="標楷體"/>
        <family val="4"/>
        <charset val="136"/>
      </rPr>
      <t>信用評等機構</t>
    </r>
  </si>
  <si>
    <r>
      <rPr>
        <b/>
        <sz val="12"/>
        <color theme="1"/>
        <rFont val="標楷體"/>
        <family val="4"/>
        <charset val="136"/>
      </rPr>
      <t>評等等級</t>
    </r>
  </si>
  <si>
    <r>
      <rPr>
        <sz val="12"/>
        <color theme="1"/>
        <rFont val="標楷體"/>
        <family val="4"/>
        <charset val="136"/>
      </rPr>
      <t>評等等級請依信用評等機構所列填寫，並以最近一年之評等資料填寫，若無信用評等者請填無。</t>
    </r>
    <phoneticPr fontId="32"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</si>
  <si>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32" type="noConversion"/>
  </si>
  <si>
    <r>
      <t>C.</t>
    </r>
    <r>
      <rPr>
        <sz val="12"/>
        <color theme="1"/>
        <rFont val="標楷體"/>
        <family val="4"/>
        <charset val="136"/>
      </rPr>
      <t>按攤銷後成本衡量之金融資產</t>
    </r>
    <r>
      <rPr>
        <sz val="12"/>
        <color theme="1"/>
        <rFont val="Times New Roman"/>
        <family val="1"/>
      </rPr>
      <t>(</t>
    </r>
    <r>
      <rPr>
        <sz val="12"/>
        <color theme="1"/>
        <rFont val="標楷體"/>
        <family val="4"/>
        <charset val="136"/>
      </rPr>
      <t>以上均含其他、存出抵繳保證金、財務危機之公司債券等</t>
    </r>
    <r>
      <rPr>
        <sz val="12"/>
        <color theme="1"/>
        <rFont val="Times New Roman"/>
        <family val="1"/>
      </rPr>
      <t>)</t>
    </r>
    <r>
      <rPr>
        <sz val="12"/>
        <color theme="1"/>
        <rFont val="標楷體"/>
        <family val="4"/>
        <charset val="136"/>
      </rPr>
      <t>。</t>
    </r>
    <phoneticPr fontId="32"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</si>
  <si>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D.</t>
    </r>
    <r>
      <rPr>
        <sz val="12"/>
        <color theme="1"/>
        <rFont val="標楷體"/>
        <family val="4"/>
        <charset val="136"/>
      </rPr>
      <t>非屬專案運用公共及社會福利事業投資。</t>
    </r>
    <phoneticPr fontId="32" type="noConversion"/>
  </si>
  <si>
    <r>
      <rPr>
        <sz val="12"/>
        <color theme="1"/>
        <rFont val="標楷體"/>
        <family val="4"/>
        <charset val="136"/>
      </rPr>
      <t>是否為擔保公司債請依序填列</t>
    </r>
    <r>
      <rPr>
        <sz val="12"/>
        <color theme="1"/>
        <rFont val="Times New Roman"/>
        <family val="1"/>
      </rPr>
      <t>A.</t>
    </r>
    <r>
      <rPr>
        <sz val="12"/>
        <color theme="1"/>
        <rFont val="標楷體"/>
        <family val="4"/>
        <charset val="136"/>
      </rPr>
      <t>有擔保公司債</t>
    </r>
    <r>
      <rPr>
        <sz val="12"/>
        <color theme="1"/>
        <rFont val="Times New Roman"/>
        <family val="1"/>
      </rPr>
      <t>, B.</t>
    </r>
    <r>
      <rPr>
        <sz val="12"/>
        <color theme="1"/>
        <rFont val="標楷體"/>
        <family val="4"/>
        <charset val="136"/>
      </rPr>
      <t>無擔保公司債</t>
    </r>
    <r>
      <rPr>
        <sz val="12"/>
        <color theme="1"/>
        <rFont val="Times New Roman"/>
        <family val="1"/>
      </rPr>
      <t>, C.</t>
    </r>
    <r>
      <rPr>
        <sz val="12"/>
        <color theme="1"/>
        <rFont val="標楷體"/>
        <family val="4"/>
        <charset val="136"/>
      </rPr>
      <t>可轉換公司債及附認股權公司債</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</si>
  <si>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32"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</si>
  <si>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2" type="noConversion"/>
  </si>
  <si>
    <r>
      <rPr>
        <sz val="12"/>
        <color theme="1"/>
        <rFont val="標楷體"/>
        <family val="4"/>
        <charset val="136"/>
      </rPr>
      <t>到期年月日填寫方式為</t>
    </r>
    <r>
      <rPr>
        <sz val="12"/>
        <color theme="1"/>
        <rFont val="Times New Roman"/>
        <family val="1"/>
      </rPr>
      <t>2005/06/25</t>
    </r>
    <r>
      <rPr>
        <sz val="12"/>
        <color theme="1"/>
        <rFont val="標楷體"/>
        <family val="4"/>
        <charset val="136"/>
      </rPr>
      <t>。</t>
    </r>
    <phoneticPr fontId="32"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</si>
  <si>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請以期末匯率換算為新台幣帳面價值，並以該發行公司債之公司股東權益金額計算其投資比率。</t>
    </r>
    <phoneticPr fontId="32" type="noConversion"/>
  </si>
  <si>
    <r>
      <rPr>
        <sz val="12"/>
        <color theme="1"/>
        <rFont val="標楷體"/>
        <family val="4"/>
        <charset val="136"/>
      </rPr>
      <t>是否為具資本性質債券，請填列</t>
    </r>
    <r>
      <rPr>
        <sz val="12"/>
        <color theme="1"/>
        <rFont val="Times New Roman"/>
        <family val="1"/>
      </rPr>
      <t>Y.</t>
    </r>
    <r>
      <rPr>
        <sz val="12"/>
        <color theme="1"/>
        <rFont val="標楷體"/>
        <family val="4"/>
        <charset val="136"/>
      </rPr>
      <t>具資本性質債券</t>
    </r>
    <r>
      <rPr>
        <sz val="12"/>
        <color theme="1"/>
        <rFont val="Times New Roman"/>
        <family val="1"/>
      </rPr>
      <t>, N.</t>
    </r>
    <r>
      <rPr>
        <sz val="12"/>
        <color theme="1"/>
        <rFont val="標楷體"/>
        <family val="4"/>
        <charset val="136"/>
      </rPr>
      <t>非具資本性質債券。</t>
    </r>
    <phoneticPr fontId="32"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</si>
  <si>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：①保險業實質互相投資於「國內保險業」發行之具資本性質債券；或②自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日起保險業新增實質互相投資於「國內金控公司」發行之具資本性質債券。</t>
    </r>
    <phoneticPr fontId="32" type="noConversion"/>
  </si>
  <si>
    <r>
      <rPr>
        <b/>
        <sz val="12"/>
        <color theme="1"/>
        <rFont val="標楷體"/>
        <family val="4"/>
        <charset val="136"/>
      </rPr>
      <t>項目</t>
    </r>
  </si>
  <si>
    <r>
      <rPr>
        <b/>
        <sz val="12"/>
        <color theme="1"/>
        <rFont val="標楷體"/>
        <family val="4"/>
        <charset val="136"/>
      </rPr>
      <t>帳載金額</t>
    </r>
    <phoneticPr fontId="30" type="noConversion"/>
  </si>
  <si>
    <r>
      <rPr>
        <b/>
        <sz val="12"/>
        <color theme="1"/>
        <rFont val="標楷體"/>
        <family val="4"/>
        <charset val="136"/>
      </rPr>
      <t>公允價值</t>
    </r>
    <phoneticPr fontId="30" type="noConversion"/>
  </si>
  <si>
    <r>
      <rPr>
        <b/>
        <sz val="12"/>
        <color theme="1"/>
        <rFont val="標楷體"/>
        <family val="4"/>
        <charset val="136"/>
      </rPr>
      <t>淨值</t>
    </r>
    <phoneticPr fontId="30" type="noConversion"/>
  </si>
  <si>
    <r>
      <rPr>
        <b/>
        <sz val="12"/>
        <color theme="1"/>
        <rFont val="標楷體"/>
        <family val="4"/>
        <charset val="136"/>
      </rPr>
      <t>帳載金額與淨值孰低</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</si>
  <si>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30" type="noConversion"/>
  </si>
  <si>
    <r>
      <rPr>
        <b/>
        <sz val="12"/>
        <color theme="1"/>
        <rFont val="標楷體"/>
        <family val="4"/>
        <charset val="136"/>
      </rPr>
      <t>一、國內非關係人股票投資</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</si>
  <si>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30"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</si>
  <si>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</si>
  <si>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</si>
  <si>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</si>
  <si>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</si>
  <si>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</si>
  <si>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</si>
  <si>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</si>
  <si>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</si>
  <si>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</si>
  <si>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</si>
  <si>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</si>
  <si>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</si>
  <si>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30" type="noConversion"/>
  </si>
  <si>
    <r>
      <t>(1)</t>
    </r>
    <r>
      <rPr>
        <sz val="12"/>
        <color theme="1"/>
        <rFont val="標楷體"/>
        <family val="4"/>
        <charset val="136"/>
      </rPr>
      <t>上市普通股</t>
    </r>
    <phoneticPr fontId="30" type="noConversion"/>
  </si>
  <si>
    <r>
      <t>a.</t>
    </r>
    <r>
      <rPr>
        <sz val="12"/>
        <color theme="1"/>
        <rFont val="標楷體"/>
        <family val="4"/>
        <charset val="136"/>
      </rPr>
      <t>擔任被投資公司之董監事</t>
    </r>
  </si>
  <si>
    <r>
      <t>b.</t>
    </r>
    <r>
      <rPr>
        <sz val="12"/>
        <color theme="1"/>
        <rFont val="標楷體"/>
        <family val="4"/>
        <charset val="136"/>
      </rPr>
      <t>未擔任被投資公司之董監事</t>
    </r>
  </si>
  <si>
    <r>
      <t>(2)</t>
    </r>
    <r>
      <rPr>
        <sz val="12"/>
        <color theme="1"/>
        <rFont val="標楷體"/>
        <family val="4"/>
        <charset val="136"/>
      </rPr>
      <t>上櫃普通股</t>
    </r>
    <phoneticPr fontId="30" type="noConversion"/>
  </si>
  <si>
    <r>
      <t>(3)</t>
    </r>
    <r>
      <rPr>
        <sz val="12"/>
        <color theme="1"/>
        <rFont val="標楷體"/>
        <family val="4"/>
        <charset val="136"/>
      </rPr>
      <t>非上市上櫃普通股</t>
    </r>
    <phoneticPr fontId="30" type="noConversion"/>
  </si>
  <si>
    <r>
      <t>(4)</t>
    </r>
    <r>
      <rPr>
        <sz val="12"/>
        <color theme="1"/>
        <rFont val="標楷體"/>
        <family val="4"/>
        <charset val="136"/>
      </rPr>
      <t>特別股</t>
    </r>
    <phoneticPr fontId="30" type="noConversion"/>
  </si>
  <si>
    <r>
      <t>a.</t>
    </r>
    <r>
      <rPr>
        <sz val="12"/>
        <color theme="1"/>
        <rFont val="標楷體"/>
        <family val="4"/>
        <charset val="136"/>
      </rPr>
      <t>固定收益特別股</t>
    </r>
  </si>
  <si>
    <r>
      <t>b.</t>
    </r>
    <r>
      <rPr>
        <sz val="12"/>
        <color theme="1"/>
        <rFont val="標楷體"/>
        <family val="4"/>
        <charset val="136"/>
      </rPr>
      <t>非固定收益特別股</t>
    </r>
  </si>
  <si>
    <r>
      <t>b-1</t>
    </r>
    <r>
      <rPr>
        <sz val="12"/>
        <color theme="1"/>
        <rFont val="標楷體"/>
        <family val="4"/>
        <charset val="136"/>
      </rPr>
      <t>上市櫃</t>
    </r>
    <phoneticPr fontId="30" type="noConversion"/>
  </si>
  <si>
    <r>
      <t>b-2</t>
    </r>
    <r>
      <rPr>
        <sz val="12"/>
        <color theme="1"/>
        <rFont val="標楷體"/>
        <family val="4"/>
        <charset val="136"/>
      </rPr>
      <t>非上市上櫃</t>
    </r>
    <phoneticPr fontId="30" type="noConversion"/>
  </si>
  <si>
    <r>
      <t>1.</t>
    </r>
    <r>
      <rPr>
        <sz val="12"/>
        <color theme="1"/>
        <rFont val="標楷體"/>
        <family val="4"/>
        <charset val="136"/>
      </rPr>
      <t>發行公司隸屬國家為已開發國家</t>
    </r>
    <phoneticPr fontId="30" type="noConversion"/>
  </si>
  <si>
    <r>
      <t>2.</t>
    </r>
    <r>
      <rPr>
        <sz val="12"/>
        <color theme="1"/>
        <rFont val="標楷體"/>
        <family val="4"/>
        <charset val="136"/>
      </rPr>
      <t>發行公司隸屬國家為新興市場</t>
    </r>
    <phoneticPr fontId="30"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</si>
  <si>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</si>
  <si>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</si>
  <si>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</si>
  <si>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</si>
  <si>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</si>
  <si>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</si>
  <si>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</si>
  <si>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</si>
  <si>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a.</t>
    </r>
    <r>
      <rPr>
        <sz val="12"/>
        <color theme="1"/>
        <rFont val="標楷體"/>
        <family val="4"/>
        <charset val="136"/>
      </rPr>
      <t>上市櫃</t>
    </r>
  </si>
  <si>
    <r>
      <t>b.</t>
    </r>
    <r>
      <rPr>
        <sz val="12"/>
        <color theme="1"/>
        <rFont val="標楷體"/>
        <family val="4"/>
        <charset val="136"/>
      </rPr>
      <t>非上市櫃</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</si>
  <si>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</si>
  <si>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</si>
  <si>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30" type="noConversion"/>
  </si>
  <si>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</si>
  <si>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</si>
  <si>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</si>
  <si>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</si>
  <si>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3</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</si>
  <si>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</si>
  <si>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</si>
  <si>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5</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</si>
  <si>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</si>
  <si>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6</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</si>
  <si>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</si>
  <si>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7</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</si>
  <si>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</si>
  <si>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8</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</si>
  <si>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</si>
  <si>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9</t>
    </r>
    <phoneticPr fontId="30"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</si>
  <si>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</si>
  <si>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</si>
  <si>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</si>
  <si>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</si>
  <si>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30"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</si>
  <si>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</si>
  <si>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</si>
  <si>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</si>
  <si>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30" type="noConversion"/>
  </si>
  <si>
    <r>
      <rPr>
        <b/>
        <sz val="12"/>
        <color theme="1"/>
        <rFont val="標楷體"/>
        <family val="4"/>
        <charset val="136"/>
      </rPr>
      <t>帳載金額</t>
    </r>
  </si>
  <si>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34" type="noConversion"/>
  </si>
  <si>
    <r>
      <rPr>
        <b/>
        <sz val="12"/>
        <color theme="1"/>
        <rFont val="標楷體"/>
        <family val="4"/>
        <charset val="136"/>
      </rPr>
      <t>採權益法評價者之
帳載金額</t>
    </r>
    <phoneticPr fontId="34" type="noConversion"/>
  </si>
  <si>
    <r>
      <rPr>
        <b/>
        <sz val="12"/>
        <color theme="1"/>
        <rFont val="標楷體"/>
        <family val="4"/>
        <charset val="136"/>
      </rPr>
      <t>上市上櫃股票</t>
    </r>
    <phoneticPr fontId="30" type="noConversion"/>
  </si>
  <si>
    <r>
      <rPr>
        <b/>
        <sz val="12"/>
        <color theme="1"/>
        <rFont val="標楷體"/>
        <family val="4"/>
        <charset val="136"/>
      </rPr>
      <t>非上市上櫃股票</t>
    </r>
    <phoneticPr fontId="30" type="noConversion"/>
  </si>
  <si>
    <r>
      <rPr>
        <b/>
        <sz val="12"/>
        <color theme="1"/>
        <rFont val="標楷體"/>
        <family val="4"/>
        <charset val="136"/>
      </rPr>
      <t>非上市上櫃股票</t>
    </r>
  </si>
  <si>
    <r>
      <rPr>
        <sz val="12"/>
        <color theme="1"/>
        <rFont val="標楷體"/>
        <family val="4"/>
        <charset val="136"/>
      </rPr>
      <t>一、國內關係人股票投資</t>
    </r>
    <phoneticPr fontId="30" type="noConversion"/>
  </si>
  <si>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</si>
  <si>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</si>
  <si>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</si>
  <si>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</si>
  <si>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</si>
  <si>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</si>
  <si>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</si>
  <si>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</si>
  <si>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其他</t>
    </r>
  </si>
  <si>
    <r>
      <rPr>
        <sz val="12"/>
        <color theme="1"/>
        <rFont val="標楷體"/>
        <family val="4"/>
        <charset val="136"/>
      </rPr>
      <t>非採權益法評價之創業投資</t>
    </r>
  </si>
  <si>
    <r>
      <rPr>
        <sz val="12"/>
        <color theme="1"/>
        <rFont val="標楷體"/>
        <family val="4"/>
        <charset val="136"/>
      </rPr>
      <t>二、國外關係人股票投資</t>
    </r>
    <phoneticPr fontId="30"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</si>
  <si>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</si>
  <si>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</si>
  <si>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</si>
  <si>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</si>
  <si>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</si>
  <si>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(4+5+6+11)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(45)</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</si>
  <si>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(14+15+16+22)</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(46)</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</si>
  <si>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(26)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(171)</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</si>
  <si>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(33)</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(186)</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</si>
  <si>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(9+19+20)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(213)</t>
    </r>
    <r>
      <rPr>
        <sz val="12"/>
        <color theme="1"/>
        <rFont val="標楷體"/>
        <family val="4"/>
        <charset val="136"/>
      </rPr>
      <t>列之金額相一致。</t>
    </r>
    <phoneticPr fontId="30"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</si>
  <si>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(10+21)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t>
    </r>
    <r>
      <rPr>
        <sz val="12"/>
        <color theme="1"/>
        <rFont val="Times New Roman"/>
        <family val="1"/>
      </rPr>
      <t>(214)</t>
    </r>
    <r>
      <rPr>
        <sz val="12"/>
        <color theme="1"/>
        <rFont val="標楷體"/>
        <family val="4"/>
        <charset val="136"/>
      </rPr>
      <t>列之金額相一致。</t>
    </r>
    <phoneticPr fontId="30" type="noConversion"/>
  </si>
  <si>
    <r>
      <rPr>
        <sz val="12"/>
        <color theme="1"/>
        <rFont val="標楷體"/>
        <family val="4"/>
        <charset val="136"/>
      </rPr>
      <t>係指依資產負債表日前半年每日收盤價計算之算術平均價格。本欄不包含採權益法評價之上市上櫃股票。</t>
    </r>
    <phoneticPr fontId="30"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</si>
  <si>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phoneticPr fontId="32"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</si>
  <si>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4)</t>
    </r>
    <phoneticPr fontId="32" type="noConversion"/>
  </si>
  <si>
    <r>
      <rPr>
        <sz val="12"/>
        <color theme="1"/>
        <rFont val="標楷體"/>
        <family val="4"/>
        <charset val="136"/>
      </rPr>
      <t>關係人股票投資</t>
    </r>
    <phoneticPr fontId="32"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</si>
  <si>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</si>
  <si>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</si>
  <si>
    <r>
      <rPr>
        <sz val="12"/>
        <color theme="1"/>
        <rFont val="標楷體"/>
        <family val="4"/>
        <charset val="136"/>
      </rPr>
      <t>透過其他綜合損益按公允價值衡量之金融資產</t>
    </r>
  </si>
  <si>
    <r>
      <rPr>
        <sz val="12"/>
        <color theme="1"/>
        <rFont val="標楷體"/>
        <family val="4"/>
        <charset val="136"/>
      </rPr>
      <t>按攤銷後成本衡量之金融資產</t>
    </r>
  </si>
  <si>
    <r>
      <rPr>
        <sz val="12"/>
        <color theme="1"/>
        <rFont val="標楷體"/>
        <family val="4"/>
        <charset val="136"/>
      </rPr>
      <t>待出售資產</t>
    </r>
  </si>
  <si>
    <r>
      <rPr>
        <sz val="12"/>
        <color theme="1"/>
        <rFont val="標楷體"/>
        <family val="4"/>
        <charset val="136"/>
      </rPr>
      <t>採用權益法之投資</t>
    </r>
  </si>
  <si>
    <r>
      <rPr>
        <sz val="12"/>
        <color theme="1"/>
        <rFont val="標楷體"/>
        <family val="4"/>
        <charset val="136"/>
      </rPr>
      <t>非關係人股票投資</t>
    </r>
    <phoneticPr fontId="32" type="noConversion"/>
  </si>
  <si>
    <r>
      <rPr>
        <sz val="12"/>
        <color theme="1"/>
        <rFont val="標楷體"/>
        <family val="4"/>
        <charset val="136"/>
      </rPr>
      <t>興櫃股票</t>
    </r>
  </si>
  <si>
    <r>
      <rPr>
        <sz val="12"/>
        <color theme="1"/>
        <rFont val="標楷體"/>
        <family val="4"/>
        <charset val="136"/>
      </rPr>
      <t>非屬上市上櫃興櫃之其他股票</t>
    </r>
  </si>
  <si>
    <r>
      <rPr>
        <sz val="12"/>
        <color theme="1"/>
        <rFont val="標楷體"/>
        <family val="4"/>
        <charset val="136"/>
      </rPr>
      <t>創業投資事業股票</t>
    </r>
  </si>
  <si>
    <r>
      <rPr>
        <sz val="12"/>
        <color theme="1"/>
        <rFont val="標楷體"/>
        <family val="4"/>
        <charset val="136"/>
      </rPr>
      <t>特別股</t>
    </r>
  </si>
  <si>
    <r>
      <rPr>
        <sz val="12"/>
        <color theme="1"/>
        <rFont val="標楷體"/>
        <family val="4"/>
        <charset val="136"/>
      </rPr>
      <t>存託憑證</t>
    </r>
    <phoneticPr fontId="32" type="noConversion"/>
  </si>
  <si>
    <r>
      <rPr>
        <sz val="12"/>
        <color theme="1"/>
        <rFont val="標楷體"/>
        <family val="4"/>
        <charset val="136"/>
      </rPr>
      <t>專案運用股票</t>
    </r>
  </si>
  <si>
    <r>
      <rPr>
        <sz val="12"/>
        <color theme="1"/>
        <rFont val="標楷體"/>
        <family val="4"/>
        <charset val="136"/>
      </rPr>
      <t>公共投資股票</t>
    </r>
  </si>
  <si>
    <r>
      <rPr>
        <sz val="12"/>
        <color theme="1"/>
        <rFont val="標楷體"/>
        <family val="4"/>
        <charset val="136"/>
      </rPr>
      <t>保險相關事業股票</t>
    </r>
  </si>
  <si>
    <r>
      <rPr>
        <sz val="12"/>
        <color theme="1"/>
        <rFont val="標楷體"/>
        <family val="4"/>
        <charset val="136"/>
      </rPr>
      <t>私募股票</t>
    </r>
  </si>
  <si>
    <r>
      <rPr>
        <sz val="12"/>
        <color theme="1"/>
        <rFont val="標楷體"/>
        <family val="4"/>
        <charset val="136"/>
      </rPr>
      <t>總計</t>
    </r>
    <r>
      <rPr>
        <sz val="12"/>
        <color theme="1"/>
        <rFont val="Times New Roman"/>
        <family val="1"/>
      </rPr>
      <t>(</t>
    </r>
    <r>
      <rPr>
        <sz val="12"/>
        <color theme="1"/>
        <rFont val="標楷體"/>
        <family val="4"/>
        <charset val="136"/>
      </rPr>
      <t>屬實質互相投資之負債型特別股</t>
    </r>
    <r>
      <rPr>
        <sz val="12"/>
        <color theme="1"/>
        <rFont val="Times New Roman"/>
        <family val="1"/>
      </rPr>
      <t>)</t>
    </r>
    <phoneticPr fontId="32" type="noConversion"/>
  </si>
  <si>
    <r>
      <rPr>
        <sz val="12"/>
        <color theme="1"/>
        <rFont val="標楷體"/>
        <family val="4"/>
        <charset val="136"/>
      </rPr>
      <t>固定收益特別股</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</si>
  <si>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3)</t>
    </r>
    <phoneticPr fontId="32" type="noConversion"/>
  </si>
  <si>
    <r>
      <rPr>
        <sz val="12"/>
        <color theme="1"/>
        <rFont val="標楷體"/>
        <family val="4"/>
        <charset val="136"/>
      </rPr>
      <t>期末股票投資餘額</t>
    </r>
    <r>
      <rPr>
        <sz val="12"/>
        <color theme="1"/>
        <rFont val="Times New Roman"/>
        <family val="1"/>
      </rPr>
      <t>(</t>
    </r>
    <r>
      <rPr>
        <sz val="12"/>
        <color theme="1"/>
        <rFont val="標楷體"/>
        <family val="4"/>
        <charset val="136"/>
      </rPr>
      <t>列</t>
    </r>
    <r>
      <rPr>
        <sz val="12"/>
        <color theme="1"/>
        <rFont val="Times New Roman"/>
        <family val="1"/>
      </rPr>
      <t>15</t>
    </r>
    <r>
      <rPr>
        <sz val="12"/>
        <color theme="1"/>
        <rFont val="標楷體"/>
        <family val="4"/>
        <charset val="136"/>
      </rPr>
      <t>或列</t>
    </r>
    <r>
      <rPr>
        <sz val="12"/>
        <color theme="1"/>
        <rFont val="Times New Roman"/>
        <family val="1"/>
      </rPr>
      <t>20)</t>
    </r>
    <phoneticPr fontId="32" type="noConversion"/>
  </si>
  <si>
    <r>
      <rPr>
        <sz val="12"/>
        <color theme="1"/>
        <rFont val="標楷體"/>
        <family val="4"/>
        <charset val="136"/>
      </rPr>
      <t>所稱保險相關事業於國內投資係指依保險法第一百四十六條之六規定之投資</t>
    </r>
    <r>
      <rPr>
        <sz val="12"/>
        <color theme="1"/>
        <rFont val="Times New Roman"/>
        <family val="1"/>
      </rPr>
      <t>,</t>
    </r>
    <r>
      <rPr>
        <sz val="12"/>
        <color theme="1"/>
        <rFont val="標楷體"/>
        <family val="4"/>
        <charset val="136"/>
      </rPr>
      <t>於國外投資係指依保險業辦理國外投資範圍及內容準則第三條第一項第三款及至大陸地區及香港澳門地區之投資。</t>
    </r>
    <phoneticPr fontId="32" type="noConversion"/>
  </si>
  <si>
    <r>
      <rPr>
        <sz val="12"/>
        <color theme="1"/>
        <rFont val="標楷體"/>
        <family val="4"/>
        <charset val="136"/>
      </rPr>
      <t>列</t>
    </r>
    <r>
      <rPr>
        <sz val="12"/>
        <color theme="1"/>
        <rFont val="Times New Roman"/>
        <family val="1"/>
      </rPr>
      <t>21</t>
    </r>
    <r>
      <rPr>
        <sz val="12"/>
        <color theme="1"/>
        <rFont val="標楷體"/>
        <family val="4"/>
        <charset val="136"/>
      </rPr>
      <t>至列</t>
    </r>
    <r>
      <rPr>
        <sz val="12"/>
        <color theme="1"/>
        <rFont val="Times New Roman"/>
        <family val="1"/>
      </rPr>
      <t>28</t>
    </r>
    <r>
      <rPr>
        <sz val="12"/>
        <color theme="1"/>
        <rFont val="標楷體"/>
        <family val="4"/>
        <charset val="136"/>
      </rPr>
      <t>屬於屬性分類無需加總。</t>
    </r>
    <phoneticPr fontId="32" type="noConversion"/>
  </si>
  <si>
    <r>
      <rPr>
        <sz val="12"/>
        <color theme="1"/>
        <rFont val="標楷體"/>
        <family val="4"/>
        <charset val="136"/>
      </rPr>
      <t>小計應與「表</t>
    </r>
    <r>
      <rPr>
        <sz val="12"/>
        <color theme="1"/>
        <rFont val="Times New Roman"/>
        <family val="1"/>
      </rPr>
      <t>10-1</t>
    </r>
    <r>
      <rPr>
        <sz val="12"/>
        <color theme="1"/>
        <rFont val="標楷體"/>
        <family val="4"/>
        <charset val="136"/>
      </rPr>
      <t>：股票餘額明細表」第</t>
    </r>
    <r>
      <rPr>
        <sz val="12"/>
        <color theme="1"/>
        <rFont val="Times New Roman"/>
        <family val="1"/>
      </rPr>
      <t>(11)</t>
    </r>
    <r>
      <rPr>
        <sz val="12"/>
        <color theme="1"/>
        <rFont val="標楷體"/>
        <family val="4"/>
        <charset val="136"/>
      </rPr>
      <t>欄填列為</t>
    </r>
    <r>
      <rPr>
        <sz val="12"/>
        <color theme="1"/>
        <rFont val="Times New Roman"/>
        <family val="1"/>
      </rPr>
      <t>"A"</t>
    </r>
    <r>
      <rPr>
        <sz val="12"/>
        <color theme="1"/>
        <rFont val="標楷體"/>
        <family val="4"/>
        <charset val="136"/>
      </rPr>
      <t>者之期末帳載金額合計數相同。</t>
    </r>
    <phoneticPr fontId="32"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</si>
  <si>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報表時，大陸地區之分公司、子公司或參股投資之大陸地區保險業應填列於「國外保險相關事業」相關欄位。</t>
    </r>
    <phoneticPr fontId="32"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</si>
  <si>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32"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</si>
  <si>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2" type="noConversion"/>
  </si>
  <si>
    <r>
      <rPr>
        <b/>
        <sz val="12"/>
        <color theme="1"/>
        <rFont val="標楷體"/>
        <family val="4"/>
        <charset val="136"/>
      </rPr>
      <t>是否為專案運用公共及社會福利事業投資及投資保險相關事業</t>
    </r>
    <phoneticPr fontId="32" type="noConversion"/>
  </si>
  <si>
    <r>
      <rPr>
        <b/>
        <sz val="12"/>
        <color theme="1"/>
        <rFont val="標楷體"/>
        <family val="4"/>
        <charset val="136"/>
      </rPr>
      <t>是否屬實質互相投資之負債型特別股</t>
    </r>
    <phoneticPr fontId="32" type="noConversion"/>
  </si>
  <si>
    <r>
      <rPr>
        <b/>
        <sz val="12"/>
        <color theme="1"/>
        <rFont val="標楷體"/>
        <family val="4"/>
        <charset val="136"/>
      </rPr>
      <t>占有董監事席次比率</t>
    </r>
  </si>
  <si>
    <r>
      <rPr>
        <b/>
        <sz val="12"/>
        <color theme="1"/>
        <rFont val="標楷體"/>
        <family val="4"/>
        <charset val="136"/>
      </rPr>
      <t>持有股數</t>
    </r>
  </si>
  <si>
    <r>
      <rPr>
        <b/>
        <sz val="12"/>
        <color theme="1"/>
        <rFont val="標楷體"/>
        <family val="4"/>
        <charset val="136"/>
      </rPr>
      <t>持股比率</t>
    </r>
    <r>
      <rPr>
        <b/>
        <sz val="12"/>
        <color theme="1"/>
        <rFont val="Times New Roman"/>
        <family val="1"/>
      </rPr>
      <t>%</t>
    </r>
  </si>
  <si>
    <r>
      <rPr>
        <b/>
        <sz val="12"/>
        <color theme="1"/>
        <rFont val="標楷體"/>
        <family val="4"/>
        <charset val="136"/>
      </rPr>
      <t>最近公允價值</t>
    </r>
    <r>
      <rPr>
        <b/>
        <sz val="12"/>
        <color theme="1"/>
        <rFont val="Times New Roman"/>
        <family val="1"/>
      </rPr>
      <t>/</t>
    </r>
    <r>
      <rPr>
        <b/>
        <sz val="12"/>
        <color theme="1"/>
        <rFont val="標楷體"/>
        <family val="4"/>
        <charset val="136"/>
      </rPr>
      <t>淨值總金額</t>
    </r>
    <r>
      <rPr>
        <b/>
        <sz val="12"/>
        <color theme="1"/>
        <rFont val="Times New Roman"/>
        <family val="1"/>
      </rPr>
      <t>(</t>
    </r>
    <r>
      <rPr>
        <b/>
        <sz val="12"/>
        <color theme="1"/>
        <rFont val="標楷體"/>
        <family val="4"/>
        <charset val="136"/>
      </rPr>
      <t>註</t>
    </r>
    <r>
      <rPr>
        <b/>
        <sz val="12"/>
        <color theme="1"/>
        <rFont val="Times New Roman"/>
        <family val="1"/>
      </rPr>
      <t>:</t>
    </r>
    <r>
      <rPr>
        <b/>
        <sz val="12"/>
        <color theme="1"/>
        <rFont val="標楷體"/>
        <family val="4"/>
        <charset val="136"/>
      </rPr>
      <t>未上市櫃股填淨值</t>
    </r>
    <r>
      <rPr>
        <b/>
        <sz val="12"/>
        <color theme="1"/>
        <rFont val="Times New Roman"/>
        <family val="1"/>
      </rPr>
      <t>)</t>
    </r>
    <phoneticPr fontId="32" type="noConversion"/>
  </si>
  <si>
    <r>
      <rPr>
        <b/>
        <sz val="12"/>
        <color theme="1"/>
        <rFont val="標楷體"/>
        <family val="4"/>
        <charset val="136"/>
      </rPr>
      <t>帳載金額占資金總額比率％</t>
    </r>
    <phoneticPr fontId="32"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</si>
  <si>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18)</t>
    </r>
    <phoneticPr fontId="32" type="noConversion"/>
  </si>
  <si>
    <r>
      <rPr>
        <b/>
        <sz val="12"/>
        <color theme="1"/>
        <rFont val="標楷體"/>
        <family val="4"/>
        <charset val="136"/>
      </rPr>
      <t>本期增加</t>
    </r>
  </si>
  <si>
    <r>
      <rPr>
        <b/>
        <sz val="12"/>
        <color theme="1"/>
        <rFont val="標楷體"/>
        <family val="4"/>
        <charset val="136"/>
      </rPr>
      <t>本期減少</t>
    </r>
  </si>
  <si>
    <r>
      <rPr>
        <b/>
        <sz val="12"/>
        <color theme="1"/>
        <rFont val="標楷體"/>
        <family val="4"/>
        <charset val="136"/>
      </rPr>
      <t xml:space="preserve">期末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</si>
  <si>
    <r>
      <rPr>
        <sz val="12"/>
        <color theme="1"/>
        <rFont val="標楷體"/>
        <family val="4"/>
        <charset val="136"/>
      </rPr>
      <t>發行公司代號請洽由財團法人保險事業發展中心統一配賦。</t>
    </r>
    <phoneticPr fontId="32"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</si>
  <si>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2"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</si>
  <si>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2"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</si>
  <si>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30"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</si>
  <si>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32"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</si>
  <si>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32"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</si>
  <si>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32"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</si>
  <si>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2"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</si>
  <si>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32"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</si>
  <si>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32" type="noConversion"/>
  </si>
  <si>
    <t>特別股持股比率為持有該發行公司特別股股數/發行公司已發行股份總數計算之比率；所稱特別股已發行股份總數包含普通股與特別股。</t>
    <phoneticPr fontId="32"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</si>
  <si>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</si>
  <si>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2"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</si>
  <si>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32" type="noConversion"/>
  </si>
  <si>
    <r>
      <rPr>
        <sz val="12"/>
        <color theme="1"/>
        <rFont val="標楷體"/>
        <family val="4"/>
        <charset val="136"/>
      </rPr>
      <t>固定收益特別股係指同時符合下列五條件者：①有固定到期日②固定股利率③可累積④到期償還本金⑤非強制轉換。</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</si>
  <si>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32"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</si>
  <si>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</si>
  <si>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t xml:space="preserve"> </t>
    </r>
    <r>
      <rPr>
        <b/>
        <sz val="12"/>
        <color theme="1"/>
        <rFont val="標楷體"/>
        <family val="4"/>
        <charset val="136"/>
      </rPr>
      <t>國內外投資合計</t>
    </r>
    <r>
      <rPr>
        <b/>
        <sz val="12"/>
        <color theme="1"/>
        <rFont val="Times New Roman"/>
        <family val="1"/>
      </rPr>
      <t xml:space="preserve">     </t>
    </r>
  </si>
  <si>
    <r>
      <rPr>
        <b/>
        <sz val="12"/>
        <color theme="1"/>
        <rFont val="標楷體"/>
        <family val="4"/>
        <charset val="136"/>
      </rPr>
      <t>占資金總額比率</t>
    </r>
  </si>
  <si>
    <r>
      <rPr>
        <sz val="12"/>
        <color theme="1"/>
        <rFont val="標楷體"/>
        <family val="4"/>
        <charset val="136"/>
      </rPr>
      <t>總計</t>
    </r>
    <r>
      <rPr>
        <sz val="12"/>
        <color theme="1"/>
        <rFont val="Times New Roman"/>
        <family val="1"/>
      </rPr>
      <t>(</t>
    </r>
    <r>
      <rPr>
        <sz val="12"/>
        <color theme="1"/>
        <rFont val="標楷體"/>
        <family val="4"/>
        <charset val="136"/>
      </rPr>
      <t>種類</t>
    </r>
    <r>
      <rPr>
        <sz val="12"/>
        <color theme="1"/>
        <rFont val="Times New Roman"/>
        <family val="1"/>
      </rPr>
      <t>)</t>
    </r>
  </si>
  <si>
    <r>
      <rPr>
        <sz val="12"/>
        <color theme="1"/>
        <rFont val="標楷體"/>
        <family val="4"/>
        <charset val="136"/>
      </rPr>
      <t>金融債券</t>
    </r>
  </si>
  <si>
    <r>
      <rPr>
        <sz val="12"/>
        <color theme="1"/>
        <rFont val="標楷體"/>
        <family val="4"/>
        <charset val="136"/>
      </rPr>
      <t>可轉讓定期存單</t>
    </r>
  </si>
  <si>
    <r>
      <rPr>
        <sz val="12"/>
        <color theme="1"/>
        <rFont val="標楷體"/>
        <family val="4"/>
        <charset val="136"/>
      </rPr>
      <t>銀行承兌匯票</t>
    </r>
  </si>
  <si>
    <r>
      <rPr>
        <sz val="12"/>
        <color theme="1"/>
        <rFont val="標楷體"/>
        <family val="4"/>
        <charset val="136"/>
      </rPr>
      <t>金融機構保證商業本票</t>
    </r>
  </si>
  <si>
    <r>
      <rPr>
        <sz val="12"/>
        <color theme="1"/>
        <rFont val="標楷體"/>
        <family val="4"/>
        <charset val="136"/>
      </rPr>
      <t>附買回條件債券投資</t>
    </r>
    <phoneticPr fontId="30" type="noConversion"/>
  </si>
  <si>
    <r>
      <rPr>
        <sz val="12"/>
        <color theme="1"/>
        <rFont val="標楷體"/>
        <family val="4"/>
        <charset val="136"/>
      </rPr>
      <t>結構型債券</t>
    </r>
  </si>
  <si>
    <r>
      <rPr>
        <sz val="12"/>
        <color theme="1"/>
        <rFont val="標楷體"/>
        <family val="4"/>
        <charset val="136"/>
      </rPr>
      <t>金融資產受益證券及資產基礎證券</t>
    </r>
    <phoneticPr fontId="30" type="noConversion"/>
  </si>
  <si>
    <r>
      <rPr>
        <sz val="12"/>
        <color theme="1"/>
        <rFont val="標楷體"/>
        <family val="4"/>
        <charset val="136"/>
      </rPr>
      <t>不動產資產信託受益證券</t>
    </r>
    <r>
      <rPr>
        <sz val="12"/>
        <color theme="1"/>
        <rFont val="Times New Roman"/>
        <family val="1"/>
      </rPr>
      <t>(REAT)</t>
    </r>
    <phoneticPr fontId="30" type="noConversion"/>
  </si>
  <si>
    <r>
      <rPr>
        <sz val="12"/>
        <color theme="1"/>
        <rFont val="標楷體"/>
        <family val="4"/>
        <charset val="136"/>
      </rPr>
      <t>不動產投資信託受益證券</t>
    </r>
    <r>
      <rPr>
        <sz val="12"/>
        <color theme="1"/>
        <rFont val="Times New Roman"/>
        <family val="1"/>
      </rPr>
      <t>(REIT)</t>
    </r>
  </si>
  <si>
    <r>
      <rPr>
        <sz val="12"/>
        <color theme="1"/>
        <rFont val="標楷體"/>
        <family val="4"/>
        <charset val="136"/>
      </rPr>
      <t>信託受益權</t>
    </r>
  </si>
  <si>
    <r>
      <t>ETF-</t>
    </r>
    <r>
      <rPr>
        <sz val="12"/>
        <color theme="1"/>
        <rFont val="標楷體"/>
        <family val="4"/>
        <charset val="136"/>
      </rPr>
      <t>股票型</t>
    </r>
    <phoneticPr fontId="32" type="noConversion"/>
  </si>
  <si>
    <r>
      <t>ETF-</t>
    </r>
    <r>
      <rPr>
        <sz val="12"/>
        <color theme="1"/>
        <rFont val="標楷體"/>
        <family val="4"/>
        <charset val="136"/>
      </rPr>
      <t>債券型</t>
    </r>
    <phoneticPr fontId="32" type="noConversion"/>
  </si>
  <si>
    <r>
      <t>ETF-</t>
    </r>
    <r>
      <rPr>
        <sz val="12"/>
        <color theme="1"/>
        <rFont val="標楷體"/>
        <family val="4"/>
        <charset val="136"/>
      </rPr>
      <t>其他型</t>
    </r>
    <phoneticPr fontId="32" type="noConversion"/>
  </si>
  <si>
    <r>
      <rPr>
        <sz val="12"/>
        <color theme="1"/>
        <rFont val="標楷體"/>
        <family val="4"/>
        <charset val="136"/>
      </rPr>
      <t>發行機構為關係人之金融債券交易</t>
    </r>
  </si>
  <si>
    <r>
      <rPr>
        <sz val="12"/>
        <color theme="1"/>
        <rFont val="標楷體"/>
        <family val="4"/>
        <charset val="136"/>
      </rPr>
      <t>發行機構為非關係人之金融債券交易</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</si>
  <si>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1)</t>
    </r>
    <phoneticPr fontId="32" type="noConversion"/>
  </si>
  <si>
    <r>
      <rPr>
        <sz val="12"/>
        <color theme="1"/>
        <rFont val="標楷體"/>
        <family val="4"/>
        <charset val="136"/>
      </rPr>
      <t>合</t>
    </r>
    <r>
      <rPr>
        <sz val="12"/>
        <color theme="1"/>
        <rFont val="Times New Roman"/>
        <family val="1"/>
      </rPr>
      <t xml:space="preserve">              </t>
    </r>
    <r>
      <rPr>
        <sz val="12"/>
        <color theme="1"/>
        <rFont val="標楷體"/>
        <family val="4"/>
        <charset val="136"/>
      </rPr>
      <t>計</t>
    </r>
    <r>
      <rPr>
        <sz val="12"/>
        <color theme="1"/>
        <rFont val="Times New Roman"/>
        <family val="1"/>
      </rPr>
      <t>(</t>
    </r>
    <r>
      <rPr>
        <sz val="12"/>
        <color theme="1"/>
        <rFont val="標楷體"/>
        <family val="4"/>
        <charset val="136"/>
      </rPr>
      <t>列</t>
    </r>
    <r>
      <rPr>
        <sz val="12"/>
        <color theme="1"/>
        <rFont val="Times New Roman"/>
        <family val="1"/>
      </rPr>
      <t>1-15)</t>
    </r>
    <phoneticPr fontId="32" type="noConversion"/>
  </si>
  <si>
    <r>
      <rPr>
        <sz val="12"/>
        <color theme="1"/>
        <rFont val="標楷體"/>
        <family val="4"/>
        <charset val="136"/>
      </rPr>
      <t>小計應與「表</t>
    </r>
    <r>
      <rPr>
        <sz val="12"/>
        <color theme="1"/>
        <rFont val="Times New Roman"/>
        <family val="1"/>
      </rPr>
      <t>09-1</t>
    </r>
    <r>
      <rPr>
        <sz val="12"/>
        <color theme="1"/>
        <rFont val="標楷體"/>
        <family val="4"/>
        <charset val="136"/>
      </rPr>
      <t>：金融債券及其他經主管機關核准購買之有價證券餘額明細表」第</t>
    </r>
    <r>
      <rPr>
        <sz val="12"/>
        <color theme="1"/>
        <rFont val="Times New Roman"/>
        <family val="1"/>
      </rPr>
      <t>(8)</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2" type="noConversion"/>
  </si>
  <si>
    <r>
      <rPr>
        <b/>
        <sz val="12"/>
        <color theme="1"/>
        <rFont val="標楷體"/>
        <family val="4"/>
        <charset val="136"/>
      </rPr>
      <t>證券順位</t>
    </r>
  </si>
  <si>
    <r>
      <rPr>
        <b/>
        <sz val="12"/>
        <color theme="1"/>
        <rFont val="標楷體"/>
        <family val="4"/>
        <charset val="136"/>
      </rPr>
      <t>是否為具資本性質債券</t>
    </r>
    <phoneticPr fontId="30" type="noConversion"/>
  </si>
  <si>
    <r>
      <rPr>
        <b/>
        <sz val="12"/>
        <color theme="1"/>
        <rFont val="標楷體"/>
        <family val="4"/>
        <charset val="136"/>
      </rPr>
      <t>證券信用評等</t>
    </r>
  </si>
  <si>
    <r>
      <rPr>
        <b/>
        <sz val="12"/>
        <color theme="1"/>
        <rFont val="標楷體"/>
        <family val="4"/>
        <charset val="136"/>
      </rPr>
      <t>保證機構</t>
    </r>
  </si>
  <si>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2" type="noConversion"/>
  </si>
  <si>
    <r>
      <rPr>
        <b/>
        <sz val="12"/>
        <color theme="1"/>
        <rFont val="標楷體"/>
        <family val="4"/>
        <charset val="136"/>
      </rPr>
      <t>帳載金額占資金總額比率</t>
    </r>
    <r>
      <rPr>
        <b/>
        <sz val="12"/>
        <color theme="1"/>
        <rFont val="Times New Roman"/>
        <family val="1"/>
      </rPr>
      <t>%</t>
    </r>
    <phoneticPr fontId="32" type="noConversion"/>
  </si>
  <si>
    <r>
      <t xml:space="preserve"> </t>
    </r>
    <r>
      <rPr>
        <b/>
        <sz val="12"/>
        <color theme="1"/>
        <rFont val="標楷體"/>
        <family val="4"/>
        <charset val="136"/>
      </rPr>
      <t>取得成本</t>
    </r>
    <phoneticPr fontId="32"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</si>
  <si>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15)</t>
    </r>
    <phoneticPr fontId="32" type="noConversion"/>
  </si>
  <si>
    <r>
      <rPr>
        <sz val="12"/>
        <color theme="1"/>
        <rFont val="標楷體"/>
        <family val="4"/>
        <charset val="136"/>
      </rPr>
      <t>證券種類小計</t>
    </r>
    <phoneticPr fontId="34" type="noConversion"/>
  </si>
  <si>
    <r>
      <rPr>
        <sz val="12"/>
        <color theme="1"/>
        <rFont val="標楷體"/>
        <family val="4"/>
        <charset val="136"/>
      </rPr>
      <t>證券種類請填列</t>
    </r>
    <r>
      <rPr>
        <sz val="12"/>
        <color theme="1"/>
        <rFont val="Times New Roman"/>
        <family val="1"/>
      </rPr>
      <t>A.</t>
    </r>
    <r>
      <rPr>
        <sz val="12"/>
        <color theme="1"/>
        <rFont val="標楷體"/>
        <family val="4"/>
        <charset val="136"/>
      </rPr>
      <t>金融債券</t>
    </r>
    <r>
      <rPr>
        <sz val="12"/>
        <color theme="1"/>
        <rFont val="Times New Roman"/>
        <family val="1"/>
      </rPr>
      <t>, B.</t>
    </r>
    <r>
      <rPr>
        <sz val="12"/>
        <color theme="1"/>
        <rFont val="標楷體"/>
        <family val="4"/>
        <charset val="136"/>
      </rPr>
      <t>可轉讓定期存單</t>
    </r>
    <r>
      <rPr>
        <sz val="12"/>
        <color theme="1"/>
        <rFont val="Times New Roman"/>
        <family val="1"/>
      </rPr>
      <t>, C.</t>
    </r>
    <r>
      <rPr>
        <sz val="12"/>
        <color theme="1"/>
        <rFont val="標楷體"/>
        <family val="4"/>
        <charset val="136"/>
      </rPr>
      <t>銀行承兌匯票</t>
    </r>
    <r>
      <rPr>
        <sz val="12"/>
        <color theme="1"/>
        <rFont val="Times New Roman"/>
        <family val="1"/>
      </rPr>
      <t>, D.</t>
    </r>
    <r>
      <rPr>
        <sz val="12"/>
        <color theme="1"/>
        <rFont val="標楷體"/>
        <family val="4"/>
        <charset val="136"/>
      </rPr>
      <t>金融機構保證商業本票</t>
    </r>
    <r>
      <rPr>
        <sz val="12"/>
        <color theme="1"/>
        <rFont val="Times New Roman"/>
        <family val="1"/>
      </rPr>
      <t>, E.</t>
    </r>
    <r>
      <rPr>
        <sz val="12"/>
        <color theme="1"/>
        <rFont val="標楷體"/>
        <family val="4"/>
        <charset val="136"/>
      </rPr>
      <t>附買回條件債券投資</t>
    </r>
    <r>
      <rPr>
        <sz val="12"/>
        <color theme="1"/>
        <rFont val="Times New Roman"/>
        <family val="1"/>
      </rPr>
      <t>, F.</t>
    </r>
    <r>
      <rPr>
        <sz val="12"/>
        <color theme="1"/>
        <rFont val="標楷體"/>
        <family val="4"/>
        <charset val="136"/>
      </rPr>
      <t>結構型債券</t>
    </r>
    <r>
      <rPr>
        <sz val="12"/>
        <color theme="1"/>
        <rFont val="Times New Roman"/>
        <family val="1"/>
      </rPr>
      <t>, G.</t>
    </r>
    <r>
      <rPr>
        <sz val="12"/>
        <color theme="1"/>
        <rFont val="標楷體"/>
        <family val="4"/>
        <charset val="136"/>
      </rPr>
      <t>金融資產受益證券及資產基礎證券</t>
    </r>
    <r>
      <rPr>
        <sz val="12"/>
        <color theme="1"/>
        <rFont val="Times New Roman"/>
        <family val="1"/>
      </rPr>
      <t xml:space="preserve">, </t>
    </r>
    <phoneticPr fontId="30" type="noConversion"/>
  </si>
  <si>
    <r>
      <t>H1.</t>
    </r>
    <r>
      <rPr>
        <sz val="12"/>
        <color theme="1"/>
        <rFont val="標楷體"/>
        <family val="4"/>
        <charset val="136"/>
      </rPr>
      <t>國內不動產資產信託受益證券</t>
    </r>
    <r>
      <rPr>
        <sz val="12"/>
        <color theme="1"/>
        <rFont val="Times New Roman"/>
        <family val="1"/>
      </rPr>
      <t>(REAT), H2.</t>
    </r>
    <r>
      <rPr>
        <sz val="12"/>
        <color theme="1"/>
        <rFont val="標楷體"/>
        <family val="4"/>
        <charset val="136"/>
      </rPr>
      <t>國內不動產投資信託受益證券</t>
    </r>
    <r>
      <rPr>
        <sz val="12"/>
        <color theme="1"/>
        <rFont val="Times New Roman"/>
        <family val="1"/>
      </rPr>
      <t>(REIT), I.</t>
    </r>
    <r>
      <rPr>
        <sz val="12"/>
        <color theme="1"/>
        <rFont val="標楷體"/>
        <family val="4"/>
        <charset val="136"/>
      </rPr>
      <t>信託受益權</t>
    </r>
    <r>
      <rPr>
        <sz val="12"/>
        <color theme="1"/>
        <rFont val="Times New Roman"/>
        <family val="1"/>
      </rPr>
      <t>(</t>
    </r>
    <r>
      <rPr>
        <sz val="12"/>
        <color theme="1"/>
        <rFont val="標楷體"/>
        <family val="4"/>
        <charset val="136"/>
      </rPr>
      <t>指主管機關依保險法第一百四十六條第一項第八款核准之資金運用</t>
    </r>
    <r>
      <rPr>
        <sz val="12"/>
        <color theme="1"/>
        <rFont val="Times New Roman"/>
        <family val="1"/>
      </rPr>
      <t>), J.ETF-</t>
    </r>
    <r>
      <rPr>
        <sz val="12"/>
        <color theme="1"/>
        <rFont val="標楷體"/>
        <family val="4"/>
        <charset val="136"/>
      </rPr>
      <t>股票型</t>
    </r>
    <r>
      <rPr>
        <sz val="12"/>
        <color theme="1"/>
        <rFont val="Times New Roman"/>
        <family val="1"/>
      </rPr>
      <t>, K.ETF-</t>
    </r>
    <r>
      <rPr>
        <sz val="12"/>
        <color theme="1"/>
        <rFont val="標楷體"/>
        <family val="4"/>
        <charset val="136"/>
      </rPr>
      <t>債券型</t>
    </r>
    <r>
      <rPr>
        <sz val="12"/>
        <color theme="1"/>
        <rFont val="Times New Roman"/>
        <family val="1"/>
      </rPr>
      <t>, L.ETF-</t>
    </r>
    <r>
      <rPr>
        <sz val="12"/>
        <color theme="1"/>
        <rFont val="標楷體"/>
        <family val="4"/>
        <charset val="136"/>
      </rPr>
      <t>其他型</t>
    </r>
    <r>
      <rPr>
        <sz val="12"/>
        <color theme="1"/>
        <rFont val="Times New Roman"/>
        <family val="1"/>
      </rPr>
      <t>, M.ETN, N.</t>
    </r>
    <r>
      <rPr>
        <sz val="12"/>
        <color theme="1"/>
        <rFont val="標楷體"/>
        <family val="4"/>
        <charset val="136"/>
      </rPr>
      <t>其他。</t>
    </r>
    <phoneticPr fontId="30" type="noConversion"/>
  </si>
  <si>
    <r>
      <rPr>
        <sz val="12"/>
        <color theme="1"/>
        <rFont val="標楷體"/>
        <family val="4"/>
        <charset val="136"/>
      </rPr>
      <t>另依台財保字第</t>
    </r>
    <r>
      <rPr>
        <sz val="12"/>
        <color theme="1"/>
        <rFont val="Times New Roman"/>
        <family val="1"/>
      </rPr>
      <t xml:space="preserve"> 0900700387 </t>
    </r>
    <r>
      <rPr>
        <sz val="12"/>
        <color theme="1"/>
        <rFont val="標楷體"/>
        <family val="4"/>
        <charset val="136"/>
      </rPr>
      <t>號函投資之台灣存託憑證請填列於「表</t>
    </r>
    <r>
      <rPr>
        <sz val="12"/>
        <color theme="1"/>
        <rFont val="Times New Roman"/>
        <family val="1"/>
      </rPr>
      <t>10-1</t>
    </r>
    <r>
      <rPr>
        <sz val="12"/>
        <color theme="1"/>
        <rFont val="標楷體"/>
        <family val="4"/>
        <charset val="136"/>
      </rPr>
      <t>：股票餘額明細表」。</t>
    </r>
    <phoneticPr fontId="30" type="noConversion"/>
  </si>
  <si>
    <r>
      <rPr>
        <sz val="12"/>
        <color theme="1"/>
        <rFont val="標楷體"/>
        <family val="4"/>
        <charset val="136"/>
      </rPr>
      <t>債券順位若屬第一順位請填</t>
    </r>
    <r>
      <rPr>
        <sz val="12"/>
        <color theme="1"/>
        <rFont val="Times New Roman"/>
        <family val="1"/>
      </rPr>
      <t>1</t>
    </r>
    <r>
      <rPr>
        <sz val="12"/>
        <color theme="1"/>
        <rFont val="標楷體"/>
        <family val="4"/>
        <charset val="136"/>
      </rPr>
      <t>，若屬第二順位請填</t>
    </r>
    <r>
      <rPr>
        <sz val="12"/>
        <color theme="1"/>
        <rFont val="Times New Roman"/>
        <family val="1"/>
      </rPr>
      <t>2</t>
    </r>
    <r>
      <rPr>
        <sz val="12"/>
        <color theme="1"/>
        <rFont val="標楷體"/>
        <family val="4"/>
        <charset val="136"/>
      </rPr>
      <t>，以下類推</t>
    </r>
    <r>
      <rPr>
        <sz val="12"/>
        <color theme="1"/>
        <rFont val="Times New Roman"/>
        <family val="1"/>
      </rPr>
      <t>,</t>
    </r>
    <r>
      <rPr>
        <sz val="12"/>
        <color theme="1"/>
        <rFont val="標楷體"/>
        <family val="4"/>
        <charset val="136"/>
      </rPr>
      <t>無順位者請填無。</t>
    </r>
    <phoneticPr fontId="32" type="noConversion"/>
  </si>
  <si>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2" type="noConversion"/>
  </si>
  <si>
    <r>
      <rPr>
        <sz val="12"/>
        <color theme="1"/>
        <rFont val="標楷體"/>
        <family val="4"/>
        <charset val="136"/>
      </rPr>
      <t>交易種類請依序填</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2" type="noConversion"/>
  </si>
  <si>
    <r>
      <rPr>
        <sz val="12"/>
        <color theme="1"/>
        <rFont val="標楷體"/>
        <family val="4"/>
        <charset val="136"/>
      </rPr>
      <t>投資型態請填</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 D.</t>
    </r>
    <r>
      <rPr>
        <sz val="12"/>
        <color theme="1"/>
        <rFont val="標楷體"/>
        <family val="4"/>
        <charset val="136"/>
      </rPr>
      <t>約當現金</t>
    </r>
    <r>
      <rPr>
        <sz val="12"/>
        <color theme="1"/>
        <rFont val="Times New Roman"/>
        <family val="1"/>
      </rPr>
      <t>, E.</t>
    </r>
    <r>
      <rPr>
        <sz val="12"/>
        <color theme="1"/>
        <rFont val="標楷體"/>
        <family val="4"/>
        <charset val="136"/>
      </rPr>
      <t>其他金融資產。</t>
    </r>
    <phoneticPr fontId="32" type="noConversion"/>
  </si>
  <si>
    <r>
      <rPr>
        <sz val="12"/>
        <color theme="1"/>
        <rFont val="標楷體"/>
        <family val="4"/>
        <charset val="136"/>
      </rPr>
      <t>評等等級請依信用評等機構所列填寫</t>
    </r>
    <r>
      <rPr>
        <sz val="12"/>
        <color theme="1"/>
        <rFont val="Times New Roman"/>
        <family val="1"/>
      </rPr>
      <t>,</t>
    </r>
    <r>
      <rPr>
        <sz val="12"/>
        <color theme="1"/>
        <rFont val="標楷體"/>
        <family val="4"/>
        <charset val="136"/>
      </rPr>
      <t>並以最近一年之評等資料填寫</t>
    </r>
    <r>
      <rPr>
        <sz val="12"/>
        <color theme="1"/>
        <rFont val="Times New Roman"/>
        <family val="1"/>
      </rPr>
      <t>,</t>
    </r>
    <r>
      <rPr>
        <sz val="12"/>
        <color theme="1"/>
        <rFont val="標楷體"/>
        <family val="4"/>
        <charset val="136"/>
      </rPr>
      <t>若無信用評等者請填無。</t>
    </r>
    <phoneticPr fontId="32"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</si>
  <si>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2" type="noConversion"/>
  </si>
  <si>
    <r>
      <rPr>
        <sz val="12"/>
        <color theme="1"/>
        <rFont val="標楷體"/>
        <family val="4"/>
        <charset val="136"/>
      </rPr>
      <t>到期年月日填寫方式為</t>
    </r>
    <r>
      <rPr>
        <sz val="12"/>
        <color theme="1"/>
        <rFont val="Times New Roman"/>
        <family val="1"/>
      </rPr>
      <t>2005/06/25</t>
    </r>
    <phoneticPr fontId="32" type="noConversion"/>
  </si>
  <si>
    <r>
      <rPr>
        <sz val="12"/>
        <color theme="1"/>
        <rFont val="標楷體"/>
        <family val="4"/>
        <charset val="136"/>
      </rPr>
      <t>金融債到期日如為永久，按</t>
    </r>
    <r>
      <rPr>
        <sz val="12"/>
        <color theme="1"/>
        <rFont val="Times New Roman"/>
        <family val="1"/>
      </rPr>
      <t>9999/99/99</t>
    </r>
    <r>
      <rPr>
        <sz val="12"/>
        <color theme="1"/>
        <rFont val="標楷體"/>
        <family val="4"/>
        <charset val="136"/>
      </rPr>
      <t>填列。</t>
    </r>
    <phoneticPr fontId="32"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</si>
  <si>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2" type="noConversion"/>
  </si>
  <si>
    <r>
      <rPr>
        <sz val="10"/>
        <color theme="1"/>
        <rFont val="標楷體"/>
        <family val="4"/>
        <charset val="136"/>
      </rPr>
      <t>單位：新台幣元</t>
    </r>
    <r>
      <rPr>
        <sz val="10"/>
        <color theme="1"/>
        <rFont val="Times New Roman"/>
        <family val="1"/>
      </rPr>
      <t>,%</t>
    </r>
    <phoneticPr fontId="32" type="noConversion"/>
  </si>
  <si>
    <r>
      <rPr>
        <sz val="10"/>
        <color theme="1"/>
        <rFont val="標楷體"/>
        <family val="4"/>
        <charset val="136"/>
      </rPr>
      <t>項　　　　　　　　　　目</t>
    </r>
  </si>
  <si>
    <r>
      <rPr>
        <sz val="10"/>
        <color theme="1"/>
        <rFont val="標楷體"/>
        <family val="4"/>
        <charset val="136"/>
      </rPr>
      <t>淨投資損益</t>
    </r>
    <phoneticPr fontId="34" type="noConversion"/>
  </si>
  <si>
    <r>
      <rPr>
        <sz val="10"/>
        <color theme="1"/>
        <rFont val="標楷體"/>
        <family val="4"/>
        <charset val="136"/>
      </rPr>
      <t>其他綜合損益</t>
    </r>
    <phoneticPr fontId="34" type="noConversion"/>
  </si>
  <si>
    <r>
      <rPr>
        <sz val="10"/>
        <color theme="1"/>
        <rFont val="標楷體"/>
        <family val="4"/>
        <charset val="136"/>
      </rPr>
      <t>未分配盈餘</t>
    </r>
    <phoneticPr fontId="34" type="noConversion"/>
  </si>
  <si>
    <r>
      <rPr>
        <sz val="10"/>
        <color theme="1"/>
        <rFont val="標楷體"/>
        <family val="4"/>
        <charset val="136"/>
      </rPr>
      <t>直接業管費用</t>
    </r>
    <phoneticPr fontId="32" type="noConversion"/>
  </si>
  <si>
    <r>
      <rPr>
        <sz val="10"/>
        <color theme="1"/>
        <rFont val="標楷體"/>
        <family val="4"/>
        <charset val="136"/>
      </rPr>
      <t>本期投資損益</t>
    </r>
    <phoneticPr fontId="32" type="noConversion"/>
  </si>
  <si>
    <r>
      <rPr>
        <sz val="10"/>
        <color theme="1"/>
        <rFont val="標楷體"/>
        <family val="4"/>
        <charset val="136"/>
      </rPr>
      <t>上期投資損益</t>
    </r>
    <phoneticPr fontId="32" type="noConversion"/>
  </si>
  <si>
    <r>
      <rPr>
        <sz val="10"/>
        <color theme="1"/>
        <rFont val="標楷體"/>
        <family val="4"/>
        <charset val="136"/>
      </rPr>
      <t>比較增減</t>
    </r>
    <phoneticPr fontId="32"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</si>
  <si>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2" type="noConversion"/>
  </si>
  <si>
    <r>
      <t>__</t>
    </r>
    <r>
      <rPr>
        <sz val="10"/>
        <color theme="1"/>
        <rFont val="標楷體"/>
        <family val="4"/>
        <charset val="136"/>
      </rPr>
      <t>下半年度資金運用收益</t>
    </r>
    <phoneticPr fontId="32" type="noConversion"/>
  </si>
  <si>
    <r>
      <rPr>
        <sz val="10"/>
        <color theme="1"/>
        <rFont val="標楷體"/>
        <family val="4"/>
        <charset val="136"/>
      </rPr>
      <t>備註</t>
    </r>
    <phoneticPr fontId="32" type="noConversion"/>
  </si>
  <si>
    <r>
      <rPr>
        <sz val="10"/>
        <color theme="1"/>
        <rFont val="標楷體"/>
        <family val="4"/>
        <charset val="136"/>
      </rPr>
      <t>利息收入</t>
    </r>
    <phoneticPr fontId="34" type="noConversion"/>
  </si>
  <si>
    <r>
      <rPr>
        <sz val="10"/>
        <color theme="1"/>
        <rFont val="標楷體"/>
        <family val="4"/>
        <charset val="136"/>
      </rPr>
      <t>透過損益按公允價值衡量之金融資產損益</t>
    </r>
    <phoneticPr fontId="34" type="noConversion"/>
  </si>
  <si>
    <r>
      <rPr>
        <sz val="10"/>
        <color theme="1"/>
        <rFont val="標楷體"/>
        <family val="4"/>
        <charset val="136"/>
      </rPr>
      <t>透過其他綜合損益按公允價值衡量之金融資產已實現損益</t>
    </r>
    <phoneticPr fontId="34" type="noConversion"/>
  </si>
  <si>
    <r>
      <rPr>
        <sz val="10"/>
        <color theme="1"/>
        <rFont val="標楷體"/>
        <family val="4"/>
        <charset val="136"/>
      </rPr>
      <t>除列按攤銷後成本衡量之金融資產淨損益</t>
    </r>
    <phoneticPr fontId="34" type="noConversion"/>
  </si>
  <si>
    <r>
      <rPr>
        <sz val="10"/>
        <color theme="1"/>
        <rFont val="標楷體"/>
        <family val="4"/>
        <charset val="136"/>
      </rPr>
      <t>採用權益法認列之關聯企業及合資損益之份額</t>
    </r>
    <phoneticPr fontId="34" type="noConversion"/>
  </si>
  <si>
    <r>
      <rPr>
        <sz val="10"/>
        <color theme="1"/>
        <rFont val="標楷體"/>
        <family val="4"/>
        <charset val="136"/>
      </rPr>
      <t>兌換損益</t>
    </r>
    <phoneticPr fontId="34" type="noConversion"/>
  </si>
  <si>
    <r>
      <rPr>
        <sz val="10"/>
        <color theme="1"/>
        <rFont val="標楷體"/>
        <family val="4"/>
        <charset val="136"/>
      </rPr>
      <t>投資性不動產損益</t>
    </r>
    <phoneticPr fontId="34" type="noConversion"/>
  </si>
  <si>
    <r>
      <rPr>
        <sz val="10"/>
        <color theme="1"/>
        <rFont val="標楷體"/>
        <family val="4"/>
        <charset val="136"/>
      </rPr>
      <t>投資之預期信用減損損失及迴轉利益</t>
    </r>
    <phoneticPr fontId="34" type="noConversion"/>
  </si>
  <si>
    <r>
      <rPr>
        <sz val="10"/>
        <color theme="1"/>
        <rFont val="標楷體"/>
        <family val="4"/>
        <charset val="136"/>
      </rPr>
      <t>其他投資減損損失及迴轉利益</t>
    </r>
    <phoneticPr fontId="34" type="noConversion"/>
  </si>
  <si>
    <r>
      <rPr>
        <sz val="10"/>
        <color theme="1"/>
        <rFont val="標楷體"/>
        <family val="4"/>
        <charset val="136"/>
      </rPr>
      <t>金融資產重分類損益</t>
    </r>
    <phoneticPr fontId="34" type="noConversion"/>
  </si>
  <si>
    <r>
      <rPr>
        <sz val="10"/>
        <color theme="1"/>
        <rFont val="標楷體"/>
        <family val="4"/>
        <charset val="136"/>
      </rPr>
      <t>其他淨投資損益</t>
    </r>
    <phoneticPr fontId="34" type="noConversion"/>
  </si>
  <si>
    <r>
      <rPr>
        <sz val="10"/>
        <color theme="1"/>
        <rFont val="標楷體"/>
        <family val="4"/>
        <charset val="136"/>
      </rPr>
      <t>採用覆蓋法之重分類損益</t>
    </r>
    <phoneticPr fontId="34" type="noConversion"/>
  </si>
  <si>
    <r>
      <rPr>
        <sz val="10"/>
        <color theme="1"/>
        <rFont val="標楷體"/>
        <family val="4"/>
        <charset val="136"/>
      </rPr>
      <t>透過其他綜合損益按公允價值衡量之權益工具評價損益</t>
    </r>
    <phoneticPr fontId="34" type="noConversion"/>
  </si>
  <si>
    <r>
      <rPr>
        <sz val="10"/>
        <color theme="1"/>
        <rFont val="標楷體"/>
        <family val="4"/>
        <charset val="136"/>
      </rPr>
      <t>透過其他綜合損益按公允價值衡量之債務工具損益</t>
    </r>
    <phoneticPr fontId="34" type="noConversion"/>
  </si>
  <si>
    <r>
      <rPr>
        <sz val="10"/>
        <color theme="1"/>
        <rFont val="標楷體"/>
        <family val="4"/>
        <charset val="136"/>
      </rPr>
      <t>避險工具之利益及損失</t>
    </r>
    <phoneticPr fontId="34" type="noConversion"/>
  </si>
  <si>
    <r>
      <rPr>
        <sz val="10"/>
        <color theme="1"/>
        <rFont val="標楷體"/>
        <family val="4"/>
        <charset val="136"/>
      </rPr>
      <t>採用權益法之關聯企業及合資其他綜合損益之份額</t>
    </r>
    <phoneticPr fontId="34" type="noConversion"/>
  </si>
  <si>
    <r>
      <rPr>
        <sz val="10"/>
        <color theme="1"/>
        <rFont val="標楷體"/>
        <family val="4"/>
        <charset val="136"/>
      </rPr>
      <t>採用覆蓋法之重分類其他綜合損益</t>
    </r>
    <phoneticPr fontId="34" type="noConversion"/>
  </si>
  <si>
    <r>
      <rPr>
        <sz val="10"/>
        <color theme="1"/>
        <rFont val="標楷體"/>
        <family val="4"/>
        <charset val="136"/>
      </rPr>
      <t>透過其他綜合損益按公允價值衡量之權益工具處分損益</t>
    </r>
    <phoneticPr fontId="34" type="noConversion"/>
  </si>
  <si>
    <r>
      <rPr>
        <sz val="10"/>
        <color theme="1"/>
        <rFont val="標楷體"/>
        <family val="4"/>
        <charset val="136"/>
      </rPr>
      <t>其他</t>
    </r>
    <phoneticPr fontId="34" type="noConversion"/>
  </si>
  <si>
    <r>
      <rPr>
        <sz val="10"/>
        <color theme="1"/>
        <rFont val="標楷體"/>
        <family val="4"/>
        <charset val="136"/>
      </rPr>
      <t>金額</t>
    </r>
    <phoneticPr fontId="32"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</si>
  <si>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2" type="noConversion"/>
  </si>
  <si>
    <r>
      <t>__</t>
    </r>
    <r>
      <rPr>
        <sz val="10"/>
        <color theme="1"/>
        <rFont val="標楷體"/>
        <family val="4"/>
        <charset val="136"/>
      </rPr>
      <t>年</t>
    </r>
    <phoneticPr fontId="32" type="noConversion"/>
  </si>
  <si>
    <r>
      <t>__</t>
    </r>
    <r>
      <rPr>
        <sz val="10"/>
        <color theme="1"/>
        <rFont val="標楷體"/>
        <family val="4"/>
        <charset val="136"/>
      </rPr>
      <t>年度
投資損益</t>
    </r>
    <phoneticPr fontId="32" type="noConversion"/>
  </si>
  <si>
    <r>
      <t>__</t>
    </r>
    <r>
      <rPr>
        <sz val="10"/>
        <color theme="1"/>
        <rFont val="標楷體"/>
        <family val="4"/>
        <charset val="136"/>
      </rPr>
      <t>年上半年度投資損益</t>
    </r>
    <phoneticPr fontId="32" type="noConversion"/>
  </si>
  <si>
    <r>
      <t>__</t>
    </r>
    <r>
      <rPr>
        <sz val="10"/>
        <color theme="1"/>
        <rFont val="標楷體"/>
        <family val="4"/>
        <charset val="136"/>
      </rPr>
      <t>年下半年度投資損益</t>
    </r>
    <phoneticPr fontId="32" type="noConversion"/>
  </si>
  <si>
    <r>
      <t>__</t>
    </r>
    <r>
      <rPr>
        <sz val="10"/>
        <color theme="1"/>
        <rFont val="標楷體"/>
        <family val="4"/>
        <charset val="136"/>
      </rPr>
      <t>年下半年資金運用收益率</t>
    </r>
    <phoneticPr fontId="32" type="noConversion"/>
  </si>
  <si>
    <r>
      <rPr>
        <sz val="10"/>
        <color theme="1"/>
        <rFont val="標楷體"/>
        <family val="4"/>
        <charset val="136"/>
      </rPr>
      <t>存</t>
    </r>
    <phoneticPr fontId="32" type="noConversion"/>
  </si>
  <si>
    <r>
      <rPr>
        <sz val="10"/>
        <color theme="1"/>
        <rFont val="標楷體"/>
        <family val="4"/>
        <charset val="136"/>
      </rPr>
      <t>金融機構存款</t>
    </r>
    <phoneticPr fontId="32" type="noConversion"/>
  </si>
  <si>
    <r>
      <rPr>
        <sz val="10"/>
        <color theme="1"/>
        <rFont val="標楷體"/>
        <family val="4"/>
        <charset val="136"/>
      </rPr>
      <t>存出保證金及再保責任準備金</t>
    </r>
  </si>
  <si>
    <r>
      <rPr>
        <sz val="10"/>
        <color theme="1"/>
        <rFont val="標楷體"/>
        <family val="4"/>
        <charset val="136"/>
      </rPr>
      <t>國</t>
    </r>
    <phoneticPr fontId="32" type="noConversion"/>
  </si>
  <si>
    <r>
      <rPr>
        <sz val="10"/>
        <color theme="1"/>
        <rFont val="標楷體"/>
        <family val="4"/>
        <charset val="136"/>
      </rPr>
      <t>存入保證金及再保責任準備金</t>
    </r>
  </si>
  <si>
    <r>
      <rPr>
        <sz val="10"/>
        <color theme="1"/>
        <rFont val="標楷體"/>
        <family val="4"/>
        <charset val="136"/>
      </rPr>
      <t>其他</t>
    </r>
    <phoneticPr fontId="32" type="noConversion"/>
  </si>
  <si>
    <r>
      <rPr>
        <sz val="10"/>
        <color theme="1"/>
        <rFont val="標楷體"/>
        <family val="4"/>
        <charset val="136"/>
      </rPr>
      <t>款</t>
    </r>
  </si>
  <si>
    <r>
      <rPr>
        <sz val="10"/>
        <color theme="1"/>
        <rFont val="標楷體"/>
        <family val="4"/>
        <charset val="136"/>
      </rPr>
      <t>公債國庫券</t>
    </r>
    <phoneticPr fontId="32" type="noConversion"/>
  </si>
  <si>
    <r>
      <rPr>
        <sz val="10"/>
        <color theme="1"/>
        <rFont val="標楷體"/>
        <family val="4"/>
        <charset val="136"/>
      </rPr>
      <t>內</t>
    </r>
    <phoneticPr fontId="32" type="noConversion"/>
  </si>
  <si>
    <r>
      <rPr>
        <sz val="10"/>
        <color theme="1"/>
        <rFont val="標楷體"/>
        <family val="4"/>
        <charset val="136"/>
      </rPr>
      <t>有</t>
    </r>
    <phoneticPr fontId="32" type="noConversion"/>
  </si>
  <si>
    <r>
      <rPr>
        <sz val="10"/>
        <color theme="1"/>
        <rFont val="標楷體"/>
        <family val="4"/>
        <charset val="136"/>
      </rPr>
      <t>金融債券等</t>
    </r>
    <phoneticPr fontId="30" type="noConversion"/>
  </si>
  <si>
    <r>
      <rPr>
        <sz val="10"/>
        <color theme="1"/>
        <rFont val="標楷體"/>
        <family val="4"/>
        <charset val="136"/>
      </rPr>
      <t>價</t>
    </r>
    <phoneticPr fontId="32" type="noConversion"/>
  </si>
  <si>
    <r>
      <rPr>
        <sz val="10"/>
        <color theme="1"/>
        <rFont val="標楷體"/>
        <family val="4"/>
        <charset val="136"/>
      </rPr>
      <t>股票</t>
    </r>
    <phoneticPr fontId="32" type="noConversion"/>
  </si>
  <si>
    <r>
      <rPr>
        <sz val="10"/>
        <color theme="1"/>
        <rFont val="標楷體"/>
        <family val="4"/>
        <charset val="136"/>
      </rPr>
      <t>證</t>
    </r>
    <phoneticPr fontId="32" type="noConversion"/>
  </si>
  <si>
    <r>
      <rPr>
        <sz val="10"/>
        <color theme="1"/>
        <rFont val="標楷體"/>
        <family val="4"/>
        <charset val="136"/>
      </rPr>
      <t>公司債</t>
    </r>
    <phoneticPr fontId="32" type="noConversion"/>
  </si>
  <si>
    <r>
      <rPr>
        <sz val="10"/>
        <color theme="1"/>
        <rFont val="標楷體"/>
        <family val="4"/>
        <charset val="136"/>
      </rPr>
      <t>券</t>
    </r>
    <phoneticPr fontId="32" type="noConversion"/>
  </si>
  <si>
    <r>
      <rPr>
        <sz val="10"/>
        <color theme="1"/>
        <rFont val="標楷體"/>
        <family val="4"/>
        <charset val="136"/>
      </rPr>
      <t>受益憑證</t>
    </r>
    <phoneticPr fontId="32" type="noConversion"/>
  </si>
  <si>
    <r>
      <rPr>
        <sz val="10"/>
        <color theme="1"/>
        <rFont val="標楷體"/>
        <family val="4"/>
        <charset val="136"/>
      </rPr>
      <t>投</t>
    </r>
    <phoneticPr fontId="32" type="noConversion"/>
  </si>
  <si>
    <r>
      <rPr>
        <sz val="10"/>
        <color theme="1"/>
        <rFont val="標楷體"/>
        <family val="4"/>
        <charset val="136"/>
      </rPr>
      <t>不</t>
    </r>
    <phoneticPr fontId="32" type="noConversion"/>
  </si>
  <si>
    <r>
      <rPr>
        <sz val="10"/>
        <color theme="1"/>
        <rFont val="標楷體"/>
        <family val="4"/>
        <charset val="136"/>
      </rPr>
      <t>非自用土地</t>
    </r>
    <phoneticPr fontId="32" type="noConversion"/>
  </si>
  <si>
    <r>
      <rPr>
        <sz val="10"/>
        <color theme="1"/>
        <rFont val="標楷體"/>
        <family val="4"/>
        <charset val="136"/>
      </rPr>
      <t>動</t>
    </r>
    <phoneticPr fontId="32" type="noConversion"/>
  </si>
  <si>
    <r>
      <rPr>
        <sz val="10"/>
        <color theme="1"/>
        <rFont val="標楷體"/>
        <family val="4"/>
        <charset val="136"/>
      </rPr>
      <t>非自用房屋及建築</t>
    </r>
    <phoneticPr fontId="32" type="noConversion"/>
  </si>
  <si>
    <r>
      <rPr>
        <sz val="10"/>
        <color theme="1"/>
        <rFont val="標楷體"/>
        <family val="4"/>
        <charset val="136"/>
      </rPr>
      <t>產</t>
    </r>
    <phoneticPr fontId="32" type="noConversion"/>
  </si>
  <si>
    <r>
      <rPr>
        <sz val="10"/>
        <color theme="1"/>
        <rFont val="標楷體"/>
        <family val="4"/>
        <charset val="136"/>
      </rPr>
      <t>資</t>
    </r>
    <phoneticPr fontId="32" type="noConversion"/>
  </si>
  <si>
    <r>
      <rPr>
        <sz val="10"/>
        <color theme="1"/>
        <rFont val="標楷體"/>
        <family val="4"/>
        <charset val="136"/>
      </rPr>
      <t>放</t>
    </r>
    <phoneticPr fontId="32"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</si>
  <si>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2" type="noConversion"/>
  </si>
  <si>
    <r>
      <rPr>
        <sz val="10"/>
        <color theme="1"/>
        <rFont val="標楷體"/>
        <family val="4"/>
        <charset val="136"/>
      </rPr>
      <t>壽險貸款</t>
    </r>
    <phoneticPr fontId="32" type="noConversion"/>
  </si>
  <si>
    <r>
      <rPr>
        <sz val="10"/>
        <color theme="1"/>
        <rFont val="標楷體"/>
        <family val="4"/>
        <charset val="136"/>
      </rPr>
      <t>款</t>
    </r>
    <phoneticPr fontId="32" type="noConversion"/>
  </si>
  <si>
    <r>
      <rPr>
        <sz val="10"/>
        <color theme="1"/>
        <rFont val="標楷體"/>
        <family val="4"/>
        <charset val="136"/>
      </rPr>
      <t>衍生性商品交易</t>
    </r>
    <phoneticPr fontId="32" type="noConversion"/>
  </si>
  <si>
    <r>
      <rPr>
        <sz val="10"/>
        <color theme="1"/>
        <rFont val="標楷體"/>
        <family val="4"/>
        <charset val="136"/>
      </rPr>
      <t>國內投資總計</t>
    </r>
    <phoneticPr fontId="32" type="noConversion"/>
  </si>
  <si>
    <r>
      <rPr>
        <sz val="10"/>
        <color theme="1"/>
        <rFont val="標楷體"/>
        <family val="4"/>
        <charset val="136"/>
      </rPr>
      <t>外</t>
    </r>
    <phoneticPr fontId="32"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</si>
  <si>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2" type="noConversion"/>
  </si>
  <si>
    <r>
      <rPr>
        <sz val="10"/>
        <color theme="1"/>
        <rFont val="標楷體"/>
        <family val="4"/>
        <charset val="136"/>
      </rPr>
      <t>壽險保單質押放款</t>
    </r>
    <phoneticPr fontId="32" type="noConversion"/>
  </si>
  <si>
    <r>
      <rPr>
        <sz val="10"/>
        <color theme="1"/>
        <rFont val="標楷體"/>
        <family val="4"/>
        <charset val="136"/>
      </rPr>
      <t>國外投資總計</t>
    </r>
    <phoneticPr fontId="32" type="noConversion"/>
  </si>
  <si>
    <r>
      <rPr>
        <sz val="10"/>
        <color theme="1"/>
        <rFont val="標楷體"/>
        <family val="4"/>
        <charset val="136"/>
      </rPr>
      <t>不含自用不動產資金運用總計</t>
    </r>
    <phoneticPr fontId="32" type="noConversion"/>
  </si>
  <si>
    <r>
      <rPr>
        <sz val="10"/>
        <color theme="1"/>
        <rFont val="標楷體"/>
        <family val="4"/>
        <charset val="136"/>
      </rPr>
      <t>其</t>
    </r>
    <phoneticPr fontId="32" type="noConversion"/>
  </si>
  <si>
    <r>
      <rPr>
        <sz val="10"/>
        <color theme="1"/>
        <rFont val="標楷體"/>
        <family val="4"/>
        <charset val="136"/>
      </rPr>
      <t>自用土地</t>
    </r>
    <phoneticPr fontId="32" type="noConversion"/>
  </si>
  <si>
    <r>
      <rPr>
        <sz val="10"/>
        <color theme="1"/>
        <rFont val="標楷體"/>
        <family val="4"/>
        <charset val="136"/>
      </rPr>
      <t>自用房屋及建築</t>
    </r>
    <phoneticPr fontId="32" type="noConversion"/>
  </si>
  <si>
    <r>
      <rPr>
        <sz val="10"/>
        <color theme="1"/>
        <rFont val="標楷體"/>
        <family val="4"/>
        <charset val="136"/>
      </rPr>
      <t>他</t>
    </r>
    <phoneticPr fontId="32" type="noConversion"/>
  </si>
  <si>
    <r>
      <rPr>
        <sz val="10"/>
        <color theme="1"/>
        <rFont val="標楷體"/>
        <family val="4"/>
        <charset val="136"/>
      </rPr>
      <t>含自用不動產資金運用總計</t>
    </r>
    <phoneticPr fontId="32" type="noConversion"/>
  </si>
  <si>
    <r>
      <rPr>
        <sz val="10"/>
        <color theme="1"/>
        <rFont val="標楷體"/>
        <family val="4"/>
        <charset val="136"/>
      </rPr>
      <t>本表不含分離帳戶保險商品之專設帳簿資產</t>
    </r>
    <phoneticPr fontId="32"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</si>
  <si>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4"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</si>
  <si>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30"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</si>
  <si>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2"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</si>
  <si>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2"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</si>
  <si>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2"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</si>
  <si>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2" type="noConversion"/>
  </si>
  <si>
    <r>
      <rPr>
        <sz val="10"/>
        <color theme="1"/>
        <rFont val="標楷體"/>
        <family val="4"/>
        <charset val="136"/>
      </rPr>
      <t>＊係指投資性不動產後續衡量未採用公允價值模式之資金運用數</t>
    </r>
    <phoneticPr fontId="32" type="noConversion"/>
  </si>
  <si>
    <r>
      <rPr>
        <sz val="10"/>
        <color theme="1"/>
        <rFont val="標楷體"/>
        <family val="4"/>
        <charset val="136"/>
      </rPr>
      <t>本表之本期投資損益及上期投資損益均不含外匯價格變動準備金淨變動</t>
    </r>
    <phoneticPr fontId="32" type="noConversion"/>
  </si>
  <si>
    <r>
      <t xml:space="preserve">         </t>
    </r>
    <r>
      <rPr>
        <sz val="10"/>
        <color theme="1"/>
        <rFont val="標楷體"/>
        <family val="4"/>
        <charset val="136"/>
      </rPr>
      <t>保費不足準備</t>
    </r>
    <phoneticPr fontId="32" type="noConversion"/>
  </si>
  <si>
    <r>
      <t xml:space="preserve">         </t>
    </r>
    <r>
      <rPr>
        <sz val="10"/>
        <color theme="1"/>
        <rFont val="標楷體"/>
        <family val="4"/>
        <charset val="136"/>
      </rPr>
      <t>負債適足準備</t>
    </r>
    <phoneticPr fontId="32" type="noConversion"/>
  </si>
  <si>
    <r>
      <t xml:space="preserve">         </t>
    </r>
    <r>
      <rPr>
        <sz val="10"/>
        <color theme="1"/>
        <rFont val="標楷體"/>
        <family val="4"/>
        <charset val="136"/>
      </rPr>
      <t>其他準備</t>
    </r>
    <phoneticPr fontId="32" type="noConversion"/>
  </si>
  <si>
    <r>
      <t xml:space="preserve">         </t>
    </r>
    <r>
      <rPr>
        <sz val="10"/>
        <color theme="1"/>
        <rFont val="標楷體"/>
        <family val="4"/>
        <charset val="136"/>
      </rPr>
      <t>遞延手續費收入</t>
    </r>
    <phoneticPr fontId="32" type="noConversion"/>
  </si>
  <si>
    <t>取得國家發展委員會資格函之國內私募股權基金</t>
  </si>
  <si>
    <t>15-4</t>
  </si>
  <si>
    <t>本報告各項資產之金額應依「保險業計算資本適足率之資產認許標準及評價原則」計算。</t>
    <phoneticPr fontId="30" type="noConversion"/>
  </si>
  <si>
    <t>針對存款於關係人之機構或投資關係人之受益憑證者，若該機構已經信用評等機構評定達一定程度以上者，公司可提供該項信評資料，以作為係數上扣減之憑據；</t>
    <phoneticPr fontId="30" type="noConversion"/>
  </si>
  <si>
    <t>子公司或參股投資之大陸地區保險業應填列於「國外保險相關事業」相關欄位。</t>
    <phoneticPr fontId="30" type="noConversion"/>
  </si>
  <si>
    <t>國內發行其投資區域包含國外之資產，該資產應計入匯率風險金額中計算匯率風險資本。</t>
    <phoneticPr fontId="30" type="noConversion"/>
  </si>
  <si>
    <t>申請展延期限(年)以申請展延核准日為起算日，於滿一年後記入1次，若展延期限超過1年者則繼續累計加計次數。</t>
    <phoneticPr fontId="32" type="noConversion"/>
  </si>
  <si>
    <r>
      <rPr>
        <b/>
        <sz val="12"/>
        <rFont val="標楷體"/>
        <family val="4"/>
        <charset val="136"/>
      </rPr>
      <t>列號</t>
    </r>
    <phoneticPr fontId="30" type="noConversion"/>
  </si>
  <si>
    <r>
      <rPr>
        <b/>
        <sz val="12"/>
        <rFont val="標楷體"/>
        <family val="4"/>
        <charset val="136"/>
      </rPr>
      <t>帳載金額</t>
    </r>
    <phoneticPr fontId="32" type="noConversion"/>
  </si>
  <si>
    <r>
      <rPr>
        <sz val="12"/>
        <rFont val="標楷體"/>
        <family val="4"/>
        <charset val="136"/>
      </rPr>
      <t>係指依資產負債表日前半年每日收盤價計算之算術平均價格</t>
    </r>
    <phoneticPr fontId="32" type="noConversion"/>
  </si>
  <si>
    <r>
      <rPr>
        <b/>
        <sz val="12"/>
        <rFont val="標楷體"/>
        <family val="4"/>
        <charset val="136"/>
      </rPr>
      <t>列號</t>
    </r>
  </si>
  <si>
    <r>
      <rPr>
        <b/>
        <sz val="12"/>
        <rFont val="標楷體"/>
        <family val="4"/>
        <charset val="136"/>
      </rPr>
      <t>備註</t>
    </r>
  </si>
  <si>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2" type="noConversion"/>
  </si>
  <si>
    <r>
      <rPr>
        <sz val="12"/>
        <rFont val="標楷體"/>
        <family val="4"/>
        <charset val="136"/>
      </rPr>
      <t>單位：新台幣元</t>
    </r>
    <r>
      <rPr>
        <sz val="12"/>
        <rFont val="Times New Roman"/>
        <family val="1"/>
      </rPr>
      <t>, %</t>
    </r>
    <phoneticPr fontId="30"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</si>
  <si>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2"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</si>
  <si>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</si>
  <si>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</si>
  <si>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</si>
  <si>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2"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</si>
  <si>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4"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</si>
  <si>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</si>
  <si>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</si>
  <si>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</si>
  <si>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</si>
  <si>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</si>
  <si>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</si>
  <si>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</si>
  <si>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</si>
  <si>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</si>
  <si>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</si>
  <si>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</si>
  <si>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</si>
  <si>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</si>
  <si>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2"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</si>
  <si>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</si>
  <si>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國家級投資公司所設立之國內私募股權基金</t>
    </r>
    <phoneticPr fontId="32" type="noConversion"/>
  </si>
  <si>
    <r>
      <rPr>
        <sz val="12"/>
        <rFont val="標楷體"/>
        <family val="4"/>
        <charset val="136"/>
      </rPr>
      <t>證投信及證券商轉投資子公司擔任普通合夥人設立之國內私募股權基金</t>
    </r>
    <phoneticPr fontId="32"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</si>
  <si>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</si>
  <si>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2" type="noConversion"/>
  </si>
  <si>
    <r>
      <rPr>
        <sz val="12"/>
        <rFont val="標楷體"/>
        <family val="4"/>
        <charset val="136"/>
      </rPr>
      <t>國外不動產投資信託基金</t>
    </r>
    <phoneticPr fontId="32" type="noConversion"/>
  </si>
  <si>
    <r>
      <rPr>
        <sz val="12"/>
        <rFont val="標楷體"/>
        <family val="4"/>
        <charset val="136"/>
      </rPr>
      <t>國外對沖基金</t>
    </r>
    <phoneticPr fontId="32" type="noConversion"/>
  </si>
  <si>
    <r>
      <rPr>
        <sz val="12"/>
        <rFont val="標楷體"/>
        <family val="4"/>
        <charset val="136"/>
      </rPr>
      <t>國外私募股權基金</t>
    </r>
    <phoneticPr fontId="32" type="noConversion"/>
  </si>
  <si>
    <r>
      <rPr>
        <sz val="12"/>
        <rFont val="標楷體"/>
        <family val="4"/>
        <charset val="136"/>
      </rPr>
      <t>國外私募債權基金</t>
    </r>
    <phoneticPr fontId="32" type="noConversion"/>
  </si>
  <si>
    <r>
      <rPr>
        <sz val="12"/>
        <rFont val="標楷體"/>
        <family val="4"/>
        <charset val="136"/>
      </rPr>
      <t>國外不動產私募基金</t>
    </r>
    <phoneticPr fontId="32" type="noConversion"/>
  </si>
  <si>
    <r>
      <rPr>
        <sz val="12"/>
        <rFont val="標楷體"/>
        <family val="4"/>
        <charset val="136"/>
      </rPr>
      <t>基礎建設基金</t>
    </r>
    <phoneticPr fontId="32" type="noConversion"/>
  </si>
  <si>
    <r>
      <rPr>
        <sz val="12"/>
        <rFont val="標楷體"/>
        <family val="4"/>
        <charset val="136"/>
      </rPr>
      <t>商品基金</t>
    </r>
    <phoneticPr fontId="32" type="noConversion"/>
  </si>
  <si>
    <r>
      <rPr>
        <sz val="12"/>
        <rFont val="標楷體"/>
        <family val="4"/>
        <charset val="136"/>
      </rPr>
      <t>其他</t>
    </r>
    <phoneticPr fontId="32"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</si>
  <si>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2" type="noConversion"/>
  </si>
  <si>
    <r>
      <rPr>
        <b/>
        <sz val="12"/>
        <rFont val="標楷體"/>
        <family val="4"/>
        <charset val="136"/>
      </rPr>
      <t>列號</t>
    </r>
    <phoneticPr fontId="32" type="noConversion"/>
  </si>
  <si>
    <r>
      <rPr>
        <b/>
        <sz val="12"/>
        <rFont val="標楷體"/>
        <family val="4"/>
        <charset val="136"/>
      </rPr>
      <t>半年收盤平均價</t>
    </r>
    <phoneticPr fontId="32" type="noConversion"/>
  </si>
  <si>
    <r>
      <rPr>
        <sz val="12"/>
        <rFont val="標楷體"/>
        <family val="4"/>
        <charset val="136"/>
      </rPr>
      <t>一、國外關係人投資</t>
    </r>
    <phoneticPr fontId="32"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</si>
  <si>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2"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</si>
  <si>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</si>
  <si>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</si>
  <si>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</si>
  <si>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</si>
  <si>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</si>
  <si>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</si>
  <si>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2" type="noConversion"/>
  </si>
  <si>
    <r>
      <rPr>
        <sz val="12"/>
        <rFont val="標楷體"/>
        <family val="4"/>
        <charset val="136"/>
      </rPr>
      <t>二、國外非關係人投資</t>
    </r>
    <phoneticPr fontId="32" type="noConversion"/>
  </si>
  <si>
    <r>
      <t>(</t>
    </r>
    <r>
      <rPr>
        <sz val="12"/>
        <rFont val="標楷體"/>
        <family val="4"/>
        <charset val="136"/>
      </rPr>
      <t>一</t>
    </r>
    <r>
      <rPr>
        <sz val="12"/>
        <rFont val="Times New Roman"/>
        <family val="1"/>
      </rPr>
      <t>)</t>
    </r>
    <r>
      <rPr>
        <sz val="12"/>
        <rFont val="標楷體"/>
        <family val="4"/>
        <charset val="136"/>
      </rPr>
      <t>已關發國家</t>
    </r>
    <phoneticPr fontId="32" type="noConversion"/>
  </si>
  <si>
    <r>
      <t>(</t>
    </r>
    <r>
      <rPr>
        <sz val="12"/>
        <rFont val="標楷體"/>
        <family val="4"/>
        <charset val="136"/>
      </rPr>
      <t>二</t>
    </r>
    <r>
      <rPr>
        <sz val="12"/>
        <rFont val="Times New Roman"/>
        <family val="1"/>
      </rPr>
      <t>)</t>
    </r>
    <r>
      <rPr>
        <sz val="12"/>
        <rFont val="標楷體"/>
        <family val="4"/>
        <charset val="136"/>
      </rPr>
      <t>新興市場</t>
    </r>
    <phoneticPr fontId="32" type="noConversion"/>
  </si>
  <si>
    <r>
      <rPr>
        <sz val="12"/>
        <rFont val="標楷體"/>
        <family val="4"/>
        <charset val="136"/>
      </rPr>
      <t>註</t>
    </r>
    <r>
      <rPr>
        <sz val="12"/>
        <rFont val="Times New Roman"/>
        <family val="1"/>
      </rPr>
      <t>:</t>
    </r>
    <phoneticPr fontId="32"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</si>
  <si>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</si>
  <si>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</si>
  <si>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</si>
  <si>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</si>
  <si>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</si>
  <si>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</si>
  <si>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</si>
  <si>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</si>
  <si>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2"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</si>
  <si>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2" type="noConversion"/>
  </si>
  <si>
    <t>設立之國內私募股權基金、或取得國家發展委員會資格函之國內私募股權基金，並投資於公共投資及金管保財字第10610908021號令第一點及金管保財字第11004365981號令第一點各款所列事項。</t>
    <phoneticPr fontId="30" type="noConversion"/>
  </si>
  <si>
    <t>已開發國家及新興市場所發行之公債，其等級係依照其國家主權評等與債券評等等級取較低者為準，並按評等等級所對應之數值作為風險係數。</t>
    <phoneticPr fontId="30"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</si>
  <si>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2" type="noConversion"/>
  </si>
  <si>
    <r>
      <rPr>
        <sz val="12"/>
        <rFont val="標楷體"/>
        <family val="4"/>
        <charset val="136"/>
      </rPr>
      <t>單位：新台幣元</t>
    </r>
    <r>
      <rPr>
        <sz val="12"/>
        <rFont val="Times New Roman"/>
        <family val="1"/>
      </rPr>
      <t xml:space="preserve">, </t>
    </r>
    <r>
      <rPr>
        <sz val="12"/>
        <rFont val="標楷體"/>
        <family val="4"/>
        <charset val="136"/>
      </rPr>
      <t>％</t>
    </r>
    <phoneticPr fontId="32" type="noConversion"/>
  </si>
  <si>
    <r>
      <rPr>
        <b/>
        <sz val="12"/>
        <rFont val="標楷體"/>
        <family val="4"/>
        <charset val="136"/>
      </rPr>
      <t>資產項目</t>
    </r>
    <phoneticPr fontId="32" type="noConversion"/>
  </si>
  <si>
    <r>
      <rPr>
        <b/>
        <sz val="12"/>
        <rFont val="標楷體"/>
        <family val="4"/>
        <charset val="136"/>
      </rPr>
      <t>信用評等</t>
    </r>
    <phoneticPr fontId="32" type="noConversion"/>
  </si>
  <si>
    <r>
      <rPr>
        <b/>
        <sz val="12"/>
        <rFont val="標楷體"/>
        <family val="4"/>
        <charset val="136"/>
      </rPr>
      <t>風險係數</t>
    </r>
    <phoneticPr fontId="32" type="noConversion"/>
  </si>
  <si>
    <r>
      <rPr>
        <b/>
        <sz val="12"/>
        <rFont val="標楷體"/>
        <family val="4"/>
        <charset val="136"/>
      </rPr>
      <t>風險資本額</t>
    </r>
    <phoneticPr fontId="32" type="noConversion"/>
  </si>
  <si>
    <r>
      <rPr>
        <b/>
        <sz val="12"/>
        <rFont val="標楷體"/>
        <family val="4"/>
        <charset val="136"/>
      </rPr>
      <t>中華信評</t>
    </r>
    <phoneticPr fontId="32"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</si>
  <si>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2" type="noConversion"/>
  </si>
  <si>
    <r>
      <rPr>
        <sz val="12"/>
        <rFont val="標楷體"/>
        <family val="4"/>
        <charset val="136"/>
      </rPr>
      <t>有評等公司債合計數</t>
    </r>
    <phoneticPr fontId="30"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</si>
  <si>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2" type="noConversion"/>
  </si>
  <si>
    <r>
      <rPr>
        <sz val="12"/>
        <rFont val="標楷體"/>
        <family val="4"/>
        <charset val="136"/>
      </rPr>
      <t>無評等公司債但提供保證的機構有評等合計數</t>
    </r>
    <phoneticPr fontId="30"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</si>
  <si>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30"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</si>
  <si>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2" type="noConversion"/>
  </si>
  <si>
    <r>
      <rPr>
        <sz val="12"/>
        <rFont val="標楷體"/>
        <family val="4"/>
        <charset val="136"/>
      </rPr>
      <t>金融債劵合計數</t>
    </r>
    <phoneticPr fontId="30"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</si>
  <si>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30"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</si>
  <si>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30"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</si>
  <si>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2"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</si>
  <si>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30"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</si>
  <si>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2" type="noConversion"/>
  </si>
  <si>
    <r>
      <rPr>
        <sz val="12"/>
        <rFont val="標楷體"/>
        <family val="4"/>
        <charset val="136"/>
      </rPr>
      <t>固定收益特別股合計數</t>
    </r>
    <phoneticPr fontId="30"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</si>
  <si>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2"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</si>
  <si>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2"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</si>
  <si>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</si>
  <si>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2" type="noConversion"/>
  </si>
  <si>
    <r>
      <rPr>
        <sz val="12"/>
        <rFont val="標楷體"/>
        <family val="4"/>
        <charset val="136"/>
      </rPr>
      <t>可採最高信評等級係數計算本表信用風險。</t>
    </r>
    <phoneticPr fontId="32"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</si>
  <si>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</si>
  <si>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2" type="noConversion"/>
  </si>
  <si>
    <r>
      <rPr>
        <sz val="12"/>
        <rFont val="標楷體"/>
        <family val="4"/>
        <charset val="136"/>
      </rPr>
      <t>註</t>
    </r>
    <r>
      <rPr>
        <sz val="12"/>
        <rFont val="Times New Roman"/>
        <family val="1"/>
      </rPr>
      <t>3</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</si>
  <si>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2" type="noConversion"/>
  </si>
  <si>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</si>
  <si>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2" type="noConversion"/>
  </si>
  <si>
    <r>
      <rPr>
        <sz val="12"/>
        <rFont val="標楷體"/>
        <family val="4"/>
        <charset val="136"/>
      </rPr>
      <t>註</t>
    </r>
    <r>
      <rPr>
        <sz val="12"/>
        <rFont val="Times New Roman"/>
        <family val="1"/>
      </rPr>
      <t>5</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</si>
  <si>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2" type="noConversion"/>
  </si>
  <si>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</si>
  <si>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</si>
  <si>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</si>
  <si>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</si>
  <si>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2" type="noConversion"/>
  </si>
  <si>
    <r>
      <rPr>
        <sz val="12"/>
        <rFont val="標楷體"/>
        <family val="4"/>
        <charset val="136"/>
      </rPr>
      <t>單位：新台幣元</t>
    </r>
    <r>
      <rPr>
        <sz val="12"/>
        <rFont val="Times New Roman"/>
        <family val="1"/>
      </rPr>
      <t>,</t>
    </r>
    <r>
      <rPr>
        <sz val="12"/>
        <rFont val="標楷體"/>
        <family val="4"/>
        <charset val="136"/>
      </rPr>
      <t>％</t>
    </r>
    <phoneticPr fontId="30" type="noConversion"/>
  </si>
  <si>
    <r>
      <rPr>
        <b/>
        <sz val="12"/>
        <rFont val="標楷體"/>
        <family val="4"/>
        <charset val="136"/>
      </rPr>
      <t>資產項目</t>
    </r>
    <phoneticPr fontId="30" type="noConversion"/>
  </si>
  <si>
    <r>
      <rPr>
        <b/>
        <sz val="12"/>
        <rFont val="標楷體"/>
        <family val="4"/>
        <charset val="136"/>
      </rPr>
      <t>債券信用</t>
    </r>
    <r>
      <rPr>
        <b/>
        <sz val="12"/>
        <rFont val="Times New Roman"/>
        <family val="1"/>
      </rPr>
      <t>/</t>
    </r>
    <r>
      <rPr>
        <b/>
        <sz val="12"/>
        <rFont val="標楷體"/>
        <family val="4"/>
        <charset val="136"/>
      </rPr>
      <t>主權評等</t>
    </r>
    <phoneticPr fontId="30" type="noConversion"/>
  </si>
  <si>
    <r>
      <rPr>
        <sz val="12"/>
        <rFont val="標楷體"/>
        <family val="4"/>
        <charset val="136"/>
      </rPr>
      <t>公債合計</t>
    </r>
    <phoneticPr fontId="32"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</si>
  <si>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0"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</si>
  <si>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2"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</si>
  <si>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30" type="noConversion"/>
  </si>
  <si>
    <r>
      <rPr>
        <sz val="12"/>
        <rFont val="標楷體"/>
        <family val="4"/>
        <charset val="136"/>
      </rPr>
      <t>不動產受益證券合計</t>
    </r>
    <phoneticPr fontId="32" type="noConversion"/>
  </si>
  <si>
    <r>
      <rPr>
        <sz val="12"/>
        <rFont val="標楷體"/>
        <family val="4"/>
        <charset val="136"/>
      </rPr>
      <t>其他固定型收益投資</t>
    </r>
    <phoneticPr fontId="30" type="noConversion"/>
  </si>
  <si>
    <r>
      <rPr>
        <sz val="12"/>
        <rFont val="標楷體"/>
        <family val="4"/>
        <charset val="136"/>
      </rPr>
      <t>其他固定型收益投資合計</t>
    </r>
    <phoneticPr fontId="32"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</si>
  <si>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30" type="noConversion"/>
  </si>
  <si>
    <r>
      <rPr>
        <sz val="12"/>
        <rFont val="標楷體"/>
        <family val="4"/>
        <charset val="136"/>
      </rPr>
      <t>固定收益特別股票合計數</t>
    </r>
    <phoneticPr fontId="30" type="noConversion"/>
  </si>
  <si>
    <r>
      <rPr>
        <sz val="12"/>
        <rFont val="標楷體"/>
        <family val="4"/>
        <charset val="136"/>
      </rPr>
      <t>註</t>
    </r>
    <r>
      <rPr>
        <sz val="12"/>
        <rFont val="Times New Roman"/>
        <family val="1"/>
      </rPr>
      <t>1</t>
    </r>
    <phoneticPr fontId="32"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</si>
  <si>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2"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</si>
  <si>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2"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</si>
  <si>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2"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</si>
  <si>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2"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</si>
  <si>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2"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</si>
  <si>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</si>
  <si>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</si>
  <si>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2"/>
        <rFont val="標楷體"/>
        <family val="4"/>
        <charset val="136"/>
      </rPr>
      <t>列號</t>
    </r>
    <phoneticPr fontId="32" type="noConversion"/>
  </si>
  <si>
    <r>
      <rPr>
        <sz val="12"/>
        <rFont val="標楷體"/>
        <family val="4"/>
        <charset val="136"/>
      </rPr>
      <t>頁次</t>
    </r>
    <phoneticPr fontId="32" type="noConversion"/>
  </si>
  <si>
    <r>
      <rPr>
        <sz val="12"/>
        <rFont val="標楷體"/>
        <family val="4"/>
        <charset val="136"/>
      </rPr>
      <t>填報頻率</t>
    </r>
    <phoneticPr fontId="32" type="noConversion"/>
  </si>
  <si>
    <r>
      <rPr>
        <sz val="12"/>
        <rFont val="標楷體"/>
        <family val="4"/>
        <charset val="136"/>
      </rPr>
      <t>異動時需即時申報</t>
    </r>
    <phoneticPr fontId="32"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</si>
  <si>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2"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</si>
  <si>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2" type="noConversion"/>
  </si>
  <si>
    <r>
      <rPr>
        <sz val="12"/>
        <rFont val="標楷體"/>
        <family val="4"/>
        <charset val="136"/>
      </rPr>
      <t>簽證精算人員查核表格</t>
    </r>
    <phoneticPr fontId="32" type="noConversion"/>
  </si>
  <si>
    <r>
      <rPr>
        <sz val="12"/>
        <rFont val="標楷體"/>
        <family val="4"/>
        <charset val="136"/>
      </rPr>
      <t>最後複核人</t>
    </r>
    <phoneticPr fontId="32" type="noConversion"/>
  </si>
  <si>
    <r>
      <rPr>
        <sz val="12"/>
        <rFont val="標楷體"/>
        <family val="4"/>
        <charset val="136"/>
      </rPr>
      <t>電話</t>
    </r>
    <phoneticPr fontId="32" type="noConversion"/>
  </si>
  <si>
    <r>
      <rPr>
        <sz val="12"/>
        <rFont val="標楷體"/>
        <family val="4"/>
        <charset val="136"/>
      </rPr>
      <t>填表人姓名</t>
    </r>
    <phoneticPr fontId="32" type="noConversion"/>
  </si>
  <si>
    <r>
      <rPr>
        <sz val="12"/>
        <rFont val="標楷體"/>
        <family val="4"/>
        <charset val="136"/>
      </rPr>
      <t>半年</t>
    </r>
    <phoneticPr fontId="32" type="noConversion"/>
  </si>
  <si>
    <r>
      <rPr>
        <sz val="12"/>
        <rFont val="標楷體"/>
        <family val="4"/>
        <charset val="136"/>
      </rPr>
      <t>否</t>
    </r>
  </si>
  <si>
    <r>
      <rPr>
        <sz val="12"/>
        <rFont val="標楷體"/>
        <family val="4"/>
        <charset val="136"/>
      </rPr>
      <t>是</t>
    </r>
    <phoneticPr fontId="30" type="noConversion"/>
  </si>
  <si>
    <r>
      <rPr>
        <sz val="12"/>
        <rFont val="標楷體"/>
        <family val="4"/>
        <charset val="136"/>
      </rPr>
      <t>年</t>
    </r>
    <phoneticPr fontId="32" type="noConversion"/>
  </si>
  <si>
    <r>
      <rPr>
        <sz val="12"/>
        <rFont val="標楷體"/>
        <family val="4"/>
        <charset val="136"/>
      </rPr>
      <t>是</t>
    </r>
  </si>
  <si>
    <r>
      <rPr>
        <sz val="12"/>
        <rFont val="標楷體"/>
        <family val="4"/>
        <charset val="136"/>
      </rPr>
      <t>全部</t>
    </r>
  </si>
  <si>
    <r>
      <rPr>
        <sz val="12"/>
        <rFont val="標楷體"/>
        <family val="4"/>
        <charset val="136"/>
      </rPr>
      <t>年</t>
    </r>
    <phoneticPr fontId="30" type="noConversion"/>
  </si>
  <si>
    <r>
      <rPr>
        <sz val="12"/>
        <rFont val="標楷體"/>
        <family val="4"/>
        <charset val="136"/>
      </rPr>
      <t>否</t>
    </r>
    <phoneticPr fontId="30" type="noConversion"/>
  </si>
  <si>
    <r>
      <rPr>
        <sz val="12"/>
        <rFont val="標楷體"/>
        <family val="4"/>
        <charset val="136"/>
      </rPr>
      <t>年</t>
    </r>
  </si>
  <si>
    <r>
      <rPr>
        <sz val="12"/>
        <rFont val="標楷體"/>
        <family val="4"/>
        <charset val="136"/>
      </rPr>
      <t>否</t>
    </r>
    <phoneticPr fontId="32" type="noConversion"/>
  </si>
  <si>
    <r>
      <rPr>
        <sz val="12"/>
        <rFont val="標楷體"/>
        <family val="4"/>
        <charset val="136"/>
      </rPr>
      <t>是</t>
    </r>
    <phoneticPr fontId="32" type="noConversion"/>
  </si>
  <si>
    <r>
      <rPr>
        <sz val="12"/>
        <rFont val="標楷體"/>
        <family val="4"/>
        <charset val="136"/>
      </rPr>
      <t>全部</t>
    </r>
    <phoneticPr fontId="32" type="noConversion"/>
  </si>
  <si>
    <r>
      <rPr>
        <sz val="12"/>
        <rFont val="標楷體"/>
        <family val="4"/>
        <charset val="136"/>
      </rPr>
      <t>全部</t>
    </r>
    <phoneticPr fontId="30" type="noConversion"/>
  </si>
  <si>
    <r>
      <t>(2)(5)(7)(10)-(12)</t>
    </r>
    <r>
      <rPr>
        <sz val="12"/>
        <rFont val="標楷體"/>
        <family val="4"/>
        <charset val="136"/>
      </rPr>
      <t>欄</t>
    </r>
  </si>
  <si>
    <r>
      <t>(2)-(4)(9)(14)-(19)</t>
    </r>
    <r>
      <rPr>
        <sz val="12"/>
        <rFont val="標楷體"/>
        <family val="4"/>
        <charset val="136"/>
      </rPr>
      <t>欄</t>
    </r>
    <phoneticPr fontId="30" type="noConversion"/>
  </si>
  <si>
    <r>
      <t>(2)-(4)(6)(7)(14)(17)(22)-(27)</t>
    </r>
    <r>
      <rPr>
        <sz val="12"/>
        <rFont val="標楷體"/>
        <family val="4"/>
        <charset val="136"/>
      </rPr>
      <t>欄</t>
    </r>
    <phoneticPr fontId="30" type="noConversion"/>
  </si>
  <si>
    <r>
      <t>(2)(5)(6)(8)-(10)(13)(19)-(25)</t>
    </r>
    <r>
      <rPr>
        <sz val="12"/>
        <rFont val="標楷體"/>
        <family val="4"/>
        <charset val="136"/>
      </rPr>
      <t>欄</t>
    </r>
    <phoneticPr fontId="32" type="noConversion"/>
  </si>
  <si>
    <r>
      <t>(2)(4)(6)(9)(11)-(13)(18)(24)-(29)</t>
    </r>
    <r>
      <rPr>
        <sz val="12"/>
        <rFont val="標楷體"/>
        <family val="4"/>
        <charset val="136"/>
      </rPr>
      <t>欄</t>
    </r>
    <phoneticPr fontId="30" type="noConversion"/>
  </si>
  <si>
    <r>
      <t>(2)(3)(6)(7)(14)(19)-(24)</t>
    </r>
    <r>
      <rPr>
        <sz val="12"/>
        <rFont val="標楷體"/>
        <family val="4"/>
        <charset val="136"/>
      </rPr>
      <t>欄</t>
    </r>
    <phoneticPr fontId="30" type="noConversion"/>
  </si>
  <si>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</si>
  <si>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</si>
  <si>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免查</t>
    </r>
    <r>
      <rPr>
        <sz val="12"/>
        <rFont val="Times New Roman"/>
        <family val="1"/>
      </rPr>
      <t>(13)</t>
    </r>
    <r>
      <rPr>
        <sz val="12"/>
        <rFont val="標楷體"/>
        <family val="4"/>
        <charset val="136"/>
      </rPr>
      <t>欄</t>
    </r>
    <phoneticPr fontId="30" type="noConversion"/>
  </si>
  <si>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</si>
  <si>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t>(7)-(18)(22)(23)</t>
    </r>
    <r>
      <rPr>
        <sz val="12"/>
        <rFont val="標楷體"/>
        <family val="4"/>
        <charset val="136"/>
      </rPr>
      <t>欄</t>
    </r>
    <phoneticPr fontId="32" type="noConversion"/>
  </si>
  <si>
    <r>
      <t>(7)-(18)</t>
    </r>
    <r>
      <rPr>
        <sz val="12"/>
        <rFont val="標楷體"/>
        <family val="4"/>
        <charset val="136"/>
      </rPr>
      <t>欄</t>
    </r>
    <phoneticPr fontId="32" type="noConversion"/>
  </si>
  <si>
    <r>
      <t>(7)-(21)(25)(26)</t>
    </r>
    <r>
      <rPr>
        <sz val="12"/>
        <rFont val="標楷體"/>
        <family val="4"/>
        <charset val="136"/>
      </rPr>
      <t>欄</t>
    </r>
    <phoneticPr fontId="32" type="noConversion"/>
  </si>
  <si>
    <r>
      <t>(7)-(23)</t>
    </r>
    <r>
      <rPr>
        <sz val="12"/>
        <rFont val="標楷體"/>
        <family val="4"/>
        <charset val="136"/>
      </rPr>
      <t>欄</t>
    </r>
    <phoneticPr fontId="32" type="noConversion"/>
  </si>
  <si>
    <r>
      <t>(7)-(20)</t>
    </r>
    <r>
      <rPr>
        <sz val="12"/>
        <rFont val="標楷體"/>
        <family val="4"/>
        <charset val="136"/>
      </rPr>
      <t>欄</t>
    </r>
    <phoneticPr fontId="32" type="noConversion"/>
  </si>
  <si>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</si>
  <si>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半年</t>
    </r>
    <phoneticPr fontId="30" type="noConversion"/>
  </si>
  <si>
    <r>
      <t>(5a)-(6d)</t>
    </r>
    <r>
      <rPr>
        <sz val="12"/>
        <rFont val="標楷體"/>
        <family val="4"/>
        <charset val="136"/>
      </rPr>
      <t>及</t>
    </r>
    <r>
      <rPr>
        <sz val="12"/>
        <rFont val="Times New Roman"/>
        <family val="1"/>
      </rPr>
      <t>(13)</t>
    </r>
    <r>
      <rPr>
        <sz val="12"/>
        <rFont val="標楷體"/>
        <family val="4"/>
        <charset val="136"/>
      </rPr>
      <t>欄</t>
    </r>
    <phoneticPr fontId="30" type="noConversion"/>
  </si>
  <si>
    <r>
      <rPr>
        <sz val="12"/>
        <rFont val="標楷體"/>
        <family val="4"/>
        <charset val="136"/>
      </rPr>
      <t>是</t>
    </r>
    <r>
      <rPr>
        <sz val="12"/>
        <rFont val="Times New Roman"/>
        <family val="1"/>
      </rPr>
      <t xml:space="preserve">  (7a)-(13)</t>
    </r>
    <r>
      <rPr>
        <sz val="12"/>
        <rFont val="標楷體"/>
        <family val="4"/>
        <charset val="136"/>
      </rPr>
      <t>欄</t>
    </r>
    <phoneticPr fontId="30" type="noConversion"/>
  </si>
  <si>
    <r>
      <t>(6)-(10)</t>
    </r>
    <r>
      <rPr>
        <sz val="12"/>
        <rFont val="標楷體"/>
        <family val="4"/>
        <charset val="136"/>
      </rPr>
      <t>欄</t>
    </r>
    <phoneticPr fontId="30" type="noConversion"/>
  </si>
  <si>
    <r>
      <t>(41)</t>
    </r>
    <r>
      <rPr>
        <sz val="12"/>
        <rFont val="標楷體"/>
        <family val="4"/>
        <charset val="136"/>
      </rPr>
      <t>列</t>
    </r>
    <phoneticPr fontId="32" type="noConversion"/>
  </si>
  <si>
    <r>
      <t>(15)</t>
    </r>
    <r>
      <rPr>
        <sz val="12"/>
        <rFont val="標楷體"/>
        <family val="4"/>
        <charset val="136"/>
      </rPr>
      <t>列</t>
    </r>
    <phoneticPr fontId="32" type="noConversion"/>
  </si>
  <si>
    <t>天災信用風險合計</t>
    <phoneticPr fontId="30" type="noConversion"/>
  </si>
  <si>
    <t>一年期健康保險</t>
    <phoneticPr fontId="30" type="noConversion"/>
  </si>
  <si>
    <t>強制微型電動二輪車責任保險</t>
  </si>
  <si>
    <t>3b.1.1.1.31 強制微型電動二輪車責任保險</t>
    <phoneticPr fontId="30" type="noConversion"/>
  </si>
  <si>
    <t>3a.1.1.1.31 強制微型電動二輪車責任保險</t>
    <phoneticPr fontId="30" type="noConversion"/>
  </si>
  <si>
    <t>強制微型電動二輪車責任保險</t>
    <phoneticPr fontId="32" type="noConversion"/>
  </si>
  <si>
    <t>天災風險資本標準係數法試算表_再保險業_V202212</t>
    <phoneticPr fontId="30"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</si>
  <si>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</si>
  <si>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</si>
  <si>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</si>
  <si>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</si>
  <si>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</si>
  <si>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</si>
  <si>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</si>
  <si>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</si>
  <si>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</si>
  <si>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</si>
  <si>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</si>
  <si>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</si>
  <si>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</si>
  <si>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</si>
  <si>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</si>
  <si>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</si>
  <si>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</si>
  <si>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</si>
  <si>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</si>
  <si>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</si>
  <si>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</si>
  <si>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</si>
  <si>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</si>
  <si>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</si>
  <si>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</si>
  <si>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</si>
  <si>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</si>
  <si>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</si>
  <si>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</si>
  <si>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</si>
  <si>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</si>
  <si>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</si>
  <si>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</si>
  <si>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</si>
  <si>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</si>
  <si>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</si>
  <si>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</si>
  <si>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</si>
  <si>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</si>
  <si>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</si>
  <si>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</si>
  <si>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</si>
  <si>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</si>
  <si>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</si>
  <si>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</si>
  <si>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</si>
  <si>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</si>
  <si>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</si>
  <si>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</si>
  <si>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</si>
  <si>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</si>
  <si>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</si>
  <si>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</si>
  <si>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</si>
  <si>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</si>
  <si>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</si>
  <si>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</si>
  <si>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</si>
  <si>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</si>
  <si>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</si>
  <si>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</si>
  <si>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</si>
  <si>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</si>
  <si>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</si>
  <si>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</si>
  <si>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</si>
  <si>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</si>
  <si>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</si>
  <si>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</si>
  <si>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</si>
  <si>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</si>
  <si>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</si>
  <si>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</si>
  <si>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</si>
  <si>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</si>
  <si>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</si>
  <si>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</si>
  <si>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</si>
  <si>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t xml:space="preserve"> </t>
    </r>
    <r>
      <rPr>
        <sz val="10"/>
        <color theme="1"/>
        <rFont val="標楷體"/>
        <family val="4"/>
        <charset val="136"/>
      </rPr>
      <t>表</t>
    </r>
    <r>
      <rPr>
        <sz val="10"/>
        <color theme="1"/>
        <rFont val="Times New Roman"/>
        <family val="1"/>
      </rPr>
      <t>30-8-6</t>
    </r>
    <r>
      <rPr>
        <sz val="10"/>
        <color theme="1"/>
        <rFont val="標楷體"/>
        <family val="4"/>
        <charset val="136"/>
      </rPr>
      <t>：資金運用收益率調整計算表</t>
    </r>
    <phoneticPr fontId="32" type="noConversion"/>
  </si>
  <si>
    <r>
      <rPr>
        <sz val="10"/>
        <color theme="1"/>
        <rFont val="標楷體"/>
        <family val="4"/>
        <charset val="136"/>
      </rPr>
      <t>最近五年度資金運用收益率平均數</t>
    </r>
  </si>
  <si>
    <r>
      <rPr>
        <sz val="10"/>
        <color theme="1"/>
        <rFont val="標楷體"/>
        <family val="4"/>
        <charset val="136"/>
      </rPr>
      <t>調整後資金運用收益率</t>
    </r>
    <r>
      <rPr>
        <sz val="10"/>
        <color theme="1"/>
        <rFont val="Times New Roman"/>
        <family val="1"/>
      </rPr>
      <t>(</t>
    </r>
    <r>
      <rPr>
        <sz val="10"/>
        <color theme="1"/>
        <rFont val="標楷體"/>
        <family val="4"/>
        <charset val="136"/>
      </rPr>
      <t>註</t>
    </r>
    <r>
      <rPr>
        <sz val="10"/>
        <color theme="1"/>
        <rFont val="Times New Roman"/>
        <family val="1"/>
      </rPr>
      <t>2)</t>
    </r>
    <phoneticPr fontId="32" type="noConversion"/>
  </si>
  <si>
    <r>
      <t>__</t>
    </r>
    <r>
      <rPr>
        <sz val="10"/>
        <color theme="1"/>
        <rFont val="標楷體"/>
        <family val="4"/>
        <charset val="136"/>
      </rPr>
      <t xml:space="preserve">年
</t>
    </r>
    <r>
      <rPr>
        <sz val="10"/>
        <color theme="1"/>
        <rFont val="Times New Roman"/>
        <family val="1"/>
      </rPr>
      <t>(</t>
    </r>
    <r>
      <rPr>
        <sz val="10"/>
        <color theme="1"/>
        <rFont val="標楷體"/>
        <family val="4"/>
        <charset val="136"/>
      </rPr>
      <t>註</t>
    </r>
    <r>
      <rPr>
        <sz val="10"/>
        <color theme="1"/>
        <rFont val="Times New Roman"/>
        <family val="1"/>
      </rPr>
      <t>1)</t>
    </r>
    <phoneticPr fontId="32" type="noConversion"/>
  </si>
  <si>
    <r>
      <t>__</t>
    </r>
    <r>
      <rPr>
        <sz val="10"/>
        <color theme="1"/>
        <rFont val="標楷體"/>
        <family val="4"/>
        <charset val="136"/>
      </rPr>
      <t xml:space="preserve">年下半年
</t>
    </r>
    <r>
      <rPr>
        <sz val="10"/>
        <color theme="1"/>
        <rFont val="Times New Roman"/>
        <family val="1"/>
      </rPr>
      <t>(</t>
    </r>
    <r>
      <rPr>
        <sz val="10"/>
        <color theme="1"/>
        <rFont val="標楷體"/>
        <family val="4"/>
        <charset val="136"/>
      </rPr>
      <t>註</t>
    </r>
    <r>
      <rPr>
        <sz val="10"/>
        <color theme="1"/>
        <rFont val="Times New Roman"/>
        <family val="1"/>
      </rPr>
      <t>1)</t>
    </r>
    <phoneticPr fontId="32" type="noConversion"/>
  </si>
  <si>
    <r>
      <rPr>
        <sz val="10"/>
        <color rgb="FFFF0000"/>
        <rFont val="Times New Roman"/>
        <family val="1"/>
      </rPr>
      <t>(5a)</t>
    </r>
    <phoneticPr fontId="32" type="noConversion"/>
  </si>
  <si>
    <r>
      <rPr>
        <sz val="10"/>
        <color theme="1"/>
        <rFont val="標楷體"/>
        <family val="4"/>
        <charset val="136"/>
      </rPr>
      <t>註</t>
    </r>
    <r>
      <rPr>
        <sz val="10"/>
        <color theme="1"/>
        <rFont val="Times New Roman"/>
        <family val="1"/>
      </rPr>
      <t>:</t>
    </r>
  </si>
  <si>
    <r>
      <rPr>
        <sz val="10"/>
        <color theme="1"/>
        <rFont val="標楷體"/>
        <family val="4"/>
        <charset val="136"/>
      </rPr>
      <t>請依調整後收益率填列。</t>
    </r>
    <phoneticPr fontId="32" type="noConversion"/>
  </si>
  <si>
    <r>
      <rPr>
        <sz val="10"/>
        <color theme="1"/>
        <rFont val="標楷體"/>
        <family val="4"/>
        <charset val="136"/>
      </rPr>
      <t>調整後資金運用收益率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前期期末資金運用數＊</t>
    </r>
    <r>
      <rPr>
        <sz val="10"/>
        <color theme="1"/>
        <rFont val="Times New Roman"/>
        <family val="1"/>
      </rPr>
      <t>+</t>
    </r>
    <r>
      <rPr>
        <sz val="10"/>
        <color theme="1"/>
        <rFont val="標楷體"/>
        <family val="4"/>
        <charset val="136"/>
      </rPr>
      <t>本期期末資金運用數＊－</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2" type="noConversion"/>
  </si>
  <si>
    <r>
      <rPr>
        <sz val="10"/>
        <color theme="1"/>
        <rFont val="標楷體"/>
        <family val="4"/>
        <charset val="136"/>
      </rPr>
      <t>上列調整數係指反映以半年平均價基礎認列未實現損益之影響金額</t>
    </r>
    <r>
      <rPr>
        <sz val="10"/>
        <color theme="1"/>
        <rFont val="Times New Roman"/>
        <family val="1"/>
      </rPr>
      <t>(</t>
    </r>
    <r>
      <rPr>
        <sz val="10"/>
        <color theme="1"/>
        <rFont val="標楷體"/>
        <family val="4"/>
        <charset val="136"/>
      </rPr>
      <t>請保留詳細工作表，以利查核</t>
    </r>
    <r>
      <rPr>
        <sz val="10"/>
        <color theme="1"/>
        <rFont val="Times New Roman"/>
        <family val="1"/>
      </rPr>
      <t>)</t>
    </r>
    <phoneticPr fontId="32" type="noConversion"/>
  </si>
  <si>
    <r>
      <rPr>
        <sz val="10"/>
        <color theme="1"/>
        <rFont val="標楷體"/>
        <family val="4"/>
        <charset val="136"/>
      </rPr>
      <t>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phoneticPr fontId="32" type="noConversion"/>
  </si>
  <si>
    <r>
      <rPr>
        <sz val="10"/>
        <color theme="1"/>
        <rFont val="標楷體"/>
        <family val="4"/>
        <charset val="136"/>
      </rPr>
      <t>下半年計算公式</t>
    </r>
    <r>
      <rPr>
        <sz val="10"/>
        <color theme="1"/>
        <rFont val="Times New Roman"/>
        <family val="1"/>
      </rPr>
      <t xml:space="preserve"> : </t>
    </r>
    <phoneticPr fontId="32" type="noConversion"/>
  </si>
  <si>
    <r>
      <rPr>
        <sz val="10"/>
        <color theme="1"/>
        <rFont val="標楷體"/>
        <family val="4"/>
        <charset val="136"/>
      </rPr>
      <t>下半年資金運用收益率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上半年期末資金運用數＊</t>
    </r>
    <r>
      <rPr>
        <sz val="10"/>
        <color theme="1"/>
        <rFont val="Times New Roman"/>
        <family val="1"/>
      </rPr>
      <t>+</t>
    </r>
    <r>
      <rPr>
        <sz val="10"/>
        <color theme="1"/>
        <rFont val="標楷體"/>
        <family val="4"/>
        <charset val="136"/>
      </rPr>
      <t>下半年期末資金運用數＊－</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2" type="noConversion"/>
  </si>
  <si>
    <r>
      <rPr>
        <sz val="10"/>
        <color theme="1"/>
        <rFont val="標楷體"/>
        <family val="4"/>
        <charset val="136"/>
      </rPr>
      <t>所稱下半年度資金運用收益</t>
    </r>
    <r>
      <rPr>
        <sz val="10"/>
        <color theme="1"/>
        <rFont val="Times New Roman"/>
        <family val="1"/>
      </rPr>
      <t xml:space="preserve"> = </t>
    </r>
    <r>
      <rPr>
        <sz val="10"/>
        <color theme="1"/>
        <rFont val="標楷體"/>
        <family val="4"/>
        <charset val="136"/>
      </rPr>
      <t>全年度損益</t>
    </r>
    <r>
      <rPr>
        <sz val="10"/>
        <color theme="1"/>
        <rFont val="Times New Roman"/>
        <family val="1"/>
      </rPr>
      <t xml:space="preserve"> - </t>
    </r>
    <r>
      <rPr>
        <sz val="10"/>
        <color theme="1"/>
        <rFont val="標楷體"/>
        <family val="4"/>
        <charset val="136"/>
      </rPr>
      <t>上半年度損益</t>
    </r>
    <phoneticPr fontId="32" type="noConversion"/>
  </si>
  <si>
    <r>
      <t xml:space="preserve">1.1 </t>
    </r>
    <r>
      <rPr>
        <sz val="12"/>
        <color theme="1"/>
        <rFont val="標楷體"/>
        <family val="4"/>
        <charset val="136"/>
      </rPr>
      <t>股票型共同基金半年均價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</si>
  <si>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1.2 </t>
    </r>
    <r>
      <rPr>
        <sz val="12"/>
        <color theme="1"/>
        <rFont val="標楷體"/>
        <family val="4"/>
        <charset val="136"/>
      </rPr>
      <t>股票型共同基金半年均價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</si>
  <si>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</si>
  <si>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</si>
  <si>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</si>
  <si>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</si>
  <si>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已開發國家</t>
    </r>
    <phoneticPr fontId="30"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</si>
  <si>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新興市場</t>
    </r>
    <phoneticPr fontId="30"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</si>
  <si>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</si>
  <si>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</si>
  <si>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</si>
  <si>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</si>
  <si>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具控制與從屬關係</t>
    </r>
    <phoneticPr fontId="30"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</si>
  <si>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非控制與從屬關係</t>
    </r>
    <phoneticPr fontId="30" type="noConversion"/>
  </si>
  <si>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30"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</si>
  <si>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2"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</si>
  <si>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2"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</si>
  <si>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2"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</si>
  <si>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2"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</si>
  <si>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2"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</si>
  <si>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(42-15-16-17-32)</t>
    </r>
    <r>
      <rPr>
        <sz val="12"/>
        <color theme="1"/>
        <rFont val="標楷體"/>
        <family val="4"/>
        <charset val="136"/>
      </rPr>
      <t>列、第</t>
    </r>
    <r>
      <rPr>
        <sz val="12"/>
        <color theme="1"/>
        <rFont val="Times New Roman"/>
        <family val="1"/>
      </rPr>
      <t>(29)</t>
    </r>
    <r>
      <rPr>
        <sz val="12"/>
        <color theme="1"/>
        <rFont val="標楷體"/>
        <family val="4"/>
        <charset val="136"/>
      </rPr>
      <t>欄第</t>
    </r>
    <r>
      <rPr>
        <sz val="12"/>
        <color theme="1"/>
        <rFont val="Times New Roman"/>
        <family val="1"/>
      </rPr>
      <t>(21+30)</t>
    </r>
    <r>
      <rPr>
        <sz val="12"/>
        <color theme="1"/>
        <rFont val="標楷體"/>
        <family val="4"/>
        <charset val="136"/>
      </rPr>
      <t>，及加計「表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</si>
  <si>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(26)</t>
    </r>
    <r>
      <rPr>
        <sz val="12"/>
        <color theme="1"/>
        <rFont val="標楷體"/>
        <family val="4"/>
        <charset val="136"/>
      </rPr>
      <t>欄第</t>
    </r>
    <r>
      <rPr>
        <sz val="12"/>
        <color theme="1"/>
        <rFont val="Times New Roman"/>
        <family val="1"/>
      </rPr>
      <t>(42</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17</t>
    </r>
    <r>
      <rPr>
        <sz val="12"/>
        <color theme="1"/>
        <rFont val="標楷體"/>
        <family val="4"/>
        <charset val="136"/>
      </rPr>
      <t>－</t>
    </r>
    <r>
      <rPr>
        <sz val="12"/>
        <color theme="1"/>
        <rFont val="Times New Roman"/>
        <family val="1"/>
      </rPr>
      <t>32)</t>
    </r>
    <r>
      <rPr>
        <sz val="12"/>
        <color theme="1"/>
        <rFont val="標楷體"/>
        <family val="4"/>
        <charset val="136"/>
      </rPr>
      <t>列</t>
    </r>
    <phoneticPr fontId="30" type="noConversion"/>
  </si>
  <si>
    <r>
      <rPr>
        <sz val="10"/>
        <color theme="1"/>
        <rFont val="標楷體"/>
        <family val="4"/>
        <charset val="136"/>
      </rPr>
      <t>「表</t>
    </r>
    <r>
      <rPr>
        <sz val="10"/>
        <color theme="1"/>
        <rFont val="Book Antiqua"/>
        <family val="1"/>
      </rPr>
      <t>20-1:</t>
    </r>
    <r>
      <rPr>
        <sz val="10"/>
        <color theme="1"/>
        <rFont val="標楷體"/>
        <family val="4"/>
        <charset val="136"/>
      </rPr>
      <t>分入再保險業務業績比較分析表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(42)</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(15)</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(16)</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(17)</t>
    </r>
    <r>
      <rPr>
        <sz val="10"/>
        <color theme="1"/>
        <rFont val="標楷體"/>
        <family val="4"/>
        <charset val="136"/>
      </rPr>
      <t>列</t>
    </r>
    <r>
      <rPr>
        <sz val="10"/>
        <color theme="1"/>
        <rFont val="Book Antiqua"/>
        <family val="4"/>
      </rPr>
      <t>-</t>
    </r>
    <r>
      <rPr>
        <sz val="10"/>
        <color theme="1"/>
        <rFont val="標楷體"/>
        <family val="4"/>
        <charset val="136"/>
      </rPr>
      <t>第</t>
    </r>
    <r>
      <rPr>
        <sz val="10"/>
        <color theme="1"/>
        <rFont val="Book Antiqua"/>
        <family val="1"/>
      </rPr>
      <t>(32)</t>
    </r>
    <r>
      <rPr>
        <sz val="10"/>
        <color theme="1"/>
        <rFont val="標楷體"/>
        <family val="4"/>
        <charset val="136"/>
      </rPr>
      <t>列</t>
    </r>
    <phoneticPr fontId="30" type="noConversion"/>
  </si>
  <si>
    <r>
      <t xml:space="preserve">3a.1.1.1.31 </t>
    </r>
    <r>
      <rPr>
        <sz val="10"/>
        <color theme="1"/>
        <rFont val="標楷體"/>
        <family val="4"/>
        <charset val="136"/>
      </rPr>
      <t>強制微型電動二輪車責任保險</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</si>
  <si>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</si>
  <si>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</si>
  <si>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</si>
  <si>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</si>
  <si>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</si>
  <si>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</si>
  <si>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</si>
  <si>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</si>
  <si>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</si>
  <si>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30" type="noConversion"/>
  </si>
  <si>
    <r>
      <rPr>
        <sz val="10"/>
        <color theme="1"/>
        <rFont val="Book Antiqua"/>
        <family val="1"/>
      </rPr>
      <t>3b.1.1.1.31</t>
    </r>
    <r>
      <rPr>
        <sz val="10"/>
        <color theme="1"/>
        <rFont val="標楷體"/>
        <family val="4"/>
        <charset val="136"/>
      </rPr>
      <t xml:space="preserve"> 強制微型電動二輪車責任保險</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</si>
  <si>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</si>
  <si>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</si>
  <si>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</si>
  <si>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</si>
  <si>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</si>
  <si>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</si>
  <si>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</si>
  <si>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</si>
  <si>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30"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</si>
  <si>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30"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</si>
  <si>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2" type="noConversion"/>
  </si>
  <si>
    <r>
      <t xml:space="preserve">R1a </t>
    </r>
    <r>
      <rPr>
        <sz val="12"/>
        <color theme="1"/>
        <rFont val="標楷體"/>
        <family val="4"/>
        <charset val="136"/>
      </rPr>
      <t>國內資產風險</t>
    </r>
    <phoneticPr fontId="30" type="noConversion"/>
  </si>
  <si>
    <r>
      <t xml:space="preserve">1.1 </t>
    </r>
    <r>
      <rPr>
        <sz val="12"/>
        <color theme="1"/>
        <rFont val="標楷體"/>
        <family val="4"/>
        <charset val="136"/>
      </rPr>
      <t>現金及銀行存款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</si>
  <si>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30" type="noConversion"/>
  </si>
  <si>
    <r>
      <t xml:space="preserve">1.2 </t>
    </r>
    <r>
      <rPr>
        <sz val="12"/>
        <color theme="1"/>
        <rFont val="標楷體"/>
        <family val="4"/>
        <charset val="136"/>
      </rPr>
      <t>有價證券</t>
    </r>
    <phoneticPr fontId="30" type="noConversion"/>
  </si>
  <si>
    <r>
      <t xml:space="preserve">1.2.1 </t>
    </r>
    <r>
      <rPr>
        <sz val="12"/>
        <color theme="1"/>
        <rFont val="標楷體"/>
        <family val="4"/>
        <charset val="136"/>
      </rPr>
      <t>債券</t>
    </r>
    <phoneticPr fontId="30" type="noConversion"/>
  </si>
  <si>
    <r>
      <t xml:space="preserve">1.2.1.1 </t>
    </r>
    <r>
      <rPr>
        <sz val="12"/>
        <color theme="1"/>
        <rFont val="標楷體"/>
        <family val="4"/>
        <charset val="136"/>
      </rPr>
      <t>公債及國庫券</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</si>
  <si>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t>
    </r>
    <r>
      <rPr>
        <sz val="12"/>
        <color theme="1"/>
        <rFont val="標楷體"/>
        <family val="4"/>
        <charset val="136"/>
      </rPr>
      <t>列</t>
    </r>
    <phoneticPr fontId="30" type="noConversion"/>
  </si>
  <si>
    <r>
      <t xml:space="preserve">1.2.1.2 </t>
    </r>
    <r>
      <rPr>
        <sz val="12"/>
        <color theme="1"/>
        <rFont val="標楷體"/>
        <family val="4"/>
        <charset val="136"/>
      </rPr>
      <t>公司債</t>
    </r>
    <phoneticPr fontId="30" type="noConversion"/>
  </si>
  <si>
    <r>
      <t xml:space="preserve">1.2.1.2.1 </t>
    </r>
    <r>
      <rPr>
        <sz val="12"/>
        <color theme="1"/>
        <rFont val="標楷體"/>
        <family val="4"/>
        <charset val="136"/>
      </rPr>
      <t>屬保險業實質互相投資之具資本性質債券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</si>
  <si>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(13)</t>
    </r>
    <r>
      <rPr>
        <sz val="12"/>
        <color theme="1"/>
        <rFont val="標楷體"/>
        <family val="4"/>
        <charset val="136"/>
      </rPr>
      <t>列</t>
    </r>
    <phoneticPr fontId="32" type="noConversion"/>
  </si>
  <si>
    <r>
      <t xml:space="preserve">1.2.1.2.2 </t>
    </r>
    <r>
      <rPr>
        <sz val="12"/>
        <color theme="1"/>
        <rFont val="標楷體"/>
        <family val="4"/>
        <charset val="136"/>
      </rPr>
      <t>非「屬保險業實質互相投資之具資本性質債券」</t>
    </r>
    <phoneticPr fontId="30" type="noConversion"/>
  </si>
  <si>
    <r>
      <t xml:space="preserve">1.2.1.2.2.1 </t>
    </r>
    <r>
      <rPr>
        <sz val="12"/>
        <color theme="1"/>
        <rFont val="標楷體"/>
        <family val="4"/>
        <charset val="136"/>
      </rPr>
      <t>有評等公司債</t>
    </r>
    <r>
      <rPr>
        <sz val="12"/>
        <color theme="1"/>
        <rFont val="Times New Roman"/>
        <family val="1"/>
      </rPr>
      <t xml:space="preserve"> </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</si>
  <si>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(19-115)</t>
    </r>
    <r>
      <rPr>
        <sz val="12"/>
        <color theme="1"/>
        <rFont val="標楷體"/>
        <family val="4"/>
        <charset val="136"/>
      </rPr>
      <t>列</t>
    </r>
    <phoneticPr fontId="30" type="noConversion"/>
  </si>
  <si>
    <r>
      <t xml:space="preserve">1.2.1.2.2.2 </t>
    </r>
    <r>
      <rPr>
        <sz val="12"/>
        <color theme="1"/>
        <rFont val="標楷體"/>
        <family val="4"/>
        <charset val="136"/>
      </rPr>
      <t>無評等公司債但提供保證的機構有評等</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</si>
  <si>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(38)</t>
    </r>
    <r>
      <rPr>
        <sz val="12"/>
        <color theme="1"/>
        <rFont val="標楷體"/>
        <family val="4"/>
        <charset val="136"/>
      </rPr>
      <t>列</t>
    </r>
    <phoneticPr fontId="30" type="noConversion"/>
  </si>
  <si>
    <r>
      <t xml:space="preserve">1.2.1.2.2.3 </t>
    </r>
    <r>
      <rPr>
        <sz val="12"/>
        <color theme="1"/>
        <rFont val="標楷體"/>
        <family val="4"/>
        <charset val="136"/>
      </rPr>
      <t>可轉換公司債及附認股權公司債</t>
    </r>
    <phoneticPr fontId="30"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</si>
  <si>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(39)</t>
    </r>
    <r>
      <rPr>
        <sz val="12"/>
        <color theme="1"/>
        <rFont val="標楷體"/>
        <family val="4"/>
        <charset val="136"/>
      </rPr>
      <t>列</t>
    </r>
    <phoneticPr fontId="30" type="noConversion"/>
  </si>
  <si>
    <r>
      <t xml:space="preserve">1.2.1.3 </t>
    </r>
    <r>
      <rPr>
        <sz val="12"/>
        <color theme="1"/>
        <rFont val="標楷體"/>
        <family val="4"/>
        <charset val="136"/>
      </rPr>
      <t>金融債券</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</si>
  <si>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(58)</t>
    </r>
    <r>
      <rPr>
        <sz val="12"/>
        <color theme="1"/>
        <rFont val="標楷體"/>
        <family val="4"/>
        <charset val="136"/>
      </rPr>
      <t>列</t>
    </r>
    <phoneticPr fontId="30" type="noConversion"/>
  </si>
  <si>
    <r>
      <t xml:space="preserve">1.2.1.4 </t>
    </r>
    <r>
      <rPr>
        <sz val="12"/>
        <color theme="1"/>
        <rFont val="標楷體"/>
        <family val="4"/>
        <charset val="136"/>
      </rPr>
      <t>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30" type="noConversion"/>
  </si>
  <si>
    <r>
      <t xml:space="preserve">1.2.1.4.1 </t>
    </r>
    <r>
      <rPr>
        <sz val="12"/>
        <color theme="1"/>
        <rFont val="標楷體"/>
        <family val="4"/>
        <charset val="136"/>
      </rPr>
      <t>有評等不動產</t>
    </r>
    <r>
      <rPr>
        <sz val="12"/>
        <color theme="1"/>
        <rFont val="Times New Roman"/>
        <family val="1"/>
      </rPr>
      <t>(REAT)</t>
    </r>
    <r>
      <rPr>
        <sz val="12"/>
        <color theme="1"/>
        <rFont val="標楷體"/>
        <family val="4"/>
        <charset val="136"/>
      </rPr>
      <t>及金融資產受益證券</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</si>
  <si>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(77)</t>
    </r>
    <r>
      <rPr>
        <sz val="12"/>
        <color theme="1"/>
        <rFont val="標楷體"/>
        <family val="4"/>
        <charset val="136"/>
      </rPr>
      <t>列</t>
    </r>
    <phoneticPr fontId="30" type="noConversion"/>
  </si>
  <si>
    <r>
      <t xml:space="preserve">1.2.1.4.2 </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</si>
  <si>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(78)</t>
    </r>
    <r>
      <rPr>
        <sz val="12"/>
        <color theme="1"/>
        <rFont val="標楷體"/>
        <family val="4"/>
        <charset val="136"/>
      </rPr>
      <t>列</t>
    </r>
    <phoneticPr fontId="30" type="noConversion"/>
  </si>
  <si>
    <r>
      <t xml:space="preserve">1.2.1.4.3 </t>
    </r>
    <r>
      <rPr>
        <sz val="12"/>
        <color theme="1"/>
        <rFont val="標楷體"/>
        <family val="4"/>
        <charset val="136"/>
      </rPr>
      <t>不動產投資信託受益證券</t>
    </r>
    <r>
      <rPr>
        <sz val="12"/>
        <color theme="1"/>
        <rFont val="Times New Roman"/>
        <family val="1"/>
      </rPr>
      <t>(REIT)</t>
    </r>
    <phoneticPr fontId="30"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</si>
  <si>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(79)</t>
    </r>
    <r>
      <rPr>
        <sz val="12"/>
        <color theme="1"/>
        <rFont val="標楷體"/>
        <family val="4"/>
        <charset val="136"/>
      </rPr>
      <t>列</t>
    </r>
    <phoneticPr fontId="30" type="noConversion"/>
  </si>
  <si>
    <r>
      <t xml:space="preserve">1.2.2 </t>
    </r>
    <r>
      <rPr>
        <sz val="12"/>
        <color theme="1"/>
        <rFont val="標楷體"/>
        <family val="4"/>
        <charset val="136"/>
      </rPr>
      <t>票券</t>
    </r>
    <phoneticPr fontId="30" type="noConversion"/>
  </si>
  <si>
    <r>
      <t xml:space="preserve">1.2.2.1 </t>
    </r>
    <r>
      <rPr>
        <sz val="12"/>
        <color theme="1"/>
        <rFont val="標楷體"/>
        <family val="4"/>
        <charset val="136"/>
      </rPr>
      <t>可轉讓定期存單</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</si>
  <si>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t>
    </r>
    <r>
      <rPr>
        <sz val="12"/>
        <color theme="1"/>
        <rFont val="標楷體"/>
        <family val="4"/>
        <charset val="136"/>
      </rPr>
      <t>列</t>
    </r>
    <phoneticPr fontId="30" type="noConversion"/>
  </si>
  <si>
    <r>
      <t xml:space="preserve">1.2.2.2 </t>
    </r>
    <r>
      <rPr>
        <sz val="12"/>
        <color theme="1"/>
        <rFont val="標楷體"/>
        <family val="4"/>
        <charset val="136"/>
      </rPr>
      <t>銀行承兌匯票</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</si>
  <si>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30" type="noConversion"/>
  </si>
  <si>
    <r>
      <t xml:space="preserve">1.2.2.3 </t>
    </r>
    <r>
      <rPr>
        <sz val="12"/>
        <color theme="1"/>
        <rFont val="標楷體"/>
        <family val="4"/>
        <charset val="136"/>
      </rPr>
      <t>金融機構保證商業本票</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</si>
  <si>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</si>
  <si>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1.2.2.4 </t>
    </r>
    <r>
      <rPr>
        <sz val="12"/>
        <color theme="1"/>
        <rFont val="標楷體"/>
        <family val="4"/>
        <charset val="136"/>
      </rPr>
      <t>附買回條件之債券</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</si>
  <si>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t>
    </r>
    <r>
      <rPr>
        <sz val="12"/>
        <color theme="1"/>
        <rFont val="標楷體"/>
        <family val="4"/>
        <charset val="136"/>
      </rPr>
      <t>列</t>
    </r>
    <phoneticPr fontId="30" type="noConversion"/>
  </si>
  <si>
    <r>
      <t xml:space="preserve">1.2.3 </t>
    </r>
    <r>
      <rPr>
        <sz val="12"/>
        <color theme="1"/>
        <rFont val="標楷體"/>
        <family val="4"/>
        <charset val="136"/>
      </rPr>
      <t>股票</t>
    </r>
    <phoneticPr fontId="30" type="noConversion"/>
  </si>
  <si>
    <r>
      <t xml:space="preserve">1.2.3.1 </t>
    </r>
    <r>
      <rPr>
        <sz val="12"/>
        <color theme="1"/>
        <rFont val="標楷體"/>
        <family val="4"/>
        <charset val="136"/>
      </rPr>
      <t>上市普通股</t>
    </r>
    <phoneticPr fontId="30" type="noConversion"/>
  </si>
  <si>
    <r>
      <t xml:space="preserve">1.2.3.1.1 </t>
    </r>
    <r>
      <rPr>
        <sz val="12"/>
        <color theme="1"/>
        <rFont val="標楷體"/>
        <family val="4"/>
        <charset val="136"/>
      </rPr>
      <t>擔任被投資公司之董監事</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</si>
  <si>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(3+19)</t>
    </r>
    <r>
      <rPr>
        <sz val="12"/>
        <color theme="1"/>
        <rFont val="標楷體"/>
        <family val="4"/>
        <charset val="136"/>
      </rPr>
      <t>列</t>
    </r>
    <phoneticPr fontId="32" type="noConversion"/>
  </si>
  <si>
    <r>
      <t xml:space="preserve">1.2.3.1.2 </t>
    </r>
    <r>
      <rPr>
        <sz val="12"/>
        <color theme="1"/>
        <rFont val="標楷體"/>
        <family val="4"/>
        <charset val="136"/>
      </rPr>
      <t>未擔任被投資公司之董監事</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</si>
  <si>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(4+20)</t>
    </r>
    <r>
      <rPr>
        <sz val="12"/>
        <color theme="1"/>
        <rFont val="標楷體"/>
        <family val="4"/>
        <charset val="136"/>
      </rPr>
      <t>列</t>
    </r>
    <r>
      <rPr>
        <sz val="12"/>
        <color theme="1"/>
        <rFont val="Times New Roman"/>
        <family val="1"/>
      </rPr>
      <t xml:space="preserve"> - </t>
    </r>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(16)</t>
    </r>
    <r>
      <rPr>
        <sz val="12"/>
        <color theme="1"/>
        <rFont val="標楷體"/>
        <family val="4"/>
        <charset val="136"/>
      </rPr>
      <t>欄第</t>
    </r>
    <r>
      <rPr>
        <sz val="12"/>
        <color theme="1"/>
        <rFont val="Times New Roman"/>
        <family val="1"/>
      </rPr>
      <t>(35)</t>
    </r>
    <r>
      <rPr>
        <sz val="12"/>
        <color theme="1"/>
        <rFont val="標楷體"/>
        <family val="4"/>
        <charset val="136"/>
      </rPr>
      <t>列</t>
    </r>
    <phoneticPr fontId="32" type="noConversion"/>
  </si>
  <si>
    <r>
      <t xml:space="preserve">1.2.3.2 </t>
    </r>
    <r>
      <rPr>
        <sz val="12"/>
        <color theme="1"/>
        <rFont val="標楷體"/>
        <family val="4"/>
        <charset val="136"/>
      </rPr>
      <t>上櫃普通股</t>
    </r>
    <phoneticPr fontId="30" type="noConversion"/>
  </si>
  <si>
    <r>
      <t xml:space="preserve">1.2.3.2.1 </t>
    </r>
    <r>
      <rPr>
        <sz val="12"/>
        <color theme="1"/>
        <rFont val="標楷體"/>
        <family val="4"/>
        <charset val="136"/>
      </rPr>
      <t>擔任被投資公司之董監事</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</si>
  <si>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(6+22)</t>
    </r>
    <r>
      <rPr>
        <sz val="12"/>
        <color theme="1"/>
        <rFont val="標楷體"/>
        <family val="4"/>
        <charset val="136"/>
      </rPr>
      <t>列</t>
    </r>
    <phoneticPr fontId="32" type="noConversion"/>
  </si>
  <si>
    <r>
      <t xml:space="preserve">1.2.3.2.2 </t>
    </r>
    <r>
      <rPr>
        <sz val="12"/>
        <color theme="1"/>
        <rFont val="標楷體"/>
        <family val="4"/>
        <charset val="136"/>
      </rPr>
      <t>未擔任被投資公司之董監事</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</si>
  <si>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(7+23)</t>
    </r>
    <r>
      <rPr>
        <sz val="12"/>
        <color theme="1"/>
        <rFont val="標楷體"/>
        <family val="4"/>
        <charset val="136"/>
      </rPr>
      <t>列</t>
    </r>
    <phoneticPr fontId="32" type="noConversion"/>
  </si>
  <si>
    <r>
      <t xml:space="preserve">1.2.3.3 </t>
    </r>
    <r>
      <rPr>
        <sz val="12"/>
        <color theme="1"/>
        <rFont val="標楷體"/>
        <family val="4"/>
        <charset val="136"/>
      </rPr>
      <t>非上市上櫃普通股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</si>
  <si>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(8+24)</t>
    </r>
    <r>
      <rPr>
        <sz val="12"/>
        <color theme="1"/>
        <rFont val="標楷體"/>
        <family val="4"/>
        <charset val="136"/>
      </rPr>
      <t>列</t>
    </r>
    <phoneticPr fontId="32" type="noConversion"/>
  </si>
  <si>
    <r>
      <t xml:space="preserve">1.2.3.4 </t>
    </r>
    <r>
      <rPr>
        <sz val="12"/>
        <color theme="1"/>
        <rFont val="標楷體"/>
        <family val="4"/>
        <charset val="136"/>
      </rPr>
      <t>特別股</t>
    </r>
    <phoneticPr fontId="30" type="noConversion"/>
  </si>
  <si>
    <r>
      <t xml:space="preserve">1.2.3.4.1 </t>
    </r>
    <r>
      <rPr>
        <sz val="12"/>
        <color theme="1"/>
        <rFont val="標楷體"/>
        <family val="4"/>
        <charset val="136"/>
      </rPr>
      <t>屬保險業實質互相投資之負債型特別股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</si>
  <si>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(13)</t>
    </r>
    <r>
      <rPr>
        <sz val="12"/>
        <color theme="1"/>
        <rFont val="標楷體"/>
        <family val="4"/>
        <charset val="136"/>
      </rPr>
      <t>列</t>
    </r>
    <phoneticPr fontId="32" type="noConversion"/>
  </si>
  <si>
    <r>
      <t xml:space="preserve">1.2.3.4.2 </t>
    </r>
    <r>
      <rPr>
        <sz val="12"/>
        <color theme="1"/>
        <rFont val="標楷體"/>
        <family val="4"/>
        <charset val="136"/>
      </rPr>
      <t>非「屬保險業實質互相投資之負債型特別股」</t>
    </r>
    <phoneticPr fontId="30" type="noConversion"/>
  </si>
  <si>
    <r>
      <t xml:space="preserve">1.2.3.4.2.1 </t>
    </r>
    <r>
      <rPr>
        <sz val="12"/>
        <color theme="1"/>
        <rFont val="標楷體"/>
        <family val="4"/>
        <charset val="136"/>
      </rPr>
      <t>固定收益特別股</t>
    </r>
    <phoneticPr fontId="30"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</si>
  <si>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(96)</t>
    </r>
    <r>
      <rPr>
        <sz val="12"/>
        <color theme="1"/>
        <rFont val="標楷體"/>
        <family val="4"/>
        <charset val="136"/>
      </rPr>
      <t>列</t>
    </r>
    <phoneticPr fontId="30" type="noConversion"/>
  </si>
  <si>
    <r>
      <t xml:space="preserve">1.2.3.4.2.2 </t>
    </r>
    <r>
      <rPr>
        <sz val="12"/>
        <color theme="1"/>
        <rFont val="標楷體"/>
        <family val="4"/>
        <charset val="136"/>
      </rPr>
      <t>非固定收益特別股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</si>
  <si>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(12+28)</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(13+29)</t>
    </r>
    <r>
      <rPr>
        <sz val="12"/>
        <color theme="1"/>
        <rFont val="標楷體"/>
        <family val="4"/>
        <charset val="136"/>
      </rPr>
      <t>列之合計數</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(29)</t>
    </r>
    <r>
      <rPr>
        <sz val="12"/>
        <color theme="1"/>
        <rFont val="標楷體"/>
        <family val="4"/>
        <charset val="136"/>
      </rPr>
      <t>欄第</t>
    </r>
    <r>
      <rPr>
        <sz val="12"/>
        <color theme="1"/>
        <rFont val="Times New Roman"/>
        <family val="1"/>
      </rPr>
      <t>(12)</t>
    </r>
    <r>
      <rPr>
        <sz val="12"/>
        <color theme="1"/>
        <rFont val="標楷體"/>
        <family val="4"/>
        <charset val="136"/>
      </rPr>
      <t>列</t>
    </r>
    <phoneticPr fontId="32" type="noConversion"/>
  </si>
  <si>
    <r>
      <t xml:space="preserve">1.2.4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</si>
  <si>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t xml:space="preserve">1.2.4.1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</si>
  <si>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phoneticPr fontId="30" type="noConversion"/>
  </si>
  <si>
    <r>
      <t xml:space="preserve">1.2.4.2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</si>
  <si>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(53</t>
    </r>
    <r>
      <rPr>
        <b/>
        <sz val="12"/>
        <color theme="1"/>
        <rFont val="Times New Roman"/>
        <family val="1"/>
      </rPr>
      <t>)</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phoneticPr fontId="30" type="noConversion"/>
  </si>
  <si>
    <r>
      <t xml:space="preserve">1.2.4.3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</si>
  <si>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phoneticPr fontId="30" type="noConversion"/>
  </si>
  <si>
    <r>
      <t>1.2.4.4</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</si>
  <si>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(56)</t>
    </r>
    <r>
      <rPr>
        <sz val="12"/>
        <color theme="1"/>
        <rFont val="標楷體"/>
        <family val="4"/>
        <charset val="136"/>
      </rPr>
      <t>列</t>
    </r>
    <phoneticPr fontId="30" type="noConversion"/>
  </si>
  <si>
    <r>
      <t xml:space="preserve">1.2.4.5 </t>
    </r>
    <r>
      <rPr>
        <sz val="12"/>
        <color theme="1"/>
        <rFont val="標楷體"/>
        <family val="4"/>
        <charset val="136"/>
      </rPr>
      <t>私募基金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</si>
  <si>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phoneticPr fontId="30" type="noConversion"/>
  </si>
  <si>
    <r>
      <t>1.2.5.1 ETF-</t>
    </r>
    <r>
      <rPr>
        <sz val="12"/>
        <color theme="1"/>
        <rFont val="標楷體"/>
        <family val="4"/>
        <charset val="136"/>
      </rPr>
      <t>股票型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</si>
  <si>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phoneticPr fontId="30" type="noConversion"/>
  </si>
  <si>
    <r>
      <t>1.2.5.2 ETF-</t>
    </r>
    <r>
      <rPr>
        <sz val="12"/>
        <color theme="1"/>
        <rFont val="標楷體"/>
        <family val="4"/>
        <charset val="136"/>
      </rPr>
      <t>債券型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</si>
  <si>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phoneticPr fontId="30" type="noConversion"/>
  </si>
  <si>
    <r>
      <t>1.2.5.3 ETF-</t>
    </r>
    <r>
      <rPr>
        <sz val="12"/>
        <color theme="1"/>
        <rFont val="標楷體"/>
        <family val="4"/>
        <charset val="136"/>
      </rPr>
      <t>其他型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</si>
  <si>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</si>
  <si>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phoneticPr fontId="30" type="noConversion"/>
  </si>
  <si>
    <r>
      <t xml:space="preserve">1.3 </t>
    </r>
    <r>
      <rPr>
        <sz val="12"/>
        <color theme="1"/>
        <rFont val="標楷體"/>
        <family val="4"/>
        <charset val="136"/>
      </rPr>
      <t>不動產</t>
    </r>
    <phoneticPr fontId="30" type="noConversion"/>
  </si>
  <si>
    <r>
      <t xml:space="preserve">1.3.1 </t>
    </r>
    <r>
      <rPr>
        <sz val="12"/>
        <color theme="1"/>
        <rFont val="標楷體"/>
        <family val="4"/>
        <charset val="136"/>
      </rPr>
      <t>投資用不動產</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</si>
  <si>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1.3.1.1 </t>
    </r>
    <r>
      <rPr>
        <sz val="12"/>
        <color theme="1"/>
        <rFont val="標楷體"/>
        <family val="4"/>
        <charset val="136"/>
      </rPr>
      <t>不動產投資</t>
    </r>
    <phoneticPr fontId="30" type="noConversion"/>
  </si>
  <si>
    <r>
      <t xml:space="preserve">1.3.1.1.1 </t>
    </r>
    <r>
      <rPr>
        <sz val="12"/>
        <color theme="1"/>
        <rFont val="標楷體"/>
        <family val="4"/>
        <charset val="136"/>
      </rPr>
      <t>不動產投資</t>
    </r>
    <r>
      <rPr>
        <sz val="12"/>
        <color theme="1"/>
        <rFont val="Times New Roman"/>
        <family val="1"/>
      </rPr>
      <t>(</t>
    </r>
    <r>
      <rPr>
        <sz val="12"/>
        <color theme="1"/>
        <rFont val="標楷體"/>
        <family val="4"/>
        <charset val="136"/>
      </rPr>
      <t>除</t>
    </r>
    <r>
      <rPr>
        <sz val="12"/>
        <color theme="1"/>
        <rFont val="Times New Roman"/>
        <family val="1"/>
      </rPr>
      <t>1.3.1.1.2</t>
    </r>
    <r>
      <rPr>
        <sz val="12"/>
        <color theme="1"/>
        <rFont val="標楷體"/>
        <family val="4"/>
        <charset val="136"/>
      </rPr>
      <t>外</t>
    </r>
    <r>
      <rPr>
        <sz val="12"/>
        <color theme="1"/>
        <rFont val="Times New Roman"/>
        <family val="1"/>
      </rPr>
      <t>)</t>
    </r>
    <phoneticPr fontId="30" type="noConversion"/>
  </si>
  <si>
    <r>
      <t xml:space="preserve">1.3.1.1.2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</si>
  <si>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</si>
  <si>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t xml:space="preserve">1.3.1.2 </t>
    </r>
    <r>
      <rPr>
        <sz val="12"/>
        <color theme="1"/>
        <rFont val="標楷體"/>
        <family val="4"/>
        <charset val="136"/>
      </rPr>
      <t>承受擔保品</t>
    </r>
    <phoneticPr fontId="30" type="noConversion"/>
  </si>
  <si>
    <r>
      <t xml:space="preserve">1.3.1.2.1 </t>
    </r>
    <r>
      <rPr>
        <sz val="12"/>
        <color theme="1"/>
        <rFont val="標楷體"/>
        <family val="4"/>
        <charset val="136"/>
      </rPr>
      <t>協議取得</t>
    </r>
    <phoneticPr fontId="30" type="noConversion"/>
  </si>
  <si>
    <r>
      <t xml:space="preserve">1.3.1.2.1.1 </t>
    </r>
    <r>
      <rPr>
        <sz val="12"/>
        <color theme="1"/>
        <rFont val="標楷體"/>
        <family val="4"/>
        <charset val="136"/>
      </rPr>
      <t>協議取得</t>
    </r>
    <r>
      <rPr>
        <sz val="12"/>
        <color theme="1"/>
        <rFont val="Times New Roman"/>
        <family val="1"/>
      </rPr>
      <t>(</t>
    </r>
    <r>
      <rPr>
        <sz val="12"/>
        <color theme="1"/>
        <rFont val="標楷體"/>
        <family val="4"/>
        <charset val="136"/>
      </rPr>
      <t>除</t>
    </r>
    <r>
      <rPr>
        <sz val="12"/>
        <color theme="1"/>
        <rFont val="Times New Roman"/>
        <family val="1"/>
      </rPr>
      <t>1.3.1.2.1.2</t>
    </r>
    <r>
      <rPr>
        <sz val="12"/>
        <color theme="1"/>
        <rFont val="標楷體"/>
        <family val="4"/>
        <charset val="136"/>
      </rPr>
      <t>外</t>
    </r>
    <r>
      <rPr>
        <sz val="12"/>
        <color theme="1"/>
        <rFont val="Times New Roman"/>
        <family val="1"/>
      </rPr>
      <t>)</t>
    </r>
    <phoneticPr fontId="30" type="noConversion"/>
  </si>
  <si>
    <r>
      <t xml:space="preserve">1.3.1.2.1.2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</si>
  <si>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30" type="noConversion"/>
  </si>
  <si>
    <r>
      <t xml:space="preserve">1.3.1.2.2 </t>
    </r>
    <r>
      <rPr>
        <sz val="12"/>
        <color theme="1"/>
        <rFont val="標楷體"/>
        <family val="4"/>
        <charset val="136"/>
      </rPr>
      <t>經法院拍賣取得</t>
    </r>
    <phoneticPr fontId="30" type="noConversion"/>
  </si>
  <si>
    <r>
      <t xml:space="preserve">1.3.1.2.2.1 </t>
    </r>
    <r>
      <rPr>
        <sz val="12"/>
        <color theme="1"/>
        <rFont val="標楷體"/>
        <family val="4"/>
        <charset val="136"/>
      </rPr>
      <t>經法院拍賣取得</t>
    </r>
    <r>
      <rPr>
        <sz val="12"/>
        <color theme="1"/>
        <rFont val="Times New Roman"/>
        <family val="1"/>
      </rPr>
      <t>(</t>
    </r>
    <r>
      <rPr>
        <sz val="12"/>
        <color theme="1"/>
        <rFont val="標楷體"/>
        <family val="4"/>
        <charset val="136"/>
      </rPr>
      <t>除</t>
    </r>
    <r>
      <rPr>
        <sz val="12"/>
        <color theme="1"/>
        <rFont val="Times New Roman"/>
        <family val="1"/>
      </rPr>
      <t>1.3.1.2.2.2)</t>
    </r>
    <phoneticPr fontId="30" type="noConversion"/>
  </si>
  <si>
    <r>
      <t xml:space="preserve">1.3.1.2.2.2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</si>
  <si>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</si>
  <si>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1.3.2 </t>
    </r>
    <r>
      <rPr>
        <sz val="12"/>
        <color theme="1"/>
        <rFont val="標楷體"/>
        <family val="4"/>
        <charset val="136"/>
      </rPr>
      <t>自用不動產</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</si>
  <si>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</si>
  <si>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t xml:space="preserve">1.4 </t>
    </r>
    <r>
      <rPr>
        <sz val="12"/>
        <color theme="1"/>
        <rFont val="標楷體"/>
        <family val="4"/>
        <charset val="136"/>
      </rPr>
      <t>放款</t>
    </r>
    <phoneticPr fontId="30" type="noConversion"/>
  </si>
  <si>
    <r>
      <t xml:space="preserve">1.4.1 </t>
    </r>
    <r>
      <rPr>
        <sz val="12"/>
        <color theme="1"/>
        <rFont val="標楷體"/>
        <family val="4"/>
        <charset val="136"/>
      </rPr>
      <t>擔保放款</t>
    </r>
    <phoneticPr fontId="30" type="noConversion"/>
  </si>
  <si>
    <r>
      <t xml:space="preserve">1.4.1.1 </t>
    </r>
    <r>
      <rPr>
        <sz val="12"/>
        <color theme="1"/>
        <rFont val="標楷體"/>
        <family val="4"/>
        <charset val="136"/>
      </rPr>
      <t>不動產擔保放款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</si>
  <si>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(97+203)</t>
    </r>
    <r>
      <rPr>
        <sz val="12"/>
        <color theme="1"/>
        <rFont val="標楷體"/>
        <family val="4"/>
        <charset val="136"/>
      </rPr>
      <t>列</t>
    </r>
    <phoneticPr fontId="30" type="noConversion"/>
  </si>
  <si>
    <r>
      <t xml:space="preserve">1.4.1.2 </t>
    </r>
    <r>
      <rPr>
        <sz val="12"/>
        <color theme="1"/>
        <rFont val="標楷體"/>
        <family val="4"/>
        <charset val="136"/>
      </rPr>
      <t>動產擔保放款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</si>
  <si>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(98+204)</t>
    </r>
    <r>
      <rPr>
        <sz val="12"/>
        <color theme="1"/>
        <rFont val="標楷體"/>
        <family val="4"/>
        <charset val="136"/>
      </rPr>
      <t>列</t>
    </r>
    <phoneticPr fontId="30" type="noConversion"/>
  </si>
  <si>
    <r>
      <t xml:space="preserve">1.4.1.3 </t>
    </r>
    <r>
      <rPr>
        <sz val="12"/>
        <color theme="1"/>
        <rFont val="標楷體"/>
        <family val="4"/>
        <charset val="136"/>
      </rPr>
      <t>有價證券質押放款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</si>
  <si>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(99+205)</t>
    </r>
    <r>
      <rPr>
        <sz val="12"/>
        <color theme="1"/>
        <rFont val="標楷體"/>
        <family val="4"/>
        <charset val="136"/>
      </rPr>
      <t>列</t>
    </r>
    <phoneticPr fontId="30" type="noConversion"/>
  </si>
  <si>
    <r>
      <t xml:space="preserve">1.4.1.4 </t>
    </r>
    <r>
      <rPr>
        <sz val="12"/>
        <color theme="1"/>
        <rFont val="標楷體"/>
        <family val="4"/>
        <charset val="136"/>
      </rPr>
      <t>銀行保證放款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</si>
  <si>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(100+206)</t>
    </r>
    <r>
      <rPr>
        <sz val="12"/>
        <color theme="1"/>
        <rFont val="標楷體"/>
        <family val="4"/>
        <charset val="136"/>
      </rPr>
      <t>列</t>
    </r>
    <phoneticPr fontId="30" type="noConversion"/>
  </si>
  <si>
    <r>
      <t xml:space="preserve">1.5 </t>
    </r>
    <r>
      <rPr>
        <sz val="12"/>
        <color theme="1"/>
        <rFont val="標楷體"/>
        <family val="4"/>
        <charset val="136"/>
      </rPr>
      <t>其他投資資產</t>
    </r>
    <phoneticPr fontId="30" type="noConversion"/>
  </si>
  <si>
    <r>
      <t>1.5.1</t>
    </r>
    <r>
      <rPr>
        <sz val="12"/>
        <color theme="1"/>
        <rFont val="標楷體"/>
        <family val="4"/>
        <charset val="136"/>
      </rPr>
      <t>專案運用、公共及社會福利事業與其他主管機關核准項目</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</si>
  <si>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t>1.5.1.1</t>
    </r>
    <r>
      <rPr>
        <sz val="12"/>
        <color theme="1"/>
        <rFont val="標楷體"/>
        <family val="4"/>
        <charset val="136"/>
      </rPr>
      <t>政策性</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</si>
  <si>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(199)</t>
    </r>
    <r>
      <rPr>
        <sz val="12"/>
        <color theme="1"/>
        <rFont val="標楷體"/>
        <family val="4"/>
        <charset val="136"/>
      </rPr>
      <t>列</t>
    </r>
    <phoneticPr fontId="30" type="noConversion"/>
  </si>
  <si>
    <r>
      <t>1.5.2</t>
    </r>
    <r>
      <rPr>
        <sz val="12"/>
        <color theme="1"/>
        <rFont val="標楷體"/>
        <family val="4"/>
        <charset val="136"/>
      </rPr>
      <t>其他投資</t>
    </r>
    <phoneticPr fontId="30" type="noConversion"/>
  </si>
  <si>
    <r>
      <t xml:space="preserve">1.5.2.1 </t>
    </r>
    <r>
      <rPr>
        <sz val="12"/>
        <color theme="1"/>
        <rFont val="標楷體"/>
        <family val="4"/>
        <charset val="136"/>
      </rPr>
      <t>信託受益權</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</si>
  <si>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(235)</t>
    </r>
    <r>
      <rPr>
        <sz val="12"/>
        <color theme="1"/>
        <rFont val="標楷體"/>
        <family val="4"/>
        <charset val="136"/>
      </rPr>
      <t>列</t>
    </r>
    <phoneticPr fontId="30" type="noConversion"/>
  </si>
  <si>
    <r>
      <t xml:space="preserve">1.5.2.2 </t>
    </r>
    <r>
      <rPr>
        <sz val="12"/>
        <color theme="1"/>
        <rFont val="標楷體"/>
        <family val="4"/>
        <charset val="136"/>
      </rPr>
      <t>組合式存款</t>
    </r>
    <phoneticPr fontId="30" type="noConversion"/>
  </si>
  <si>
    <r>
      <t>1.5.2.2.1 "100%"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</si>
  <si>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</si>
  <si>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1.5.2.2.2 "90%"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</si>
  <si>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</si>
  <si>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1.5.2.3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</si>
  <si>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(21+55+58+208+237)</t>
    </r>
    <r>
      <rPr>
        <sz val="12"/>
        <color theme="1"/>
        <rFont val="標楷體"/>
        <family val="4"/>
        <charset val="136"/>
      </rPr>
      <t>列－「表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t>
    </r>
    <phoneticPr fontId="30" type="noConversion"/>
  </si>
  <si>
    <r>
      <t xml:space="preserve">1.6 </t>
    </r>
    <r>
      <rPr>
        <sz val="12"/>
        <color theme="1"/>
        <rFont val="標楷體"/>
        <family val="4"/>
        <charset val="136"/>
      </rPr>
      <t>國內外資產集中度風險</t>
    </r>
    <r>
      <rPr>
        <sz val="12"/>
        <color theme="1"/>
        <rFont val="Times New Roman"/>
        <family val="1"/>
      </rPr>
      <t>--</t>
    </r>
    <r>
      <rPr>
        <sz val="12"/>
        <color theme="1"/>
        <rFont val="標楷體"/>
        <family val="4"/>
        <charset val="136"/>
      </rPr>
      <t>國內部份</t>
    </r>
    <phoneticPr fontId="30" type="noConversion"/>
  </si>
  <si>
    <r>
      <t xml:space="preserve">R1b </t>
    </r>
    <r>
      <rPr>
        <sz val="12"/>
        <color theme="1"/>
        <rFont val="標楷體"/>
        <family val="4"/>
        <charset val="136"/>
      </rPr>
      <t>國外資產風險</t>
    </r>
    <phoneticPr fontId="30" type="noConversion"/>
  </si>
  <si>
    <r>
      <t xml:space="preserve">1b.1 </t>
    </r>
    <r>
      <rPr>
        <sz val="12"/>
        <color theme="1"/>
        <rFont val="標楷體"/>
        <family val="4"/>
        <charset val="136"/>
      </rPr>
      <t>已開發國家</t>
    </r>
    <phoneticPr fontId="30" type="noConversion"/>
  </si>
  <si>
    <r>
      <t xml:space="preserve">1b.1.1 </t>
    </r>
    <r>
      <rPr>
        <sz val="12"/>
        <color theme="1"/>
        <rFont val="標楷體"/>
        <family val="4"/>
        <charset val="136"/>
      </rPr>
      <t>現金及外幣存款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</si>
  <si>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(107)</t>
    </r>
    <r>
      <rPr>
        <sz val="12"/>
        <color theme="1"/>
        <rFont val="標楷體"/>
        <family val="4"/>
        <charset val="136"/>
      </rPr>
      <t>列</t>
    </r>
    <phoneticPr fontId="32" type="noConversion"/>
  </si>
  <si>
    <r>
      <t xml:space="preserve">1b.1.2 </t>
    </r>
    <r>
      <rPr>
        <sz val="12"/>
        <color theme="1"/>
        <rFont val="標楷體"/>
        <family val="4"/>
        <charset val="136"/>
      </rPr>
      <t>固定型收益投資</t>
    </r>
    <phoneticPr fontId="30" type="noConversion"/>
  </si>
  <si>
    <r>
      <t xml:space="preserve">1b.1.2.1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4)</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</si>
  <si>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</si>
  <si>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1b.1.2.2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</si>
  <si>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</si>
  <si>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1b.1.2.3 </t>
    </r>
    <r>
      <rPr>
        <sz val="12"/>
        <color theme="1"/>
        <rFont val="標楷體"/>
        <family val="4"/>
        <charset val="136"/>
      </rPr>
      <t>不動產投資信託基金</t>
    </r>
    <phoneticPr fontId="30" type="noConversion"/>
  </si>
  <si>
    <r>
      <t xml:space="preserve">1b.1.2.4 </t>
    </r>
    <r>
      <rPr>
        <sz val="12"/>
        <color theme="1"/>
        <rFont val="標楷體"/>
        <family val="4"/>
        <charset val="136"/>
      </rPr>
      <t>其他</t>
    </r>
    <phoneticPr fontId="30" type="noConversion"/>
  </si>
  <si>
    <r>
      <t xml:space="preserve">1b.1.2.4.1 </t>
    </r>
    <r>
      <rPr>
        <sz val="12"/>
        <color theme="1"/>
        <rFont val="標楷體"/>
        <family val="4"/>
        <charset val="136"/>
      </rPr>
      <t>有信用評等者</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</si>
  <si>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</si>
  <si>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1b.1.2.4.2 </t>
    </r>
    <r>
      <rPr>
        <sz val="12"/>
        <color theme="1"/>
        <rFont val="標楷體"/>
        <family val="4"/>
        <charset val="136"/>
      </rPr>
      <t>無信用評等者</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</si>
  <si>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(115)</t>
    </r>
    <r>
      <rPr>
        <sz val="12"/>
        <color theme="1"/>
        <rFont val="標楷體"/>
        <family val="4"/>
        <charset val="136"/>
      </rPr>
      <t>列</t>
    </r>
    <phoneticPr fontId="30" type="noConversion"/>
  </si>
  <si>
    <r>
      <t xml:space="preserve">1b.1.3 </t>
    </r>
    <r>
      <rPr>
        <sz val="12"/>
        <color theme="1"/>
        <rFont val="標楷體"/>
        <family val="4"/>
        <charset val="136"/>
      </rPr>
      <t>股票</t>
    </r>
    <phoneticPr fontId="30" type="noConversion"/>
  </si>
  <si>
    <r>
      <t xml:space="preserve">1b.1.3.1 </t>
    </r>
    <r>
      <rPr>
        <sz val="12"/>
        <color theme="1"/>
        <rFont val="標楷體"/>
        <family val="4"/>
        <charset val="136"/>
      </rPr>
      <t>普通股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</si>
  <si>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(31+36)</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(37)</t>
    </r>
    <r>
      <rPr>
        <sz val="12"/>
        <color theme="1"/>
        <rFont val="標楷體"/>
        <family val="4"/>
        <charset val="136"/>
      </rPr>
      <t>列之合計數</t>
    </r>
    <phoneticPr fontId="30" type="noConversion"/>
  </si>
  <si>
    <r>
      <t xml:space="preserve">1b.1.3.2 </t>
    </r>
    <r>
      <rPr>
        <sz val="12"/>
        <color theme="1"/>
        <rFont val="標楷體"/>
        <family val="4"/>
        <charset val="136"/>
      </rPr>
      <t>特別股</t>
    </r>
    <phoneticPr fontId="30" type="noConversion"/>
  </si>
  <si>
    <r>
      <t xml:space="preserve">1b.1.3.2.1 </t>
    </r>
    <r>
      <rPr>
        <sz val="12"/>
        <color theme="1"/>
        <rFont val="標楷體"/>
        <family val="4"/>
        <charset val="136"/>
      </rPr>
      <t>固定收益特別股</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</si>
  <si>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</si>
  <si>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1b.1.3.2.2 </t>
    </r>
    <r>
      <rPr>
        <sz val="12"/>
        <color theme="1"/>
        <rFont val="標楷體"/>
        <family val="4"/>
        <charset val="136"/>
      </rPr>
      <t>非固定收益特別股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</si>
  <si>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(41)</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列之合計數</t>
    </r>
    <phoneticPr fontId="30" type="noConversion"/>
  </si>
  <si>
    <r>
      <t xml:space="preserve">1b.1.4 </t>
    </r>
    <r>
      <rPr>
        <sz val="12"/>
        <color theme="1"/>
        <rFont val="標楷體"/>
        <family val="4"/>
        <charset val="136"/>
      </rPr>
      <t>受益憑證及信託資金</t>
    </r>
    <phoneticPr fontId="30" type="noConversion"/>
  </si>
  <si>
    <r>
      <t xml:space="preserve">1b.1.4.1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</si>
  <si>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已開發國家</t>
    </r>
    <r>
      <rPr>
        <sz val="10"/>
        <rFont val="Book Antiqua"/>
        <family val="1"/>
      </rPr>
      <t/>
    </r>
    <phoneticPr fontId="30" type="noConversion"/>
  </si>
  <si>
    <r>
      <t xml:space="preserve">1b.1.4.2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</si>
  <si>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已開發國家</t>
    </r>
    <phoneticPr fontId="30" type="noConversion"/>
  </si>
  <si>
    <r>
      <t xml:space="preserve">1b.1.4.3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</si>
  <si>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已開發國家</t>
    </r>
    <phoneticPr fontId="30" type="noConversion"/>
  </si>
  <si>
    <r>
      <t xml:space="preserve">1b.1.4.4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</si>
  <si>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(46)</t>
    </r>
    <r>
      <rPr>
        <sz val="12"/>
        <color theme="1"/>
        <rFont val="標楷體"/>
        <family val="4"/>
        <charset val="136"/>
      </rPr>
      <t>列</t>
    </r>
    <phoneticPr fontId="30" type="noConversion"/>
  </si>
  <si>
    <r>
      <t xml:space="preserve">1b.1.4.5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</si>
  <si>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已開發國家</t>
    </r>
    <phoneticPr fontId="30" type="noConversion"/>
  </si>
  <si>
    <r>
      <t xml:space="preserve">1b.1.4.6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</si>
  <si>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(48)</t>
    </r>
    <r>
      <rPr>
        <sz val="12"/>
        <color theme="1"/>
        <rFont val="標楷體"/>
        <family val="4"/>
        <charset val="136"/>
      </rPr>
      <t>列</t>
    </r>
    <phoneticPr fontId="30" type="noConversion"/>
  </si>
  <si>
    <r>
      <t xml:space="preserve">1b.1.4.7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</si>
  <si>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(49)</t>
    </r>
    <r>
      <rPr>
        <sz val="12"/>
        <color theme="1"/>
        <rFont val="標楷體"/>
        <family val="4"/>
        <charset val="136"/>
      </rPr>
      <t>列</t>
    </r>
    <phoneticPr fontId="30" type="noConversion"/>
  </si>
  <si>
    <r>
      <t xml:space="preserve">1b.1.4.8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</si>
  <si>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phoneticPr fontId="30" type="noConversion"/>
  </si>
  <si>
    <r>
      <t xml:space="preserve">1b.1.5 </t>
    </r>
    <r>
      <rPr>
        <sz val="12"/>
        <color theme="1"/>
        <rFont val="標楷體"/>
        <family val="4"/>
        <charset val="136"/>
      </rPr>
      <t>放款</t>
    </r>
    <phoneticPr fontId="30" type="noConversion"/>
  </si>
  <si>
    <r>
      <t xml:space="preserve">1b.1.5.1 </t>
    </r>
    <r>
      <rPr>
        <sz val="12"/>
        <color theme="1"/>
        <rFont val="標楷體"/>
        <family val="4"/>
        <charset val="136"/>
      </rPr>
      <t>外幣保單放款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</si>
  <si>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(123)</t>
    </r>
    <r>
      <rPr>
        <sz val="12"/>
        <color theme="1"/>
        <rFont val="標楷體"/>
        <family val="4"/>
        <charset val="136"/>
      </rPr>
      <t>列</t>
    </r>
    <phoneticPr fontId="32" type="noConversion"/>
  </si>
  <si>
    <r>
      <t xml:space="preserve">1b.1.5.2 </t>
    </r>
    <r>
      <rPr>
        <sz val="12"/>
        <color theme="1"/>
        <rFont val="標楷體"/>
        <family val="4"/>
        <charset val="136"/>
      </rPr>
      <t>其他放款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</si>
  <si>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(124)</t>
    </r>
    <r>
      <rPr>
        <sz val="12"/>
        <color theme="1"/>
        <rFont val="標楷體"/>
        <family val="4"/>
        <charset val="136"/>
      </rPr>
      <t>列</t>
    </r>
    <phoneticPr fontId="32" type="noConversion"/>
  </si>
  <si>
    <r>
      <t xml:space="preserve">1b.1.6 </t>
    </r>
    <r>
      <rPr>
        <sz val="12"/>
        <color theme="1"/>
        <rFont val="標楷體"/>
        <family val="4"/>
        <charset val="136"/>
      </rPr>
      <t>不動產</t>
    </r>
    <phoneticPr fontId="30" type="noConversion"/>
  </si>
  <si>
    <r>
      <t xml:space="preserve">1b.1.6.1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1b.1.6.2</t>
    </r>
    <r>
      <rPr>
        <sz val="12"/>
        <color theme="1"/>
        <rFont val="標楷體"/>
        <family val="4"/>
        <charset val="136"/>
      </rPr>
      <t>外</t>
    </r>
    <r>
      <rPr>
        <sz val="12"/>
        <color theme="1"/>
        <rFont val="Times New Roman"/>
        <family val="1"/>
      </rPr>
      <t>)</t>
    </r>
    <phoneticPr fontId="30" type="noConversion"/>
  </si>
  <si>
    <r>
      <t xml:space="preserve">1b.1.6.2  </t>
    </r>
    <r>
      <rPr>
        <sz val="12"/>
        <color theme="1"/>
        <rFont val="標楷體"/>
        <family val="4"/>
        <charset val="136"/>
      </rPr>
      <t xml:space="preserve">不動產投資為素地或未能符合
</t>
    </r>
    <r>
      <rPr>
        <sz val="12"/>
        <color theme="1"/>
        <rFont val="Times New Roman"/>
        <family val="1"/>
      </rPr>
      <t xml:space="preserve">          </t>
    </r>
    <r>
      <rPr>
        <sz val="12"/>
        <color theme="1"/>
        <rFont val="標楷體"/>
        <family val="4"/>
        <charset val="136"/>
      </rPr>
      <t>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</si>
  <si>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30" type="noConversion"/>
  </si>
  <si>
    <r>
      <t xml:space="preserve">1b.1.7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</si>
  <si>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(126)</t>
    </r>
    <r>
      <rPr>
        <sz val="12"/>
        <color theme="1"/>
        <rFont val="標楷體"/>
        <family val="4"/>
        <charset val="136"/>
      </rPr>
      <t>列</t>
    </r>
    <phoneticPr fontId="32" type="noConversion"/>
  </si>
  <si>
    <r>
      <t xml:space="preserve">1b.1.8 ETF - </t>
    </r>
    <r>
      <rPr>
        <sz val="12"/>
        <color theme="1"/>
        <rFont val="標楷體"/>
        <family val="4"/>
        <charset val="136"/>
      </rPr>
      <t>股票型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</si>
  <si>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phoneticPr fontId="30" type="noConversion"/>
  </si>
  <si>
    <r>
      <t xml:space="preserve">1b.1.9 ETF - </t>
    </r>
    <r>
      <rPr>
        <sz val="12"/>
        <color theme="1"/>
        <rFont val="標楷體"/>
        <family val="4"/>
        <charset val="136"/>
      </rPr>
      <t>債券型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</si>
  <si>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30" type="noConversion"/>
  </si>
  <si>
    <r>
      <t xml:space="preserve">1b.1.10 ETF - </t>
    </r>
    <r>
      <rPr>
        <sz val="12"/>
        <color theme="1"/>
        <rFont val="標楷體"/>
        <family val="4"/>
        <charset val="136"/>
      </rPr>
      <t>其他型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</si>
  <si>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</si>
  <si>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30" type="noConversion"/>
  </si>
  <si>
    <r>
      <t xml:space="preserve">1b.1.12 </t>
    </r>
    <r>
      <rPr>
        <sz val="12"/>
        <color theme="1"/>
        <rFont val="標楷體"/>
        <family val="4"/>
        <charset val="136"/>
      </rPr>
      <t>組合式存款</t>
    </r>
    <phoneticPr fontId="30" type="noConversion"/>
  </si>
  <si>
    <r>
      <t>1b.1.12.1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</si>
  <si>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</si>
  <si>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1b.1.12.2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</si>
  <si>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</si>
  <si>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1b.1.13 </t>
    </r>
    <r>
      <rPr>
        <sz val="12"/>
        <color theme="1"/>
        <rFont val="標楷體"/>
        <family val="4"/>
        <charset val="136"/>
      </rPr>
      <t>其他</t>
    </r>
    <phoneticPr fontId="30" type="noConversion"/>
  </si>
  <si>
    <r>
      <t xml:space="preserve">1b.1.13.1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1b.1.13.2</t>
    </r>
    <r>
      <rPr>
        <sz val="12"/>
        <color theme="1"/>
        <rFont val="標楷體"/>
        <family val="4"/>
        <charset val="136"/>
      </rPr>
      <t>外</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</si>
  <si>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30" type="noConversion"/>
  </si>
  <si>
    <r>
      <t xml:space="preserve">1b.1.13.2 </t>
    </r>
    <r>
      <rPr>
        <sz val="12"/>
        <color theme="1"/>
        <rFont val="標楷體"/>
        <family val="4"/>
        <charset val="136"/>
      </rPr>
      <t>經由信託方式取得國外及大陸地區不動產</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</si>
  <si>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32" type="noConversion"/>
  </si>
  <si>
    <r>
      <t xml:space="preserve">1b.2 </t>
    </r>
    <r>
      <rPr>
        <sz val="12"/>
        <color theme="1"/>
        <rFont val="標楷體"/>
        <family val="4"/>
        <charset val="136"/>
      </rPr>
      <t>新興市場</t>
    </r>
    <phoneticPr fontId="30" type="noConversion"/>
  </si>
  <si>
    <r>
      <t xml:space="preserve">1b.2.1 </t>
    </r>
    <r>
      <rPr>
        <sz val="12"/>
        <color theme="1"/>
        <rFont val="標楷體"/>
        <family val="4"/>
        <charset val="136"/>
      </rPr>
      <t>現金及外幣存款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</si>
  <si>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(137)</t>
    </r>
    <r>
      <rPr>
        <sz val="12"/>
        <color theme="1"/>
        <rFont val="標楷體"/>
        <family val="4"/>
        <charset val="136"/>
      </rPr>
      <t>列</t>
    </r>
    <phoneticPr fontId="32" type="noConversion"/>
  </si>
  <si>
    <r>
      <t xml:space="preserve">1b.2.2 </t>
    </r>
    <r>
      <rPr>
        <sz val="12"/>
        <color theme="1"/>
        <rFont val="標楷體"/>
        <family val="4"/>
        <charset val="136"/>
      </rPr>
      <t>固定型收益投資</t>
    </r>
    <phoneticPr fontId="30" type="noConversion"/>
  </si>
  <si>
    <r>
      <t xml:space="preserve">1b.2.2.1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5)</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</si>
  <si>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</si>
  <si>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1b.2.2.2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</si>
  <si>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</si>
  <si>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1b.2.2.3 </t>
    </r>
    <r>
      <rPr>
        <sz val="12"/>
        <color theme="1"/>
        <rFont val="標楷體"/>
        <family val="4"/>
        <charset val="136"/>
      </rPr>
      <t>不動產投資信託基金</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</si>
  <si>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(66)</t>
    </r>
    <r>
      <rPr>
        <sz val="12"/>
        <color theme="1"/>
        <rFont val="標楷體"/>
        <family val="4"/>
        <charset val="136"/>
      </rPr>
      <t>列</t>
    </r>
  </si>
  <si>
    <r>
      <t xml:space="preserve">1b.2.2.4 </t>
    </r>
    <r>
      <rPr>
        <sz val="12"/>
        <color theme="1"/>
        <rFont val="標楷體"/>
        <family val="4"/>
        <charset val="136"/>
      </rPr>
      <t>其他</t>
    </r>
    <phoneticPr fontId="30" type="noConversion"/>
  </si>
  <si>
    <r>
      <t xml:space="preserve">1b.2.2.4.1 </t>
    </r>
    <r>
      <rPr>
        <sz val="12"/>
        <color theme="1"/>
        <rFont val="標楷體"/>
        <family val="4"/>
        <charset val="136"/>
      </rPr>
      <t>有信用評等者</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</si>
  <si>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</si>
  <si>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1b.2.2.4.2 </t>
    </r>
    <r>
      <rPr>
        <sz val="12"/>
        <color theme="1"/>
        <rFont val="標楷體"/>
        <family val="4"/>
        <charset val="136"/>
      </rPr>
      <t>無信用評等者</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</si>
  <si>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(145)</t>
    </r>
    <r>
      <rPr>
        <sz val="12"/>
        <color theme="1"/>
        <rFont val="標楷體"/>
        <family val="4"/>
        <charset val="136"/>
      </rPr>
      <t>列</t>
    </r>
    <phoneticPr fontId="30" type="noConversion"/>
  </si>
  <si>
    <r>
      <t xml:space="preserve">1b.2.3 </t>
    </r>
    <r>
      <rPr>
        <sz val="12"/>
        <color theme="1"/>
        <rFont val="標楷體"/>
        <family val="4"/>
        <charset val="136"/>
      </rPr>
      <t>股票</t>
    </r>
    <phoneticPr fontId="30" type="noConversion"/>
  </si>
  <si>
    <r>
      <t xml:space="preserve">1b.2.3.1 </t>
    </r>
    <r>
      <rPr>
        <sz val="12"/>
        <color theme="1"/>
        <rFont val="標楷體"/>
        <family val="4"/>
        <charset val="136"/>
      </rPr>
      <t>普通股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</si>
  <si>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(32+44)</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(45)</t>
    </r>
    <r>
      <rPr>
        <sz val="12"/>
        <color theme="1"/>
        <rFont val="標楷體"/>
        <family val="4"/>
        <charset val="136"/>
      </rPr>
      <t>列之合計數</t>
    </r>
    <phoneticPr fontId="30" type="noConversion"/>
  </si>
  <si>
    <r>
      <t xml:space="preserve">1b.2.3.2 </t>
    </r>
    <r>
      <rPr>
        <sz val="12"/>
        <color theme="1"/>
        <rFont val="標楷體"/>
        <family val="4"/>
        <charset val="136"/>
      </rPr>
      <t>特別股</t>
    </r>
    <phoneticPr fontId="30" type="noConversion"/>
  </si>
  <si>
    <r>
      <t xml:space="preserve">1b.2.3.2.1 </t>
    </r>
    <r>
      <rPr>
        <sz val="12"/>
        <color theme="1"/>
        <rFont val="標楷體"/>
        <family val="4"/>
        <charset val="136"/>
      </rPr>
      <t>固定收益特別股</t>
    </r>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</si>
  <si>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</si>
  <si>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1b.2.3.2.2 </t>
    </r>
    <r>
      <rPr>
        <sz val="12"/>
        <color theme="1"/>
        <rFont val="標楷體"/>
        <family val="4"/>
        <charset val="136"/>
      </rPr>
      <t>非固定收益特別股</t>
    </r>
    <phoneticPr fontId="30"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</si>
  <si>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(49)</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(50)</t>
    </r>
    <r>
      <rPr>
        <sz val="12"/>
        <color theme="1"/>
        <rFont val="標楷體"/>
        <family val="4"/>
        <charset val="136"/>
      </rPr>
      <t>列之合計數</t>
    </r>
    <phoneticPr fontId="30" type="noConversion"/>
  </si>
  <si>
    <r>
      <t xml:space="preserve">1b.2.4 </t>
    </r>
    <r>
      <rPr>
        <sz val="12"/>
        <color theme="1"/>
        <rFont val="標楷體"/>
        <family val="4"/>
        <charset val="136"/>
      </rPr>
      <t>受益憑證及信託資金</t>
    </r>
    <phoneticPr fontId="30" type="noConversion"/>
  </si>
  <si>
    <r>
      <t xml:space="preserve">1b.2.4.1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</si>
  <si>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新興市場</t>
    </r>
    <phoneticPr fontId="30" type="noConversion"/>
  </si>
  <si>
    <r>
      <t xml:space="preserve">1b.2.4.2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</si>
  <si>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新興市場</t>
    </r>
    <phoneticPr fontId="30" type="noConversion"/>
  </si>
  <si>
    <r>
      <t xml:space="preserve">1b.2.4.3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</si>
  <si>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新興市場</t>
    </r>
    <phoneticPr fontId="30" type="noConversion"/>
  </si>
  <si>
    <r>
      <t xml:space="preserve">1b.2.4.4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</si>
  <si>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(54)</t>
    </r>
    <r>
      <rPr>
        <sz val="12"/>
        <color theme="1"/>
        <rFont val="標楷體"/>
        <family val="4"/>
        <charset val="136"/>
      </rPr>
      <t>列</t>
    </r>
    <phoneticPr fontId="30" type="noConversion"/>
  </si>
  <si>
    <r>
      <t xml:space="preserve">1b.2.4.5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</si>
  <si>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新興市場</t>
    </r>
    <phoneticPr fontId="30" type="noConversion"/>
  </si>
  <si>
    <r>
      <t xml:space="preserve">1b.2.4.6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</si>
  <si>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(56)</t>
    </r>
    <r>
      <rPr>
        <sz val="12"/>
        <color theme="1"/>
        <rFont val="標楷體"/>
        <family val="4"/>
        <charset val="136"/>
      </rPr>
      <t>列</t>
    </r>
    <phoneticPr fontId="30" type="noConversion"/>
  </si>
  <si>
    <r>
      <t xml:space="preserve">1b.2.4.7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</si>
  <si>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(57)</t>
    </r>
    <r>
      <rPr>
        <sz val="12"/>
        <color theme="1"/>
        <rFont val="標楷體"/>
        <family val="4"/>
        <charset val="136"/>
      </rPr>
      <t>列</t>
    </r>
    <phoneticPr fontId="30" type="noConversion"/>
  </si>
  <si>
    <r>
      <t xml:space="preserve">1b.2.5 </t>
    </r>
    <r>
      <rPr>
        <sz val="12"/>
        <color theme="1"/>
        <rFont val="標楷體"/>
        <family val="4"/>
        <charset val="136"/>
      </rPr>
      <t>放款</t>
    </r>
    <phoneticPr fontId="30" type="noConversion"/>
  </si>
  <si>
    <r>
      <t xml:space="preserve">1b.2.5.1 </t>
    </r>
    <r>
      <rPr>
        <sz val="12"/>
        <color theme="1"/>
        <rFont val="標楷體"/>
        <family val="4"/>
        <charset val="136"/>
      </rPr>
      <t>外幣保單放款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</si>
  <si>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(153)</t>
    </r>
    <r>
      <rPr>
        <sz val="12"/>
        <color theme="1"/>
        <rFont val="標楷體"/>
        <family val="4"/>
        <charset val="136"/>
      </rPr>
      <t>列</t>
    </r>
    <phoneticPr fontId="32" type="noConversion"/>
  </si>
  <si>
    <r>
      <t xml:space="preserve">1b.2.5.2 </t>
    </r>
    <r>
      <rPr>
        <sz val="12"/>
        <color theme="1"/>
        <rFont val="標楷體"/>
        <family val="4"/>
        <charset val="136"/>
      </rPr>
      <t>其他放款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</si>
  <si>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(154)</t>
    </r>
    <r>
      <rPr>
        <sz val="12"/>
        <color theme="1"/>
        <rFont val="標楷體"/>
        <family val="4"/>
        <charset val="136"/>
      </rPr>
      <t>列</t>
    </r>
    <phoneticPr fontId="32" type="noConversion"/>
  </si>
  <si>
    <r>
      <t xml:space="preserve">1b.2.6 </t>
    </r>
    <r>
      <rPr>
        <sz val="12"/>
        <color theme="1"/>
        <rFont val="標楷體"/>
        <family val="4"/>
        <charset val="136"/>
      </rPr>
      <t>不動產</t>
    </r>
    <phoneticPr fontId="30" type="noConversion"/>
  </si>
  <si>
    <r>
      <t xml:space="preserve">1b.2.6.1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1b.2.6.2</t>
    </r>
    <r>
      <rPr>
        <sz val="12"/>
        <color theme="1"/>
        <rFont val="標楷體"/>
        <family val="4"/>
        <charset val="136"/>
      </rPr>
      <t>外</t>
    </r>
    <r>
      <rPr>
        <sz val="12"/>
        <color theme="1"/>
        <rFont val="Times New Roman"/>
        <family val="1"/>
      </rPr>
      <t>)</t>
    </r>
    <phoneticPr fontId="30" type="noConversion"/>
  </si>
  <si>
    <r>
      <t xml:space="preserve">1b.2.6.2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</si>
  <si>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30" type="noConversion"/>
  </si>
  <si>
    <r>
      <t xml:space="preserve">1b.2.7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</si>
  <si>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(156)</t>
    </r>
    <r>
      <rPr>
        <sz val="12"/>
        <color theme="1"/>
        <rFont val="標楷體"/>
        <family val="4"/>
        <charset val="136"/>
      </rPr>
      <t>列</t>
    </r>
    <phoneticPr fontId="32" type="noConversion"/>
  </si>
  <si>
    <r>
      <t xml:space="preserve">1b.2.8 ETF - </t>
    </r>
    <r>
      <rPr>
        <sz val="12"/>
        <color theme="1"/>
        <rFont val="標楷體"/>
        <family val="4"/>
        <charset val="136"/>
      </rPr>
      <t>股票型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</si>
  <si>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(157)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phoneticPr fontId="30" type="noConversion"/>
  </si>
  <si>
    <r>
      <t xml:space="preserve">1b.2.9 ETF - </t>
    </r>
    <r>
      <rPr>
        <sz val="12"/>
        <color theme="1"/>
        <rFont val="標楷體"/>
        <family val="4"/>
        <charset val="136"/>
      </rPr>
      <t>債券型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</si>
  <si>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2" type="noConversion"/>
  </si>
  <si>
    <r>
      <t xml:space="preserve">1b.2.10 ETF - </t>
    </r>
    <r>
      <rPr>
        <sz val="12"/>
        <color theme="1"/>
        <rFont val="標楷體"/>
        <family val="4"/>
        <charset val="136"/>
      </rPr>
      <t>其他型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</si>
  <si>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</si>
  <si>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30" type="noConversion"/>
  </si>
  <si>
    <r>
      <t xml:space="preserve">1b.2.12 </t>
    </r>
    <r>
      <rPr>
        <sz val="12"/>
        <color theme="1"/>
        <rFont val="標楷體"/>
        <family val="4"/>
        <charset val="136"/>
      </rPr>
      <t>組合式存款</t>
    </r>
    <phoneticPr fontId="30" type="noConversion"/>
  </si>
  <si>
    <r>
      <t>1b.2.12.1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</si>
  <si>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</si>
  <si>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1b.2.12.2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</si>
  <si>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</si>
  <si>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1b.2.13</t>
    </r>
    <r>
      <rPr>
        <sz val="12"/>
        <color theme="1"/>
        <rFont val="標楷體"/>
        <family val="4"/>
        <charset val="136"/>
      </rPr>
      <t>其他</t>
    </r>
    <phoneticPr fontId="30" type="noConversion"/>
  </si>
  <si>
    <r>
      <t xml:space="preserve">1b.2.13.1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1b.2.13.2</t>
    </r>
    <r>
      <rPr>
        <sz val="12"/>
        <color theme="1"/>
        <rFont val="標楷體"/>
        <family val="4"/>
        <charset val="136"/>
      </rPr>
      <t>外</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</si>
  <si>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30" type="noConversion"/>
  </si>
  <si>
    <r>
      <t xml:space="preserve">1b.2.13.2 </t>
    </r>
    <r>
      <rPr>
        <sz val="12"/>
        <color theme="1"/>
        <rFont val="標楷體"/>
        <family val="4"/>
        <charset val="136"/>
      </rPr>
      <t>經由信託方式取得國外及大陸地區不動產</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</si>
  <si>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32" type="noConversion"/>
  </si>
  <si>
    <r>
      <t xml:space="preserve">1b.3 </t>
    </r>
    <r>
      <rPr>
        <sz val="12"/>
        <color theme="1"/>
        <rFont val="標楷體"/>
        <family val="4"/>
        <charset val="136"/>
      </rPr>
      <t>外匯風險</t>
    </r>
    <phoneticPr fontId="30" type="noConversion"/>
  </si>
  <si>
    <r>
      <rPr>
        <sz val="12"/>
        <color theme="1"/>
        <rFont val="標楷體"/>
        <family val="4"/>
        <charset val="136"/>
      </rPr>
      <t>本表</t>
    </r>
    <r>
      <rPr>
        <sz val="12"/>
        <color theme="1"/>
        <rFont val="Times New Roman"/>
        <family val="1"/>
      </rPr>
      <t>1b.1.1~1b.1.13</t>
    </r>
    <r>
      <rPr>
        <sz val="12"/>
        <color theme="1"/>
        <rFont val="標楷體"/>
        <family val="4"/>
        <charset val="136"/>
      </rPr>
      <t>金額合計</t>
    </r>
    <r>
      <rPr>
        <sz val="12"/>
        <color theme="1"/>
        <rFont val="Times New Roman"/>
        <family val="1"/>
      </rPr>
      <t>+</t>
    </r>
    <r>
      <rPr>
        <sz val="12"/>
        <color theme="1"/>
        <rFont val="標楷體"/>
        <family val="4"/>
        <charset val="136"/>
      </rPr>
      <t>本表</t>
    </r>
    <r>
      <rPr>
        <sz val="12"/>
        <color theme="1"/>
        <rFont val="Times New Roman"/>
        <family val="1"/>
      </rPr>
      <t>1b.2.1~1b.2.13</t>
    </r>
    <r>
      <rPr>
        <sz val="12"/>
        <color theme="1"/>
        <rFont val="標楷體"/>
        <family val="4"/>
        <charset val="136"/>
      </rPr>
      <t>金額合計－「表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(5)</t>
    </r>
    <r>
      <rPr>
        <sz val="12"/>
        <color theme="1"/>
        <rFont val="標楷體"/>
        <family val="4"/>
        <charset val="136"/>
      </rPr>
      <t>欄第</t>
    </r>
    <r>
      <rPr>
        <sz val="12"/>
        <color theme="1"/>
        <rFont val="Times New Roman"/>
        <family val="1"/>
      </rPr>
      <t>(6)</t>
    </r>
    <r>
      <rPr>
        <sz val="12"/>
        <color theme="1"/>
        <rFont val="標楷體"/>
        <family val="4"/>
        <charset val="136"/>
      </rPr>
      <t>列－「表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(8)</t>
    </r>
    <r>
      <rPr>
        <sz val="12"/>
        <color theme="1"/>
        <rFont val="標楷體"/>
        <family val="4"/>
        <charset val="136"/>
      </rPr>
      <t>欄第</t>
    </r>
    <r>
      <rPr>
        <sz val="12"/>
        <color theme="1"/>
        <rFont val="Times New Roman"/>
        <family val="1"/>
      </rPr>
      <t>(6)</t>
    </r>
    <r>
      <rPr>
        <sz val="12"/>
        <color theme="1"/>
        <rFont val="標楷體"/>
        <family val="4"/>
        <charset val="136"/>
      </rPr>
      <t>列</t>
    </r>
    <phoneticPr fontId="32" type="noConversion"/>
  </si>
  <si>
    <r>
      <t xml:space="preserve">1b.4 </t>
    </r>
    <r>
      <rPr>
        <sz val="12"/>
        <color theme="1"/>
        <rFont val="標楷體"/>
        <family val="4"/>
        <charset val="136"/>
      </rPr>
      <t>借券再投資風險</t>
    </r>
    <phoneticPr fontId="30" type="noConversion"/>
  </si>
  <si>
    <r>
      <rPr>
        <sz val="12"/>
        <color theme="1"/>
        <rFont val="標楷體"/>
        <family val="4"/>
        <charset val="136"/>
      </rPr>
      <t>風險資本額計算來源「表</t>
    </r>
    <r>
      <rPr>
        <sz val="12"/>
        <color theme="1"/>
        <rFont val="Times New Roman"/>
        <family val="1"/>
      </rPr>
      <t>30-16</t>
    </r>
    <r>
      <rPr>
        <sz val="12"/>
        <color theme="1"/>
        <rFont val="標楷體"/>
        <family val="4"/>
        <charset val="136"/>
      </rPr>
      <t>：國外借券再投資風險資本額計算表」第</t>
    </r>
    <r>
      <rPr>
        <sz val="12"/>
        <color theme="1"/>
        <rFont val="Times New Roman"/>
        <family val="1"/>
      </rPr>
      <t>(9)</t>
    </r>
    <r>
      <rPr>
        <sz val="12"/>
        <color theme="1"/>
        <rFont val="標楷體"/>
        <family val="4"/>
        <charset val="136"/>
      </rPr>
      <t>欄合計數</t>
    </r>
    <phoneticPr fontId="30" type="noConversion"/>
  </si>
  <si>
    <r>
      <t xml:space="preserve">1b.5 </t>
    </r>
    <r>
      <rPr>
        <sz val="12"/>
        <color theme="1"/>
        <rFont val="標楷體"/>
        <family val="4"/>
        <charset val="136"/>
      </rPr>
      <t>國內外資產集中度風險</t>
    </r>
    <r>
      <rPr>
        <sz val="12"/>
        <color theme="1"/>
        <rFont val="Times New Roman"/>
        <family val="1"/>
      </rPr>
      <t>--</t>
    </r>
    <r>
      <rPr>
        <sz val="12"/>
        <color theme="1"/>
        <rFont val="標楷體"/>
        <family val="4"/>
        <charset val="136"/>
      </rPr>
      <t>國外部份</t>
    </r>
    <phoneticPr fontId="30" type="noConversion"/>
  </si>
  <si>
    <r>
      <t xml:space="preserve">R1c </t>
    </r>
    <r>
      <rPr>
        <sz val="12"/>
        <color theme="1"/>
        <rFont val="標楷體"/>
        <family val="4"/>
        <charset val="136"/>
      </rPr>
      <t>不計入風險資本額計算之項目</t>
    </r>
    <phoneticPr fontId="30" type="noConversion"/>
  </si>
  <si>
    <r>
      <t xml:space="preserve">1c.1 </t>
    </r>
    <r>
      <rPr>
        <sz val="12"/>
        <color theme="1"/>
        <rFont val="標楷體"/>
        <family val="4"/>
        <charset val="136"/>
      </rPr>
      <t>或有負債</t>
    </r>
    <phoneticPr fontId="30" type="noConversion"/>
  </si>
  <si>
    <r>
      <rPr>
        <sz val="12"/>
        <color theme="1"/>
        <rFont val="標楷體"/>
        <family val="4"/>
        <charset val="136"/>
      </rPr>
      <t>經會計師簽證之財務報表附註揭露事項之確定額度</t>
    </r>
  </si>
  <si>
    <r>
      <t xml:space="preserve">1c.2 </t>
    </r>
    <r>
      <rPr>
        <sz val="12"/>
        <color theme="1"/>
        <rFont val="標楷體"/>
        <family val="4"/>
        <charset val="136"/>
      </rPr>
      <t>衍生性金融商品</t>
    </r>
    <phoneticPr fontId="30" type="noConversion"/>
  </si>
  <si>
    <r>
      <t xml:space="preserve">1c.2.1 </t>
    </r>
    <r>
      <rPr>
        <sz val="12"/>
        <color theme="1"/>
        <rFont val="標楷體"/>
        <family val="4"/>
        <charset val="136"/>
      </rPr>
      <t>以避險為目的</t>
    </r>
    <phoneticPr fontId="30"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</si>
  <si>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(34)</t>
    </r>
    <r>
      <rPr>
        <sz val="12"/>
        <color theme="1"/>
        <rFont val="標楷體"/>
        <family val="4"/>
        <charset val="136"/>
      </rPr>
      <t>列第</t>
    </r>
    <r>
      <rPr>
        <sz val="12"/>
        <color theme="1"/>
        <rFont val="Times New Roman"/>
        <family val="1"/>
      </rPr>
      <t>(5+8)</t>
    </r>
    <r>
      <rPr>
        <sz val="12"/>
        <color theme="1"/>
        <rFont val="標楷體"/>
        <family val="4"/>
        <charset val="136"/>
      </rPr>
      <t>欄</t>
    </r>
    <phoneticPr fontId="32" type="noConversion"/>
  </si>
  <si>
    <r>
      <t xml:space="preserve">1c.2.2 </t>
    </r>
    <r>
      <rPr>
        <sz val="12"/>
        <color theme="1"/>
        <rFont val="標楷體"/>
        <family val="4"/>
        <charset val="136"/>
      </rPr>
      <t>以增加收益為目的</t>
    </r>
    <phoneticPr fontId="30"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</si>
  <si>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列第</t>
    </r>
    <r>
      <rPr>
        <sz val="12"/>
        <color theme="1"/>
        <rFont val="Times New Roman"/>
        <family val="1"/>
      </rPr>
      <t>(2+5+8)</t>
    </r>
    <r>
      <rPr>
        <sz val="12"/>
        <color theme="1"/>
        <rFont val="標楷體"/>
        <family val="4"/>
        <charset val="136"/>
      </rPr>
      <t>欄</t>
    </r>
    <r>
      <rPr>
        <sz val="12"/>
        <color theme="1"/>
        <rFont val="Times New Roman"/>
        <family val="1"/>
      </rPr>
      <t xml:space="preserve"> + </t>
    </r>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r>
      <rPr>
        <sz val="12"/>
        <color theme="1"/>
        <rFont val="標楷體"/>
        <family val="4"/>
        <charset val="136"/>
      </rPr>
      <t>」第</t>
    </r>
    <r>
      <rPr>
        <sz val="12"/>
        <color theme="1"/>
        <rFont val="Times New Roman"/>
        <family val="1"/>
      </rPr>
      <t>(13)</t>
    </r>
    <r>
      <rPr>
        <sz val="12"/>
        <color theme="1"/>
        <rFont val="標楷體"/>
        <family val="4"/>
        <charset val="136"/>
      </rPr>
      <t>列第</t>
    </r>
    <r>
      <rPr>
        <sz val="12"/>
        <color theme="1"/>
        <rFont val="Times New Roman"/>
        <family val="1"/>
      </rPr>
      <t>(2+5+8)</t>
    </r>
    <r>
      <rPr>
        <sz val="12"/>
        <color theme="1"/>
        <rFont val="標楷體"/>
        <family val="4"/>
        <charset val="136"/>
      </rPr>
      <t>欄</t>
    </r>
    <phoneticPr fontId="32" type="noConversion"/>
  </si>
  <si>
    <r>
      <rPr>
        <b/>
        <sz val="12"/>
        <color theme="1"/>
        <rFont val="標楷體"/>
        <family val="4"/>
        <charset val="136"/>
      </rPr>
      <t>《資產風險</t>
    </r>
    <r>
      <rPr>
        <b/>
        <sz val="12"/>
        <color theme="1"/>
        <rFont val="Times New Roman"/>
        <family val="1"/>
      </rPr>
      <t>--</t>
    </r>
    <r>
      <rPr>
        <b/>
        <sz val="12"/>
        <color theme="1"/>
        <rFont val="標楷體"/>
        <family val="4"/>
        <charset val="136"/>
      </rPr>
      <t>非關係人風險》總計</t>
    </r>
    <phoneticPr fontId="30" type="noConversion"/>
  </si>
  <si>
    <r>
      <rPr>
        <sz val="12"/>
        <color theme="1"/>
        <rFont val="標楷體"/>
        <family val="4"/>
        <charset val="136"/>
      </rPr>
      <t>註</t>
    </r>
    <phoneticPr fontId="30" type="noConversion"/>
  </si>
  <si>
    <r>
      <rPr>
        <sz val="12"/>
        <color theme="1"/>
        <rFont val="標楷體"/>
        <family val="4"/>
        <charset val="136"/>
      </rPr>
      <t>若投資受益憑證且該標的已經信用評等機構評定達一定程度以上者，公司可提供該項信評資料，以作為係數上扣減之憑據，但不包括以</t>
    </r>
    <r>
      <rPr>
        <sz val="12"/>
        <color theme="1"/>
        <rFont val="Times New Roman"/>
        <family val="1"/>
      </rPr>
      <t>β</t>
    </r>
    <r>
      <rPr>
        <sz val="12"/>
        <color theme="1"/>
        <rFont val="標楷體"/>
        <family val="4"/>
        <charset val="136"/>
      </rPr>
      <t>值計算係數之受益憑證。</t>
    </r>
    <phoneticPr fontId="30" type="noConversion"/>
  </si>
  <si>
    <r>
      <rPr>
        <sz val="12"/>
        <color theme="1"/>
        <rFont val="標楷體"/>
        <family val="4"/>
        <charset val="136"/>
      </rPr>
      <t>本項專案運用、公共及社會福利事業與其他主管機關核准項目含政策性、創業投資、公共投資、</t>
    </r>
    <r>
      <rPr>
        <sz val="12"/>
        <color theme="1"/>
        <rFont val="Times New Roman"/>
        <family val="1"/>
      </rPr>
      <t>5+2</t>
    </r>
    <r>
      <rPr>
        <sz val="12"/>
        <color theme="1"/>
        <rFont val="標楷體"/>
        <family val="4"/>
        <charset val="136"/>
      </rPr>
      <t>及六大核心產業部分，其他專案運用公共及社會福利事業投資依其投資類別歸類於各項資產中。</t>
    </r>
  </si>
  <si>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t>
    </r>
    <phoneticPr fontId="30" type="noConversion"/>
  </si>
  <si>
    <r>
      <rPr>
        <sz val="12"/>
        <color theme="1"/>
        <rFont val="標楷體"/>
        <family val="4"/>
        <charset val="136"/>
      </rPr>
      <t>對於因從事國外投資所進行之避險行為，除匯率相關</t>
    </r>
    <r>
      <rPr>
        <sz val="12"/>
        <color theme="1"/>
        <rFont val="Times New Roman"/>
        <family val="1"/>
      </rPr>
      <t>(</t>
    </r>
    <r>
      <rPr>
        <sz val="12"/>
        <color theme="1"/>
        <rFont val="標楷體"/>
        <family val="4"/>
        <charset val="136"/>
      </rPr>
      <t>標準避險</t>
    </r>
    <r>
      <rPr>
        <sz val="12"/>
        <color theme="1"/>
        <rFont val="Times New Roman"/>
        <family val="1"/>
      </rPr>
      <t>)</t>
    </r>
    <r>
      <rPr>
        <sz val="12"/>
        <color theme="1"/>
        <rFont val="標楷體"/>
        <family val="4"/>
        <charset val="136"/>
      </rPr>
      <t>外，暫不作風險資本額之扣抵，本項僅列示從事衍生性金融商品之部位金額。</t>
    </r>
    <phoneticPr fontId="30"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</si>
  <si>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30"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</si>
  <si>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30" type="noConversion"/>
  </si>
  <si>
    <r>
      <rPr>
        <b/>
        <sz val="12"/>
        <color theme="1"/>
        <rFont val="標楷體"/>
        <family val="4"/>
        <charset val="136"/>
      </rPr>
      <t>列號</t>
    </r>
    <phoneticPr fontId="32" type="noConversion"/>
  </si>
  <si>
    <r>
      <t xml:space="preserve">0.1 </t>
    </r>
    <r>
      <rPr>
        <sz val="12"/>
        <color theme="1"/>
        <rFont val="標楷體"/>
        <family val="4"/>
        <charset val="136"/>
      </rPr>
      <t>與具控制與從屬關係之關係人交易</t>
    </r>
    <phoneticPr fontId="30" type="noConversion"/>
  </si>
  <si>
    <r>
      <t xml:space="preserve">0.1.1 </t>
    </r>
    <r>
      <rPr>
        <sz val="12"/>
        <color theme="1"/>
        <rFont val="標楷體"/>
        <family val="4"/>
        <charset val="136"/>
      </rPr>
      <t>投資股票</t>
    </r>
    <phoneticPr fontId="30" type="noConversion"/>
  </si>
  <si>
    <r>
      <t xml:space="preserve">0.1.1.1 </t>
    </r>
    <r>
      <rPr>
        <sz val="12"/>
        <color theme="1"/>
        <rFont val="標楷體"/>
        <family val="4"/>
        <charset val="136"/>
      </rPr>
      <t>投資保險相關事業</t>
    </r>
    <phoneticPr fontId="30" type="noConversion"/>
  </si>
  <si>
    <r>
      <t xml:space="preserve">0.1.1.1.1 </t>
    </r>
    <r>
      <rPr>
        <sz val="12"/>
        <color theme="1"/>
        <rFont val="標楷體"/>
        <family val="4"/>
        <charset val="136"/>
      </rPr>
      <t>屬「實質互相投資」之負債型特別股</t>
    </r>
    <phoneticPr fontId="32"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</si>
  <si>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t>
    </r>
    <r>
      <rPr>
        <sz val="12"/>
        <color theme="1"/>
        <rFont val="標楷體"/>
        <family val="4"/>
        <charset val="136"/>
      </rPr>
      <t>列</t>
    </r>
    <phoneticPr fontId="32" type="noConversion"/>
  </si>
  <si>
    <r>
      <t xml:space="preserve">0.1.1.1.2 </t>
    </r>
    <r>
      <rPr>
        <sz val="12"/>
        <color theme="1"/>
        <rFont val="標楷體"/>
        <family val="4"/>
        <charset val="136"/>
      </rPr>
      <t>國內保險相關事業</t>
    </r>
    <phoneticPr fontId="32"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</si>
  <si>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(3+4)</t>
    </r>
    <r>
      <rPr>
        <sz val="12"/>
        <color theme="1"/>
        <rFont val="標楷體"/>
        <family val="4"/>
        <charset val="136"/>
      </rPr>
      <t>列</t>
    </r>
    <phoneticPr fontId="32" type="noConversion"/>
  </si>
  <si>
    <r>
      <t xml:space="preserve">0.1.1.1.3 </t>
    </r>
    <r>
      <rPr>
        <sz val="12"/>
        <color theme="1"/>
        <rFont val="標楷體"/>
        <family val="4"/>
        <charset val="136"/>
      </rPr>
      <t>國外保險相關事業</t>
    </r>
    <r>
      <rPr>
        <b/>
        <sz val="12"/>
        <rFont val="Times New Roman"/>
        <family val="1"/>
      </rPr>
      <t/>
    </r>
    <phoneticPr fontId="32" type="noConversion"/>
  </si>
  <si>
    <r>
      <t xml:space="preserve">0.1.1.2 </t>
    </r>
    <r>
      <rPr>
        <sz val="12"/>
        <color theme="1"/>
        <rFont val="標楷體"/>
        <family val="4"/>
        <charset val="136"/>
      </rPr>
      <t>投資非保險相關事業</t>
    </r>
    <phoneticPr fontId="30" type="noConversion"/>
  </si>
  <si>
    <r>
      <t xml:space="preserve">0.1.1.2.1 </t>
    </r>
    <r>
      <rPr>
        <sz val="12"/>
        <color theme="1"/>
        <rFont val="標楷體"/>
        <family val="4"/>
        <charset val="136"/>
      </rPr>
      <t>國內非保險相關事業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</si>
  <si>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(9+10+11)</t>
    </r>
    <r>
      <rPr>
        <sz val="12"/>
        <color theme="1"/>
        <rFont val="標楷體"/>
        <family val="4"/>
        <charset val="136"/>
      </rPr>
      <t>列</t>
    </r>
    <phoneticPr fontId="32" type="noConversion"/>
  </si>
  <si>
    <r>
      <t xml:space="preserve">0.1.1.2.2 </t>
    </r>
    <r>
      <rPr>
        <sz val="12"/>
        <color theme="1"/>
        <rFont val="標楷體"/>
        <family val="4"/>
        <charset val="136"/>
      </rPr>
      <t>國外非保險相關事業</t>
    </r>
    <r>
      <rPr>
        <b/>
        <sz val="12"/>
        <rFont val="Times New Roman"/>
        <family val="1"/>
      </rPr>
      <t/>
    </r>
    <phoneticPr fontId="32" type="noConversion"/>
  </si>
  <si>
    <r>
      <t xml:space="preserve">0.1.1.2.2.1 </t>
    </r>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t>
    </r>
    <r>
      <rPr>
        <sz val="12"/>
        <color theme="1"/>
        <rFont val="Times New Roman"/>
        <family val="1"/>
      </rPr>
      <t>)</t>
    </r>
    <phoneticPr fontId="32"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</si>
  <si>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(10)</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2" type="noConversion"/>
  </si>
  <si>
    <r>
      <t xml:space="preserve">0.1.1.2.2.2 </t>
    </r>
    <r>
      <rPr>
        <sz val="12"/>
        <color theme="1"/>
        <rFont val="標楷體"/>
        <family val="4"/>
        <charset val="136"/>
      </rPr>
      <t>其他</t>
    </r>
    <phoneticPr fontId="32"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</si>
  <si>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(32)</t>
    </r>
    <r>
      <rPr>
        <sz val="12"/>
        <color theme="1"/>
        <rFont val="標楷體"/>
        <family val="4"/>
        <charset val="136"/>
      </rPr>
      <t>列</t>
    </r>
    <phoneticPr fontId="32" type="noConversion"/>
  </si>
  <si>
    <r>
      <t xml:space="preserve">0.1.2 </t>
    </r>
    <r>
      <rPr>
        <sz val="12"/>
        <color theme="1"/>
        <rFont val="標楷體"/>
        <family val="4"/>
        <charset val="136"/>
      </rPr>
      <t>投資其他資產</t>
    </r>
    <phoneticPr fontId="30" type="noConversion"/>
  </si>
  <si>
    <r>
      <t xml:space="preserve">0.1.2.1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</si>
  <si>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(4+168)</t>
    </r>
    <r>
      <rPr>
        <sz val="12"/>
        <color theme="1"/>
        <rFont val="標楷體"/>
        <family val="4"/>
        <charset val="136"/>
      </rPr>
      <t>列</t>
    </r>
    <phoneticPr fontId="32" type="noConversion"/>
  </si>
  <si>
    <r>
      <t xml:space="preserve">0.1.2.2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30" type="noConversion"/>
  </si>
  <si>
    <r>
      <t xml:space="preserve">0.1.2.2.1   </t>
    </r>
    <r>
      <rPr>
        <sz val="12"/>
        <color theme="1"/>
        <rFont val="標楷體"/>
        <family val="4"/>
        <charset val="136"/>
      </rPr>
      <t>屬「實質互相投資」之具資本性質債券</t>
    </r>
    <phoneticPr fontId="32"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</si>
  <si>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(3)</t>
    </r>
    <r>
      <rPr>
        <sz val="12"/>
        <color theme="1"/>
        <rFont val="標楷體"/>
        <family val="4"/>
        <charset val="136"/>
      </rPr>
      <t>列</t>
    </r>
    <phoneticPr fontId="32" type="noConversion"/>
  </si>
  <si>
    <r>
      <t xml:space="preserve">0.1.2.2.2   </t>
    </r>
    <r>
      <rPr>
        <sz val="12"/>
        <color theme="1"/>
        <rFont val="標楷體"/>
        <family val="4"/>
        <charset val="136"/>
      </rPr>
      <t>非屬「實質互相投資」之具資本性質債券」</t>
    </r>
    <phoneticPr fontId="32" type="noConversion"/>
  </si>
  <si>
    <r>
      <t xml:space="preserve">0.1.2.2.2.1 </t>
    </r>
    <r>
      <rPr>
        <sz val="12"/>
        <color theme="1"/>
        <rFont val="標楷體"/>
        <family val="4"/>
        <charset val="136"/>
      </rPr>
      <t>國內保險相關事業</t>
    </r>
    <phoneticPr fontId="32"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</si>
  <si>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(4)</t>
    </r>
    <r>
      <rPr>
        <sz val="12"/>
        <color theme="1"/>
        <rFont val="標楷體"/>
        <family val="4"/>
        <charset val="136"/>
      </rPr>
      <t>列</t>
    </r>
    <phoneticPr fontId="32" type="noConversion"/>
  </si>
  <si>
    <r>
      <t xml:space="preserve">0.1.2.2.2.2 </t>
    </r>
    <r>
      <rPr>
        <sz val="12"/>
        <color theme="1"/>
        <rFont val="標楷體"/>
        <family val="4"/>
        <charset val="136"/>
      </rPr>
      <t>國外保險相關事業</t>
    </r>
    <phoneticPr fontId="32" type="noConversion"/>
  </si>
  <si>
    <r>
      <t xml:space="preserve">0.1.2.2.3 </t>
    </r>
    <r>
      <rPr>
        <sz val="12"/>
        <color theme="1"/>
        <rFont val="標楷體"/>
        <family val="4"/>
        <charset val="136"/>
      </rPr>
      <t>其他</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</si>
  <si>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(28+48+170)</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(16)</t>
    </r>
    <r>
      <rPr>
        <sz val="12"/>
        <color theme="1"/>
        <rFont val="標楷體"/>
        <family val="4"/>
        <charset val="136"/>
      </rPr>
      <t>列</t>
    </r>
    <phoneticPr fontId="32" type="noConversion"/>
  </si>
  <si>
    <r>
      <t xml:space="preserve">0.1.2.3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</si>
  <si>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0.1.2.3.1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</si>
  <si>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2" type="noConversion"/>
  </si>
  <si>
    <r>
      <t xml:space="preserve">0.1.2.3.2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</si>
  <si>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2" type="noConversion"/>
  </si>
  <si>
    <r>
      <t xml:space="preserve">0.1.2.3.3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</si>
  <si>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(63)</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2" type="noConversion"/>
  </si>
  <si>
    <r>
      <t xml:space="preserve">0.1.2.3.4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</si>
  <si>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(65)</t>
    </r>
    <r>
      <rPr>
        <sz val="12"/>
        <color theme="1"/>
        <rFont val="標楷體"/>
        <family val="4"/>
        <charset val="136"/>
      </rPr>
      <t>列</t>
    </r>
    <phoneticPr fontId="30" type="noConversion"/>
  </si>
  <si>
    <r>
      <t xml:space="preserve">0.1.2.3.5 </t>
    </r>
    <r>
      <rPr>
        <sz val="12"/>
        <color theme="1"/>
        <rFont val="標楷體"/>
        <family val="4"/>
        <charset val="136"/>
      </rPr>
      <t>私募基金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</si>
  <si>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2" type="noConversion"/>
  </si>
  <si>
    <r>
      <t xml:space="preserve">0.1.2.3.6 </t>
    </r>
    <r>
      <rPr>
        <sz val="12"/>
        <color theme="1"/>
        <rFont val="標楷體"/>
        <family val="4"/>
        <charset val="136"/>
      </rPr>
      <t>國外投資受益憑證</t>
    </r>
    <phoneticPr fontId="30" type="noConversion"/>
  </si>
  <si>
    <r>
      <t xml:space="preserve">0.1.2.3.6.1 </t>
    </r>
    <r>
      <rPr>
        <sz val="12"/>
        <color theme="1"/>
        <rFont val="標楷體"/>
        <family val="4"/>
        <charset val="136"/>
      </rPr>
      <t>股票型共同基金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</si>
  <si>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2" type="noConversion"/>
  </si>
  <si>
    <r>
      <t xml:space="preserve">0.1.2.3.6.2 </t>
    </r>
    <r>
      <rPr>
        <sz val="12"/>
        <color theme="1"/>
        <rFont val="標楷體"/>
        <family val="4"/>
        <charset val="136"/>
      </rPr>
      <t>債券型共同基金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</si>
  <si>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2" type="noConversion"/>
  </si>
  <si>
    <r>
      <t xml:space="preserve">0.1.2.3.6.3 </t>
    </r>
    <r>
      <rPr>
        <sz val="12"/>
        <color theme="1"/>
        <rFont val="標楷體"/>
        <family val="4"/>
        <charset val="136"/>
      </rPr>
      <t>平衡型共同基金及多重資產型基金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</si>
  <si>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2" type="noConversion"/>
  </si>
  <si>
    <r>
      <t xml:space="preserve">0.1.2.3.6.4 </t>
    </r>
    <r>
      <rPr>
        <sz val="12"/>
        <color theme="1"/>
        <rFont val="標楷體"/>
        <family val="4"/>
        <charset val="136"/>
      </rPr>
      <t>貨幣型共同基金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</si>
  <si>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(29)</t>
    </r>
    <r>
      <rPr>
        <sz val="12"/>
        <color theme="1"/>
        <rFont val="標楷體"/>
        <family val="4"/>
        <charset val="136"/>
      </rPr>
      <t>列</t>
    </r>
    <phoneticPr fontId="32" type="noConversion"/>
  </si>
  <si>
    <r>
      <t xml:space="preserve">0.1.2.3.6.5 </t>
    </r>
    <r>
      <rPr>
        <sz val="12"/>
        <color theme="1"/>
        <rFont val="標楷體"/>
        <family val="4"/>
        <charset val="136"/>
      </rPr>
      <t>私募股權基金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</si>
  <si>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2" type="noConversion"/>
  </si>
  <si>
    <r>
      <t xml:space="preserve">0.1.2.3.6.6 </t>
    </r>
    <r>
      <rPr>
        <sz val="12"/>
        <color theme="1"/>
        <rFont val="標楷體"/>
        <family val="4"/>
        <charset val="136"/>
      </rPr>
      <t>私募債權基金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</si>
  <si>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(31)</t>
    </r>
    <r>
      <rPr>
        <sz val="12"/>
        <color theme="1"/>
        <rFont val="標楷體"/>
        <family val="4"/>
        <charset val="136"/>
      </rPr>
      <t>列</t>
    </r>
    <phoneticPr fontId="32" type="noConversion"/>
  </si>
  <si>
    <r>
      <t xml:space="preserve">0.1.2.3.6.7 </t>
    </r>
    <r>
      <rPr>
        <sz val="12"/>
        <color theme="1"/>
        <rFont val="標楷體"/>
        <family val="4"/>
        <charset val="136"/>
      </rPr>
      <t>不動產私募基金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</si>
  <si>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(32)</t>
    </r>
    <r>
      <rPr>
        <sz val="12"/>
        <color theme="1"/>
        <rFont val="標楷體"/>
        <family val="4"/>
        <charset val="136"/>
      </rPr>
      <t>列</t>
    </r>
    <phoneticPr fontId="32" type="noConversion"/>
  </si>
  <si>
    <r>
      <t xml:space="preserve">0.1.2.3.6.8 </t>
    </r>
    <r>
      <rPr>
        <sz val="12"/>
        <color theme="1"/>
        <rFont val="標楷體"/>
        <family val="4"/>
        <charset val="136"/>
      </rPr>
      <t>基礎建設基金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</si>
  <si>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(175)</t>
    </r>
    <r>
      <rPr>
        <sz val="12"/>
        <color theme="1"/>
        <rFont val="標楷體"/>
        <family val="4"/>
        <charset val="136"/>
      </rPr>
      <t>列</t>
    </r>
    <phoneticPr fontId="32" type="noConversion"/>
  </si>
  <si>
    <r>
      <t xml:space="preserve">0.1.2.3.6.9 </t>
    </r>
    <r>
      <rPr>
        <sz val="12"/>
        <color theme="1"/>
        <rFont val="標楷體"/>
        <family val="4"/>
        <charset val="136"/>
      </rPr>
      <t>對沖基金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</si>
  <si>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(177)</t>
    </r>
    <r>
      <rPr>
        <sz val="12"/>
        <color theme="1"/>
        <rFont val="標楷體"/>
        <family val="4"/>
        <charset val="136"/>
      </rPr>
      <t>列</t>
    </r>
    <phoneticPr fontId="32" type="noConversion"/>
  </si>
  <si>
    <r>
      <t xml:space="preserve">0.1.2.4 </t>
    </r>
    <r>
      <rPr>
        <sz val="12"/>
        <color theme="1"/>
        <rFont val="標楷體"/>
        <family val="4"/>
        <charset val="136"/>
      </rPr>
      <t>不動產</t>
    </r>
    <phoneticPr fontId="30" type="noConversion"/>
  </si>
  <si>
    <r>
      <t xml:space="preserve">0.1.2.4.1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0.1.2.4.2</t>
    </r>
    <r>
      <rPr>
        <sz val="12"/>
        <color theme="1"/>
        <rFont val="標楷體"/>
        <family val="4"/>
        <charset val="136"/>
      </rPr>
      <t>外</t>
    </r>
    <r>
      <rPr>
        <sz val="12"/>
        <color theme="1"/>
        <rFont val="Times New Roman"/>
        <family val="1"/>
      </rPr>
      <t>)</t>
    </r>
    <phoneticPr fontId="32" type="noConversion"/>
  </si>
  <si>
    <r>
      <t xml:space="preserve">0.1.2.4.2 </t>
    </r>
    <r>
      <rPr>
        <sz val="12"/>
        <color theme="1"/>
        <rFont val="標楷體"/>
        <family val="4"/>
        <charset val="136"/>
      </rPr>
      <t>不動產投資為素地或未能符合即時利用並有收益認定基準者</t>
    </r>
    <phoneticPr fontId="32"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</si>
  <si>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2" type="noConversion"/>
  </si>
  <si>
    <r>
      <t xml:space="preserve">0.1.2.5 </t>
    </r>
    <r>
      <rPr>
        <sz val="12"/>
        <color theme="1"/>
        <rFont val="標楷體"/>
        <family val="4"/>
        <charset val="136"/>
      </rPr>
      <t>放款</t>
    </r>
    <phoneticPr fontId="30" type="noConversion"/>
  </si>
  <si>
    <r>
      <t xml:space="preserve">0.1.2.5.1 </t>
    </r>
    <r>
      <rPr>
        <sz val="12"/>
        <color theme="1"/>
        <rFont val="標楷體"/>
        <family val="4"/>
        <charset val="136"/>
      </rPr>
      <t>放款</t>
    </r>
    <r>
      <rPr>
        <sz val="12"/>
        <color theme="1"/>
        <rFont val="Times New Roman"/>
        <family val="1"/>
      </rPr>
      <t>(</t>
    </r>
    <r>
      <rPr>
        <sz val="12"/>
        <color theme="1"/>
        <rFont val="標楷體"/>
        <family val="4"/>
        <charset val="136"/>
      </rPr>
      <t>除</t>
    </r>
    <r>
      <rPr>
        <sz val="12"/>
        <color theme="1"/>
        <rFont val="Times New Roman"/>
        <family val="1"/>
      </rPr>
      <t>0.1.2.5.2</t>
    </r>
    <r>
      <rPr>
        <sz val="12"/>
        <color theme="1"/>
        <rFont val="標楷體"/>
        <family val="4"/>
        <charset val="136"/>
      </rPr>
      <t>外</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</si>
  <si>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(102+169+216)</t>
    </r>
    <r>
      <rPr>
        <sz val="12"/>
        <color theme="1"/>
        <rFont val="標楷體"/>
        <family val="4"/>
        <charset val="136"/>
      </rPr>
      <t>列－「表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2" type="noConversion"/>
  </si>
  <si>
    <r>
      <t xml:space="preserve">0.1.2.5.2 </t>
    </r>
    <r>
      <rPr>
        <sz val="12"/>
        <color theme="1"/>
        <rFont val="標楷體"/>
        <family val="4"/>
        <charset val="136"/>
      </rPr>
      <t>經由投資特定目的公司以貸款方式取得國外及大陸地區不動產</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</si>
  <si>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2" type="noConversion"/>
  </si>
  <si>
    <r>
      <t xml:space="preserve">0.1.2.6 </t>
    </r>
    <r>
      <rPr>
        <sz val="12"/>
        <color theme="1"/>
        <rFont val="標楷體"/>
        <family val="4"/>
        <charset val="136"/>
      </rPr>
      <t>應收票據</t>
    </r>
    <phoneticPr fontId="30"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</si>
  <si>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(5)</t>
    </r>
    <r>
      <rPr>
        <sz val="12"/>
        <color theme="1"/>
        <rFont val="標楷體"/>
        <family val="4"/>
        <charset val="136"/>
      </rPr>
      <t>列</t>
    </r>
    <phoneticPr fontId="32" type="noConversion"/>
  </si>
  <si>
    <r>
      <t>0.1.2.7.1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</si>
  <si>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(24)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</si>
  <si>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</si>
  <si>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(25)</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</si>
  <si>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</si>
  <si>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</si>
  <si>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 xml:space="preserve">0.1.2.7.4 </t>
    </r>
    <r>
      <rPr>
        <sz val="12"/>
        <color theme="1"/>
        <rFont val="標楷體"/>
        <family val="4"/>
        <charset val="136"/>
      </rPr>
      <t>國外</t>
    </r>
    <r>
      <rPr>
        <sz val="12"/>
        <color theme="1"/>
        <rFont val="Times New Roman"/>
        <family val="1"/>
      </rPr>
      <t>ETF</t>
    </r>
  </si>
  <si>
    <r>
      <t>0.1.2.7.4.1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</si>
  <si>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</si>
  <si>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0.1.2.7.4.2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</si>
  <si>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</si>
  <si>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0.1.2.7.4.3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</si>
  <si>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</si>
  <si>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0.1.2.8.1 ETN-</t>
    </r>
    <r>
      <rPr>
        <sz val="12"/>
        <color theme="1"/>
        <rFont val="標楷體"/>
        <family val="4"/>
        <charset val="136"/>
      </rPr>
      <t>投資標的市場於國內</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</si>
  <si>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</si>
  <si>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0.1.2.8.2 ETN-</t>
    </r>
    <r>
      <rPr>
        <sz val="12"/>
        <color theme="1"/>
        <rFont val="標楷體"/>
        <family val="4"/>
        <charset val="136"/>
      </rPr>
      <t>投資標的市場於國外</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</si>
  <si>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</si>
  <si>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 xml:space="preserve">0.1.2.9 </t>
    </r>
    <r>
      <rPr>
        <sz val="12"/>
        <color theme="1"/>
        <rFont val="標楷體"/>
        <family val="4"/>
        <charset val="136"/>
      </rPr>
      <t>其他投資</t>
    </r>
    <phoneticPr fontId="30" type="noConversion"/>
  </si>
  <si>
    <r>
      <t xml:space="preserve">0.1.2.9.1 </t>
    </r>
    <r>
      <rPr>
        <sz val="12"/>
        <color theme="1"/>
        <rFont val="標楷體"/>
        <family val="4"/>
        <charset val="136"/>
      </rPr>
      <t>信託受益權</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</si>
  <si>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phoneticPr fontId="32" type="noConversion"/>
  </si>
  <si>
    <r>
      <t xml:space="preserve">0.1.2.9.2 </t>
    </r>
    <r>
      <rPr>
        <sz val="12"/>
        <color theme="1"/>
        <rFont val="標楷體"/>
        <family val="4"/>
        <charset val="136"/>
      </rPr>
      <t>組合式存款</t>
    </r>
    <phoneticPr fontId="30" type="noConversion"/>
  </si>
  <si>
    <r>
      <t>0.1.2.9.2.1 "100%"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</si>
  <si>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(22)</t>
    </r>
    <r>
      <rPr>
        <sz val="12"/>
        <color theme="1"/>
        <rFont val="標楷體"/>
        <family val="4"/>
        <charset val="136"/>
      </rPr>
      <t>列</t>
    </r>
    <phoneticPr fontId="32" type="noConversion"/>
  </si>
  <si>
    <r>
      <t>0.1.2.9.2.2 "90%"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</si>
  <si>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(44)</t>
    </r>
    <r>
      <rPr>
        <sz val="12"/>
        <color theme="1"/>
        <rFont val="標楷體"/>
        <family val="4"/>
        <charset val="136"/>
      </rPr>
      <t>列</t>
    </r>
    <phoneticPr fontId="32" type="noConversion"/>
  </si>
  <si>
    <r>
      <t xml:space="preserve">0.1.2.9.3 </t>
    </r>
    <r>
      <rPr>
        <sz val="12"/>
        <color theme="1"/>
        <rFont val="標楷體"/>
        <family val="4"/>
        <charset val="136"/>
      </rPr>
      <t>其他</t>
    </r>
    <phoneticPr fontId="30" type="noConversion"/>
  </si>
  <si>
    <r>
      <t xml:space="preserve">0.1.2.9.3.1 </t>
    </r>
    <r>
      <rPr>
        <sz val="12"/>
        <color theme="1"/>
        <rFont val="標楷體"/>
        <family val="4"/>
        <charset val="136"/>
      </rPr>
      <t>專案運用、公共及社會福利事業與其他主管機關核准項目</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</si>
  <si>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(211)</t>
    </r>
    <r>
      <rPr>
        <sz val="12"/>
        <color theme="1"/>
        <rFont val="標楷體"/>
        <family val="4"/>
        <charset val="136"/>
      </rPr>
      <t>列</t>
    </r>
    <phoneticPr fontId="32" type="noConversion"/>
  </si>
  <si>
    <r>
      <t xml:space="preserve">0.1.2.9.3.3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</si>
  <si>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(64+67+181+222+229)</t>
    </r>
    <r>
      <rPr>
        <sz val="12"/>
        <color theme="1"/>
        <rFont val="標楷體"/>
        <family val="4"/>
        <charset val="136"/>
      </rPr>
      <t>列</t>
    </r>
    <phoneticPr fontId="32" type="noConversion"/>
  </si>
  <si>
    <r>
      <t xml:space="preserve">0.2 </t>
    </r>
    <r>
      <rPr>
        <sz val="12"/>
        <color theme="1"/>
        <rFont val="標楷體"/>
        <family val="4"/>
        <charset val="136"/>
      </rPr>
      <t>非控制與從屬關係之關係人交易</t>
    </r>
    <phoneticPr fontId="30" type="noConversion"/>
  </si>
  <si>
    <r>
      <t xml:space="preserve">0.2.1 </t>
    </r>
    <r>
      <rPr>
        <sz val="12"/>
        <color theme="1"/>
        <rFont val="標楷體"/>
        <family val="4"/>
        <charset val="136"/>
      </rPr>
      <t>投資股票</t>
    </r>
    <phoneticPr fontId="30" type="noConversion"/>
  </si>
  <si>
    <r>
      <t xml:space="preserve">0.2.1.1 </t>
    </r>
    <r>
      <rPr>
        <sz val="12"/>
        <color theme="1"/>
        <rFont val="標楷體"/>
        <family val="4"/>
        <charset val="136"/>
      </rPr>
      <t>投資保險相關事業</t>
    </r>
    <phoneticPr fontId="30" type="noConversion"/>
  </si>
  <si>
    <r>
      <t xml:space="preserve">0.2.1.1.1 </t>
    </r>
    <r>
      <rPr>
        <sz val="12"/>
        <color theme="1"/>
        <rFont val="標楷體"/>
        <family val="4"/>
        <charset val="136"/>
      </rPr>
      <t>屬「實質互相投資」之負債型特別股</t>
    </r>
    <phoneticPr fontId="32"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</si>
  <si>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t>
    </r>
    <r>
      <rPr>
        <sz val="12"/>
        <color theme="1"/>
        <rFont val="標楷體"/>
        <family val="4"/>
        <charset val="136"/>
      </rPr>
      <t>列</t>
    </r>
    <phoneticPr fontId="32" type="noConversion"/>
  </si>
  <si>
    <r>
      <t xml:space="preserve">0.2.1.1.2 </t>
    </r>
    <r>
      <rPr>
        <sz val="12"/>
        <color theme="1"/>
        <rFont val="標楷體"/>
        <family val="4"/>
        <charset val="136"/>
      </rPr>
      <t>國內保險相關事業</t>
    </r>
    <phoneticPr fontId="32"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</si>
  <si>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(13)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(8+9)</t>
    </r>
    <r>
      <rPr>
        <sz val="12"/>
        <color theme="1"/>
        <rFont val="標楷體"/>
        <family val="4"/>
        <charset val="136"/>
      </rPr>
      <t>列</t>
    </r>
    <phoneticPr fontId="32" type="noConversion"/>
  </si>
  <si>
    <r>
      <t xml:space="preserve">0.2.1.1.3 </t>
    </r>
    <r>
      <rPr>
        <sz val="12"/>
        <color theme="1"/>
        <rFont val="標楷體"/>
        <family val="4"/>
        <charset val="136"/>
      </rPr>
      <t>國外保險相關事業</t>
    </r>
    <r>
      <rPr>
        <b/>
        <sz val="12"/>
        <rFont val="Times New Roman"/>
        <family val="1"/>
      </rPr>
      <t/>
    </r>
    <phoneticPr fontId="32" type="noConversion"/>
  </si>
  <si>
    <r>
      <t xml:space="preserve">0.2.1.2 </t>
    </r>
    <r>
      <rPr>
        <sz val="12"/>
        <color theme="1"/>
        <rFont val="標楷體"/>
        <family val="4"/>
        <charset val="136"/>
      </rPr>
      <t>投資非保險相關事業</t>
    </r>
    <phoneticPr fontId="30" type="noConversion"/>
  </si>
  <si>
    <r>
      <t xml:space="preserve">0.2.1.2.1 </t>
    </r>
    <r>
      <rPr>
        <sz val="12"/>
        <color theme="1"/>
        <rFont val="標楷體"/>
        <family val="4"/>
        <charset val="136"/>
      </rPr>
      <t>國內非保險相關事業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</si>
  <si>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(19+21+22)</t>
    </r>
    <r>
      <rPr>
        <sz val="12"/>
        <color theme="1"/>
        <rFont val="標楷體"/>
        <family val="4"/>
        <charset val="136"/>
      </rPr>
      <t>列</t>
    </r>
    <phoneticPr fontId="32" type="noConversion"/>
  </si>
  <si>
    <r>
      <t xml:space="preserve">0.2.1.2.2 </t>
    </r>
    <r>
      <rPr>
        <sz val="12"/>
        <color theme="1"/>
        <rFont val="標楷體"/>
        <family val="4"/>
        <charset val="136"/>
      </rPr>
      <t>國外非保險相關事業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</si>
  <si>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(35)</t>
    </r>
    <r>
      <rPr>
        <sz val="12"/>
        <color theme="1"/>
        <rFont val="標楷體"/>
        <family val="4"/>
        <charset val="136"/>
      </rPr>
      <t>列</t>
    </r>
    <r>
      <rPr>
        <b/>
        <sz val="12"/>
        <rFont val="Times New Roman"/>
        <family val="1"/>
      </rPr>
      <t/>
    </r>
    <phoneticPr fontId="32" type="noConversion"/>
  </si>
  <si>
    <r>
      <t xml:space="preserve">0.2.2 </t>
    </r>
    <r>
      <rPr>
        <sz val="12"/>
        <color theme="1"/>
        <rFont val="標楷體"/>
        <family val="4"/>
        <charset val="136"/>
      </rPr>
      <t>投資其他資產</t>
    </r>
    <phoneticPr fontId="30" type="noConversion"/>
  </si>
  <si>
    <r>
      <t xml:space="preserve">0.2.2.1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</si>
  <si>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(5+183)</t>
    </r>
    <r>
      <rPr>
        <sz val="12"/>
        <color theme="1"/>
        <rFont val="標楷體"/>
        <family val="4"/>
        <charset val="136"/>
      </rPr>
      <t>列</t>
    </r>
    <phoneticPr fontId="32" type="noConversion"/>
  </si>
  <si>
    <r>
      <t xml:space="preserve">0.2.2.2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30" type="noConversion"/>
  </si>
  <si>
    <r>
      <t xml:space="preserve">0.2.2.2.1   </t>
    </r>
    <r>
      <rPr>
        <sz val="12"/>
        <color theme="1"/>
        <rFont val="標楷體"/>
        <family val="4"/>
        <charset val="136"/>
      </rPr>
      <t>屬「實質互相投資」之具資本性質債券</t>
    </r>
    <phoneticPr fontId="32"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</si>
  <si>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(8)</t>
    </r>
    <r>
      <rPr>
        <sz val="12"/>
        <color theme="1"/>
        <rFont val="標楷體"/>
        <family val="4"/>
        <charset val="136"/>
      </rPr>
      <t>列</t>
    </r>
    <phoneticPr fontId="32" type="noConversion"/>
  </si>
  <si>
    <r>
      <t xml:space="preserve">0.2.2.2.2   </t>
    </r>
    <r>
      <rPr>
        <sz val="12"/>
        <color theme="1"/>
        <rFont val="標楷體"/>
        <family val="4"/>
        <charset val="136"/>
      </rPr>
      <t>非屬「實質互相投資」之具資本性質債券」</t>
    </r>
    <phoneticPr fontId="32" type="noConversion"/>
  </si>
  <si>
    <r>
      <t xml:space="preserve">0.2.2.2.2.1 </t>
    </r>
    <r>
      <rPr>
        <sz val="12"/>
        <color theme="1"/>
        <rFont val="標楷體"/>
        <family val="4"/>
        <charset val="136"/>
      </rPr>
      <t>國內保險相關事業</t>
    </r>
    <phoneticPr fontId="32"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</si>
  <si>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(9)</t>
    </r>
    <r>
      <rPr>
        <sz val="12"/>
        <color theme="1"/>
        <rFont val="標楷體"/>
        <family val="4"/>
        <charset val="136"/>
      </rPr>
      <t>列</t>
    </r>
    <phoneticPr fontId="32" type="noConversion"/>
  </si>
  <si>
    <r>
      <t xml:space="preserve">0.2.2.2.2.2 </t>
    </r>
    <r>
      <rPr>
        <sz val="12"/>
        <color theme="1"/>
        <rFont val="標楷體"/>
        <family val="4"/>
        <charset val="136"/>
      </rPr>
      <t>國外保險相關事業</t>
    </r>
    <phoneticPr fontId="32" type="noConversion"/>
  </si>
  <si>
    <r>
      <t xml:space="preserve">0.2.2.2.3   </t>
    </r>
    <r>
      <rPr>
        <sz val="12"/>
        <color theme="1"/>
        <rFont val="標楷體"/>
        <family val="4"/>
        <charset val="136"/>
      </rPr>
      <t>其他</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</si>
  <si>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(34+49+185)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(76)</t>
    </r>
    <r>
      <rPr>
        <sz val="12"/>
        <color theme="1"/>
        <rFont val="標楷體"/>
        <family val="4"/>
        <charset val="136"/>
      </rPr>
      <t>列</t>
    </r>
    <phoneticPr fontId="32" type="noConversion"/>
  </si>
  <si>
    <r>
      <t xml:space="preserve">0.2.2.3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</si>
  <si>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 xml:space="preserve">0.2.2.3.1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</si>
  <si>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2" type="noConversion"/>
  </si>
  <si>
    <r>
      <t xml:space="preserve">0.2.2.3.2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</si>
  <si>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2" type="noConversion"/>
  </si>
  <si>
    <r>
      <t xml:space="preserve">0.2.2.3.3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</si>
  <si>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2" type="noConversion"/>
  </si>
  <si>
    <r>
      <t xml:space="preserve">0.2.2.3.4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</si>
  <si>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(73)</t>
    </r>
    <r>
      <rPr>
        <sz val="12"/>
        <color theme="1"/>
        <rFont val="標楷體"/>
        <family val="4"/>
        <charset val="136"/>
      </rPr>
      <t>列</t>
    </r>
    <phoneticPr fontId="32" type="noConversion"/>
  </si>
  <si>
    <r>
      <t xml:space="preserve">0.2.2.3.5 </t>
    </r>
    <r>
      <rPr>
        <sz val="12"/>
        <color theme="1"/>
        <rFont val="標楷體"/>
        <family val="4"/>
        <charset val="136"/>
      </rPr>
      <t>私募基金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</si>
  <si>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Calibri"/>
        <family val="4"/>
        <charset val="161"/>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非控制與從屬關係</t>
    </r>
    <phoneticPr fontId="32" type="noConversion"/>
  </si>
  <si>
    <r>
      <t xml:space="preserve">0.2.2.3.6 </t>
    </r>
    <r>
      <rPr>
        <sz val="12"/>
        <color theme="1"/>
        <rFont val="標楷體"/>
        <family val="4"/>
        <charset val="136"/>
      </rPr>
      <t>國外投資受益憑證</t>
    </r>
    <phoneticPr fontId="30" type="noConversion"/>
  </si>
  <si>
    <r>
      <t xml:space="preserve">0.2.2.3.6.1 </t>
    </r>
    <r>
      <rPr>
        <sz val="12"/>
        <color theme="1"/>
        <rFont val="標楷體"/>
        <family val="4"/>
        <charset val="136"/>
      </rPr>
      <t>股票型共同基金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</si>
  <si>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2" type="noConversion"/>
  </si>
  <si>
    <r>
      <t xml:space="preserve">0.2.2.3.6.2 </t>
    </r>
    <r>
      <rPr>
        <sz val="12"/>
        <color theme="1"/>
        <rFont val="標楷體"/>
        <family val="4"/>
        <charset val="136"/>
      </rPr>
      <t>債券型共同基金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</si>
  <si>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2" type="noConversion"/>
  </si>
  <si>
    <r>
      <t xml:space="preserve">0.2.2.3.6.3 </t>
    </r>
    <r>
      <rPr>
        <sz val="12"/>
        <color theme="1"/>
        <rFont val="標楷體"/>
        <family val="4"/>
        <charset val="136"/>
      </rPr>
      <t>平衡型共同基金及多重資產型基金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</si>
  <si>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2" type="noConversion"/>
  </si>
  <si>
    <r>
      <t xml:space="preserve">0.2.2.3.6.4 </t>
    </r>
    <r>
      <rPr>
        <sz val="12"/>
        <color theme="1"/>
        <rFont val="標楷體"/>
        <family val="4"/>
        <charset val="136"/>
      </rPr>
      <t>貨幣型共同基金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</si>
  <si>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(37)</t>
    </r>
    <r>
      <rPr>
        <sz val="12"/>
        <color theme="1"/>
        <rFont val="標楷體"/>
        <family val="4"/>
        <charset val="136"/>
      </rPr>
      <t>列</t>
    </r>
    <phoneticPr fontId="32" type="noConversion"/>
  </si>
  <si>
    <r>
      <t xml:space="preserve">0.2.2.3.6.5 </t>
    </r>
    <r>
      <rPr>
        <sz val="12"/>
        <color theme="1"/>
        <rFont val="標楷體"/>
        <family val="4"/>
        <charset val="136"/>
      </rPr>
      <t>私募股權基金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</si>
  <si>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非控制與從屬關係</t>
    </r>
    <phoneticPr fontId="32" type="noConversion"/>
  </si>
  <si>
    <r>
      <t xml:space="preserve">0.2.2.3.6.6 </t>
    </r>
    <r>
      <rPr>
        <sz val="12"/>
        <color theme="1"/>
        <rFont val="標楷體"/>
        <family val="4"/>
        <charset val="136"/>
      </rPr>
      <t>私募債權基金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</si>
  <si>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(39)</t>
    </r>
    <r>
      <rPr>
        <sz val="12"/>
        <color theme="1"/>
        <rFont val="標楷體"/>
        <family val="4"/>
        <charset val="136"/>
      </rPr>
      <t>列</t>
    </r>
    <phoneticPr fontId="32" type="noConversion"/>
  </si>
  <si>
    <r>
      <t xml:space="preserve">0.2.2.3.6.7 </t>
    </r>
    <r>
      <rPr>
        <sz val="12"/>
        <color theme="1"/>
        <rFont val="標楷體"/>
        <family val="4"/>
        <charset val="136"/>
      </rPr>
      <t>不動產私募基金</t>
    </r>
    <phoneticPr fontId="32"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</si>
  <si>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(40)</t>
    </r>
    <r>
      <rPr>
        <sz val="12"/>
        <color theme="1"/>
        <rFont val="標楷體"/>
        <family val="4"/>
        <charset val="136"/>
      </rPr>
      <t>列</t>
    </r>
    <phoneticPr fontId="32" type="noConversion"/>
  </si>
  <si>
    <r>
      <t xml:space="preserve">0.2.2.3.6.8 </t>
    </r>
    <r>
      <rPr>
        <sz val="12"/>
        <color theme="1"/>
        <rFont val="標楷體"/>
        <family val="4"/>
        <charset val="136"/>
      </rPr>
      <t>基礎建設基金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</si>
  <si>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(190)</t>
    </r>
    <r>
      <rPr>
        <sz val="12"/>
        <color theme="1"/>
        <rFont val="標楷體"/>
        <family val="4"/>
        <charset val="136"/>
      </rPr>
      <t>列</t>
    </r>
    <phoneticPr fontId="32" type="noConversion"/>
  </si>
  <si>
    <r>
      <t xml:space="preserve">0.2.2.3.6.9 </t>
    </r>
    <r>
      <rPr>
        <sz val="12"/>
        <color theme="1"/>
        <rFont val="標楷體"/>
        <family val="4"/>
        <charset val="136"/>
      </rPr>
      <t>對沖基金</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</si>
  <si>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(192)</t>
    </r>
    <r>
      <rPr>
        <sz val="12"/>
        <color theme="1"/>
        <rFont val="標楷體"/>
        <family val="4"/>
        <charset val="136"/>
      </rPr>
      <t>列</t>
    </r>
    <phoneticPr fontId="32" type="noConversion"/>
  </si>
  <si>
    <r>
      <t xml:space="preserve">0.2.2.4 </t>
    </r>
    <r>
      <rPr>
        <sz val="12"/>
        <color theme="1"/>
        <rFont val="標楷體"/>
        <family val="4"/>
        <charset val="136"/>
      </rPr>
      <t>不動產</t>
    </r>
    <phoneticPr fontId="30" type="noConversion"/>
  </si>
  <si>
    <r>
      <t xml:space="preserve">0.2.2.4.1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0.2.2.4.2</t>
    </r>
    <r>
      <rPr>
        <sz val="12"/>
        <color theme="1"/>
        <rFont val="標楷體"/>
        <family val="4"/>
        <charset val="136"/>
      </rPr>
      <t>外</t>
    </r>
    <r>
      <rPr>
        <sz val="12"/>
        <color theme="1"/>
        <rFont val="Times New Roman"/>
        <family val="1"/>
      </rPr>
      <t>)</t>
    </r>
    <phoneticPr fontId="32" type="noConversion"/>
  </si>
  <si>
    <r>
      <t xml:space="preserve">0.2.2.4.2 </t>
    </r>
    <r>
      <rPr>
        <sz val="12"/>
        <color theme="1"/>
        <rFont val="標楷體"/>
        <family val="4"/>
        <charset val="136"/>
      </rPr>
      <t>不動產投資為素地或未能符合即時利用並有收益認定基準者</t>
    </r>
    <phoneticPr fontId="32"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</si>
  <si>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2" type="noConversion"/>
  </si>
  <si>
    <r>
      <t xml:space="preserve">0.2.2.5 </t>
    </r>
    <r>
      <rPr>
        <sz val="12"/>
        <color theme="1"/>
        <rFont val="標楷體"/>
        <family val="4"/>
        <charset val="136"/>
      </rPr>
      <t>放款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</si>
  <si>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(103+184+217)</t>
    </r>
    <r>
      <rPr>
        <sz val="12"/>
        <color theme="1"/>
        <rFont val="標楷體"/>
        <family val="4"/>
        <charset val="136"/>
      </rPr>
      <t>列</t>
    </r>
    <phoneticPr fontId="32" type="noConversion"/>
  </si>
  <si>
    <r>
      <t xml:space="preserve">0.2.2.6 </t>
    </r>
    <r>
      <rPr>
        <sz val="12"/>
        <color theme="1"/>
        <rFont val="標楷體"/>
        <family val="4"/>
        <charset val="136"/>
      </rPr>
      <t>應收票據</t>
    </r>
    <phoneticPr fontId="30"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</si>
  <si>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32" type="noConversion"/>
  </si>
  <si>
    <r>
      <t>0.2.2.7.1 ETF-</t>
    </r>
    <r>
      <rPr>
        <sz val="12"/>
        <color theme="1"/>
        <rFont val="標楷體"/>
        <family val="4"/>
        <charset val="136"/>
      </rPr>
      <t>股票型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</si>
  <si>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(30)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</si>
  <si>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0.2.2.7.2 ETF-</t>
    </r>
    <r>
      <rPr>
        <sz val="12"/>
        <color theme="1"/>
        <rFont val="標楷體"/>
        <family val="4"/>
        <charset val="136"/>
      </rPr>
      <t>債券型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</si>
  <si>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</si>
  <si>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0.2.2.7.3 ETF-</t>
    </r>
    <r>
      <rPr>
        <sz val="12"/>
        <color theme="1"/>
        <rFont val="標楷體"/>
        <family val="4"/>
        <charset val="136"/>
      </rPr>
      <t>其他型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</si>
  <si>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</si>
  <si>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 xml:space="preserve">0.2.2.7.4 </t>
    </r>
    <r>
      <rPr>
        <sz val="12"/>
        <color theme="1"/>
        <rFont val="標楷體"/>
        <family val="4"/>
        <charset val="136"/>
      </rPr>
      <t>國外</t>
    </r>
    <r>
      <rPr>
        <sz val="12"/>
        <color theme="1"/>
        <rFont val="Times New Roman"/>
        <family val="1"/>
      </rPr>
      <t>ETF</t>
    </r>
    <phoneticPr fontId="30" type="noConversion"/>
  </si>
  <si>
    <r>
      <t>0.2.2.7.4.1 ETF-</t>
    </r>
    <r>
      <rPr>
        <sz val="12"/>
        <color theme="1"/>
        <rFont val="標楷體"/>
        <family val="4"/>
        <charset val="136"/>
      </rPr>
      <t>股票型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</si>
  <si>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(193)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</si>
  <si>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0.2.2.7.4.2 ETF-</t>
    </r>
    <r>
      <rPr>
        <sz val="12"/>
        <color theme="1"/>
        <rFont val="標楷體"/>
        <family val="4"/>
        <charset val="136"/>
      </rPr>
      <t>債券型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</si>
  <si>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</si>
  <si>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0.2.2.7.4.3 ETF-</t>
    </r>
    <r>
      <rPr>
        <sz val="12"/>
        <color theme="1"/>
        <rFont val="標楷體"/>
        <family val="4"/>
        <charset val="136"/>
      </rPr>
      <t>其他型</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</si>
  <si>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</si>
  <si>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0.2.2.8.1 ETN-</t>
    </r>
    <r>
      <rPr>
        <sz val="12"/>
        <color theme="1"/>
        <rFont val="標楷體"/>
        <family val="4"/>
        <charset val="136"/>
      </rPr>
      <t>投資標的市場於國內</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</si>
  <si>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</si>
  <si>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0.2.2.8.2 ETN-</t>
    </r>
    <r>
      <rPr>
        <sz val="12"/>
        <color theme="1"/>
        <rFont val="標楷體"/>
        <family val="4"/>
        <charset val="136"/>
      </rPr>
      <t>投資標的市場於國外</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</si>
  <si>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</si>
  <si>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 xml:space="preserve">0.2.2.9 </t>
    </r>
    <r>
      <rPr>
        <sz val="12"/>
        <color theme="1"/>
        <rFont val="標楷體"/>
        <family val="4"/>
        <charset val="136"/>
      </rPr>
      <t>其他投資</t>
    </r>
    <phoneticPr fontId="30" type="noConversion"/>
  </si>
  <si>
    <r>
      <t xml:space="preserve">0.2.2.9.1 </t>
    </r>
    <r>
      <rPr>
        <sz val="12"/>
        <color theme="1"/>
        <rFont val="標楷體"/>
        <family val="4"/>
        <charset val="136"/>
      </rPr>
      <t>信託受益權</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</si>
  <si>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(231)</t>
    </r>
    <r>
      <rPr>
        <sz val="12"/>
        <color theme="1"/>
        <rFont val="標楷體"/>
        <family val="4"/>
        <charset val="136"/>
      </rPr>
      <t>列</t>
    </r>
    <phoneticPr fontId="32" type="noConversion"/>
  </si>
  <si>
    <r>
      <t xml:space="preserve">0.2.2.9.2 </t>
    </r>
    <r>
      <rPr>
        <sz val="12"/>
        <color theme="1"/>
        <rFont val="標楷體"/>
        <family val="4"/>
        <charset val="136"/>
      </rPr>
      <t>組合式存款</t>
    </r>
    <phoneticPr fontId="30" type="noConversion"/>
  </si>
  <si>
    <r>
      <t>0.2.2.9.2.1 "100%"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</si>
  <si>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(22)</t>
    </r>
    <r>
      <rPr>
        <sz val="12"/>
        <color theme="1"/>
        <rFont val="標楷體"/>
        <family val="4"/>
        <charset val="136"/>
      </rPr>
      <t>列</t>
    </r>
    <phoneticPr fontId="32" type="noConversion"/>
  </si>
  <si>
    <r>
      <t>0.2.2.9.2.2 "90%"</t>
    </r>
    <r>
      <rPr>
        <sz val="12"/>
        <color theme="1"/>
        <rFont val="標楷體"/>
        <family val="4"/>
        <charset val="136"/>
      </rPr>
      <t>保本組合式存款</t>
    </r>
    <phoneticPr fontId="32"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</si>
  <si>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(44)</t>
    </r>
    <r>
      <rPr>
        <sz val="12"/>
        <color theme="1"/>
        <rFont val="標楷體"/>
        <family val="4"/>
        <charset val="136"/>
      </rPr>
      <t>列</t>
    </r>
    <phoneticPr fontId="32" type="noConversion"/>
  </si>
  <si>
    <r>
      <t xml:space="preserve">0.2.2.9.3 </t>
    </r>
    <r>
      <rPr>
        <sz val="12"/>
        <color theme="1"/>
        <rFont val="標楷體"/>
        <family val="4"/>
        <charset val="136"/>
      </rPr>
      <t>其他</t>
    </r>
    <phoneticPr fontId="30" type="noConversion"/>
  </si>
  <si>
    <r>
      <t xml:space="preserve">0.2.2.9.3.1 </t>
    </r>
    <r>
      <rPr>
        <sz val="12"/>
        <color theme="1"/>
        <rFont val="標楷體"/>
        <family val="4"/>
        <charset val="136"/>
      </rPr>
      <t>專案運用、公共及社會福利事業與其他主管機關核准項目</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</si>
  <si>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(212)</t>
    </r>
    <r>
      <rPr>
        <sz val="12"/>
        <color theme="1"/>
        <rFont val="標楷體"/>
        <family val="4"/>
        <charset val="136"/>
      </rPr>
      <t>列</t>
    </r>
    <phoneticPr fontId="32" type="noConversion"/>
  </si>
  <si>
    <r>
      <t xml:space="preserve">0.2.2.9.3.3 </t>
    </r>
    <r>
      <rPr>
        <sz val="12"/>
        <color theme="1"/>
        <rFont val="標楷體"/>
        <family val="4"/>
        <charset val="136"/>
      </rPr>
      <t>其他</t>
    </r>
    <phoneticPr fontId="32"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</si>
  <si>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(72+75+196+223+233)</t>
    </r>
    <r>
      <rPr>
        <sz val="12"/>
        <color theme="1"/>
        <rFont val="標楷體"/>
        <family val="4"/>
        <charset val="136"/>
      </rPr>
      <t>列</t>
    </r>
    <phoneticPr fontId="32" type="noConversion"/>
  </si>
  <si>
    <r>
      <t xml:space="preserve">0.3 </t>
    </r>
    <r>
      <rPr>
        <sz val="12"/>
        <color theme="1"/>
        <rFont val="標楷體"/>
        <family val="4"/>
        <charset val="136"/>
      </rPr>
      <t>匯率風險</t>
    </r>
    <r>
      <rPr>
        <sz val="12"/>
        <color theme="1"/>
        <rFont val="Times New Roman"/>
        <family val="1"/>
      </rPr>
      <t>(</t>
    </r>
    <r>
      <rPr>
        <sz val="12"/>
        <color theme="1"/>
        <rFont val="標楷體"/>
        <family val="4"/>
        <charset val="136"/>
      </rPr>
      <t>註</t>
    </r>
    <r>
      <rPr>
        <sz val="12"/>
        <color theme="1"/>
        <rFont val="Times New Roman"/>
        <family val="1"/>
      </rPr>
      <t>6)</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</si>
  <si>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值計算表」國內發行其投資區域包含國外之受益憑證</t>
    </r>
    <r>
      <rPr>
        <sz val="12"/>
        <color theme="1"/>
        <rFont val="Times New Roman"/>
        <family val="1"/>
      </rPr>
      <t>(</t>
    </r>
    <r>
      <rPr>
        <sz val="12"/>
        <color theme="1"/>
        <rFont val="標楷體"/>
        <family val="4"/>
        <charset val="136"/>
      </rPr>
      <t>關係人</t>
    </r>
    <r>
      <rPr>
        <sz val="12"/>
        <color theme="1"/>
        <rFont val="Times New Roman"/>
        <family val="1"/>
      </rPr>
      <t>)</t>
    </r>
    <phoneticPr fontId="32" type="noConversion"/>
  </si>
  <si>
    <r>
      <rPr>
        <sz val="12"/>
        <color theme="1"/>
        <rFont val="標楷體"/>
        <family val="4"/>
        <charset val="136"/>
      </rPr>
      <t>《資產風險</t>
    </r>
    <r>
      <rPr>
        <sz val="12"/>
        <color theme="1"/>
        <rFont val="Times New Roman"/>
        <family val="1"/>
      </rPr>
      <t>--</t>
    </r>
    <r>
      <rPr>
        <sz val="12"/>
        <color theme="1"/>
        <rFont val="標楷體"/>
        <family val="4"/>
        <charset val="136"/>
      </rPr>
      <t>關係人風險》總計</t>
    </r>
    <phoneticPr fontId="30" type="noConversion"/>
  </si>
  <si>
    <r>
      <t>相關信用評等規範詳「保險業計算資本適足率之信用評等資訊係數調整規範」。但不包括以</t>
    </r>
    <r>
      <rPr>
        <sz val="12"/>
        <color theme="1"/>
        <rFont val="Calibri"/>
        <family val="2"/>
        <charset val="161"/>
      </rPr>
      <t>β</t>
    </r>
    <r>
      <rPr>
        <sz val="12"/>
        <color theme="1"/>
        <rFont val="標楷體"/>
        <family val="4"/>
        <charset val="136"/>
      </rPr>
      <t>值計算係數之受益憑證。</t>
    </r>
    <phoneticPr fontId="30"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</si>
  <si>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32"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</si>
  <si>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t>
    </r>
    <phoneticPr fontId="30" type="noConversion"/>
  </si>
  <si>
    <r>
      <rPr>
        <sz val="12"/>
        <color theme="1"/>
        <rFont val="標楷體"/>
        <family val="4"/>
        <charset val="136"/>
      </rPr>
      <t>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款投資國家級投資公司、證投信及證券商轉投資子公司擔任普通合夥人設立之國內私募股權基金</t>
    </r>
    <r>
      <rPr>
        <sz val="12"/>
        <color theme="1"/>
        <rFont val="微軟正黑體"/>
        <family val="2"/>
        <charset val="136"/>
      </rPr>
      <t>、</t>
    </r>
    <r>
      <rPr>
        <sz val="12"/>
        <color theme="1"/>
        <rFont val="標楷體"/>
        <family val="4"/>
        <charset val="136"/>
      </rPr>
      <t>或取得國家發展委員會資格函之國內私募股權基金</t>
    </r>
  </si>
  <si>
    <r>
      <rPr>
        <sz val="12"/>
        <color theme="1"/>
        <rFont val="標楷體"/>
        <family val="4"/>
        <charset val="136"/>
      </rPr>
      <t>，並投資於公共投資及金管保財字第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</si>
  <si>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0"/>
        <color theme="1"/>
        <rFont val="標楷體"/>
        <family val="4"/>
        <charset val="136"/>
      </rPr>
      <t>是否符合計入自有資本調整項之適用範圍，係依「填報手冊表</t>
    </r>
    <r>
      <rPr>
        <sz val="10"/>
        <color theme="1"/>
        <rFont val="Times New Roman"/>
        <family val="1"/>
      </rPr>
      <t>30-</t>
    </r>
    <r>
      <rPr>
        <sz val="10"/>
        <color theme="1"/>
        <rFont val="Book Antiqua"/>
        <family val="1"/>
      </rPr>
      <t>8</t>
    </r>
    <r>
      <rPr>
        <sz val="10"/>
        <color theme="1"/>
        <rFont val="Times New Roman"/>
        <family val="1"/>
      </rPr>
      <t>-3</t>
    </r>
    <r>
      <rPr>
        <sz val="10"/>
        <color theme="1"/>
        <rFont val="標楷體"/>
        <family val="4"/>
        <charset val="136"/>
      </rPr>
      <t>：不動產投資採公允價值評價計入自有資本調整計算表：一、適用範圍」判斷之。請填列</t>
    </r>
    <r>
      <rPr>
        <sz val="10"/>
        <color theme="1"/>
        <rFont val="Book Antiqua"/>
        <family val="1"/>
      </rPr>
      <t>Y.</t>
    </r>
    <r>
      <rPr>
        <sz val="10"/>
        <color theme="1"/>
        <rFont val="標楷體"/>
        <family val="4"/>
        <charset val="136"/>
      </rPr>
      <t>符合適用範圍，</t>
    </r>
    <r>
      <rPr>
        <sz val="10"/>
        <color theme="1"/>
        <rFont val="Book Antiqua"/>
        <family val="1"/>
      </rPr>
      <t>N.</t>
    </r>
    <r>
      <rPr>
        <sz val="10"/>
        <color theme="1"/>
        <rFont val="標楷體"/>
        <family val="4"/>
        <charset val="136"/>
      </rPr>
      <t>不符合適用範圍</t>
    </r>
    <phoneticPr fontId="32"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</si>
  <si>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2" type="noConversion"/>
  </si>
  <si>
    <t>自留滿期
保費(註5)</t>
    <phoneticPr fontId="32" type="noConversion"/>
  </si>
  <si>
    <t>自留滿期
保費(註2)</t>
    <phoneticPr fontId="32" type="noConversion"/>
  </si>
  <si>
    <t>自留滿期賠款(註4)</t>
    <phoneticPr fontId="32" type="noConversion"/>
  </si>
  <si>
    <t>自留滿期賠款(註2)</t>
    <phoneticPr fontId="32" type="noConversion"/>
  </si>
  <si>
    <r>
      <rPr>
        <sz val="12"/>
        <color theme="1"/>
        <rFont val="標楷體"/>
        <family val="4"/>
        <charset val="136"/>
      </rPr>
      <t>信用評等機構填列如</t>
    </r>
    <r>
      <rPr>
        <sz val="12"/>
        <color theme="1"/>
        <rFont val="Times New Roman"/>
        <family val="1"/>
      </rPr>
      <t>A.S&amp;P, B.AM Best, C.Moody's, D.Fitch, E.tw, F.KBRA, G.</t>
    </r>
    <r>
      <rPr>
        <sz val="12"/>
        <color theme="1"/>
        <rFont val="標楷體"/>
        <family val="4"/>
        <charset val="136"/>
      </rPr>
      <t>其他</t>
    </r>
    <r>
      <rPr>
        <sz val="12"/>
        <color theme="1"/>
        <rFont val="Times New Roman"/>
        <family val="1"/>
      </rPr>
      <t xml:space="preserve">, </t>
    </r>
    <r>
      <rPr>
        <sz val="12"/>
        <color theme="1"/>
        <rFont val="標楷體"/>
        <family val="4"/>
        <charset val="136"/>
      </rPr>
      <t>若無信用評等者請填無。</t>
    </r>
    <phoneticPr fontId="30" type="noConversion"/>
  </si>
  <si>
    <r>
      <rPr>
        <sz val="12"/>
        <color theme="1"/>
        <rFont val="標楷體"/>
        <family val="4"/>
        <charset val="136"/>
      </rPr>
      <t>信用評等機構填列如</t>
    </r>
    <r>
      <rPr>
        <sz val="12"/>
        <color theme="1"/>
        <rFont val="Times New Roman"/>
        <family val="1"/>
      </rPr>
      <t>A.S&amp;P, B.AM Best, C.Moody's, D.Fitch, E.tw, F.KBRA, G.</t>
    </r>
    <r>
      <rPr>
        <sz val="12"/>
        <color theme="1"/>
        <rFont val="標楷體"/>
        <family val="4"/>
        <charset val="136"/>
      </rPr>
      <t>其他。</t>
    </r>
    <phoneticPr fontId="30" type="noConversion"/>
  </si>
  <si>
    <t>信用評等機構填列如A.S&amp;P,B.AM Best,C.Moody's,D.Fitch,E.tw,F.KBRA,G.其他,若無者請填無。</t>
    <phoneticPr fontId="18" type="noConversion"/>
  </si>
  <si>
    <t>信用評等機構填列如A.S&amp;P,B.AM Best,C.Moody,D.Fitch,E.tw,F.KBRA,G.其他,若無者請填無。</t>
    <phoneticPr fontId="18"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</si>
  <si>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30"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</si>
  <si>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30"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</si>
  <si>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30" type="noConversion"/>
  </si>
  <si>
    <t>藍底：請自行填入金額(若有)</t>
    <phoneticPr fontId="32" type="noConversion"/>
  </si>
  <si>
    <r>
      <rPr>
        <b/>
        <sz val="12"/>
        <color indexed="8"/>
        <rFont val="標楷體"/>
        <family val="4"/>
        <charset val="136"/>
      </rPr>
      <t>資本組成限制</t>
    </r>
    <phoneticPr fontId="32" type="noConversion"/>
  </si>
  <si>
    <r>
      <rPr>
        <sz val="12"/>
        <color indexed="8"/>
        <rFont val="標楷體"/>
        <family val="4"/>
        <charset val="136"/>
      </rPr>
      <t>單位：新台幣元</t>
    </r>
    <phoneticPr fontId="32" type="noConversion"/>
  </si>
  <si>
    <t>危險變動特別準備金</t>
    <phoneticPr fontId="30" type="noConversion"/>
  </si>
  <si>
    <t>T1U</t>
    <phoneticPr fontId="34" type="noConversion"/>
  </si>
  <si>
    <t>加項</t>
    <phoneticPr fontId="34" type="noConversion"/>
  </si>
  <si>
    <t>減項</t>
    <phoneticPr fontId="34" type="noConversion"/>
  </si>
  <si>
    <t>T1L</t>
    <phoneticPr fontId="32" type="noConversion"/>
  </si>
  <si>
    <t>減項</t>
    <phoneticPr fontId="32" type="noConversion"/>
  </si>
  <si>
    <t>T2</t>
    <phoneticPr fontId="32" type="noConversion"/>
  </si>
  <si>
    <t>加項</t>
    <phoneticPr fontId="32"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</si>
  <si>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30" type="noConversion"/>
  </si>
  <si>
    <r>
      <rPr>
        <sz val="12"/>
        <color indexed="8"/>
        <rFont val="Times New Roman"/>
        <family val="1"/>
      </rP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30"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</si>
  <si>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30" type="noConversion"/>
  </si>
  <si>
    <r>
      <rPr>
        <sz val="12"/>
        <color theme="1"/>
        <rFont val="標楷體"/>
        <family val="4"/>
        <charset val="136"/>
      </rPr>
      <t>異常業務損失特別準備金</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</si>
  <si>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t>異常業務損失特別準備金(財產再保險)</t>
    <phoneticPr fontId="30" type="noConversion"/>
  </si>
  <si>
    <t>負債型特別股(有到期日)：為非累積且無利率加碼條件或其他提前贖回之誘因</t>
    <phoneticPr fontId="32" type="noConversion"/>
  </si>
  <si>
    <t>具資本性資債券(有到期日)：為非累積且無利率加碼條件或其他提前贖回之誘因</t>
    <phoneticPr fontId="32" type="noConversion"/>
  </si>
  <si>
    <t>發行期限不得低於五年，受償順序次於公司其他債務且保險公司或其關係企業未提供保證或擔保品之可轉換公司債</t>
    <phoneticPr fontId="32" type="noConversion"/>
  </si>
  <si>
    <t>(1)</t>
    <phoneticPr fontId="32" type="noConversion"/>
  </si>
  <si>
    <t>(2)</t>
    <phoneticPr fontId="32" type="noConversion"/>
  </si>
  <si>
    <t>應計提風險資本之不動產評價調整數</t>
    <phoneticPr fontId="30" type="noConversion"/>
  </si>
  <si>
    <t>(6)=(5)×(4)</t>
    <phoneticPr fontId="30"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</si>
  <si>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2"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</si>
  <si>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2"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</si>
  <si>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30" type="noConversion"/>
  </si>
  <si>
    <r>
      <rPr>
        <sz val="10"/>
        <rFont val="標楷體"/>
        <family val="4"/>
        <charset val="136"/>
      </rPr>
      <t>備註</t>
    </r>
    <phoneticPr fontId="30"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</si>
  <si>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</si>
  <si>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30"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</si>
  <si>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30"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</si>
  <si>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30" type="noConversion"/>
  </si>
  <si>
    <r>
      <rPr>
        <sz val="10"/>
        <color theme="1"/>
        <rFont val="標楷體"/>
        <family val="4"/>
        <charset val="136"/>
      </rPr>
      <t>再保險準備資產</t>
    </r>
    <phoneticPr fontId="30" type="noConversion"/>
  </si>
  <si>
    <r>
      <rPr>
        <sz val="10"/>
        <color theme="1"/>
        <rFont val="標楷體"/>
        <family val="4"/>
        <charset val="136"/>
      </rPr>
      <t>未
催收</t>
    </r>
    <phoneticPr fontId="30" type="noConversion"/>
  </si>
  <si>
    <r>
      <rPr>
        <sz val="10"/>
        <color theme="1"/>
        <rFont val="標楷體"/>
        <family val="4"/>
        <charset val="136"/>
      </rPr>
      <t>催收
款項</t>
    </r>
    <phoneticPr fontId="30"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</si>
  <si>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30"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</si>
  <si>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30" type="noConversion"/>
  </si>
  <si>
    <r>
      <rPr>
        <sz val="10"/>
        <color theme="1"/>
        <rFont val="標楷體"/>
        <family val="4"/>
        <charset val="136"/>
      </rPr>
      <t>分出未滿期保費準備</t>
    </r>
    <phoneticPr fontId="30" type="noConversion"/>
  </si>
  <si>
    <r>
      <rPr>
        <sz val="10"/>
        <color theme="1"/>
        <rFont val="標楷體"/>
        <family val="4"/>
        <charset val="136"/>
      </rPr>
      <t>分出賠款準備</t>
    </r>
    <phoneticPr fontId="30" type="noConversion"/>
  </si>
  <si>
    <r>
      <rPr>
        <sz val="10"/>
        <color theme="1"/>
        <rFont val="標楷體"/>
        <family val="4"/>
        <charset val="136"/>
      </rPr>
      <t>分出責任準備</t>
    </r>
    <phoneticPr fontId="30"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</si>
  <si>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30"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</si>
  <si>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30" type="noConversion"/>
  </si>
  <si>
    <r>
      <rPr>
        <sz val="12"/>
        <color theme="1"/>
        <rFont val="新細明體"/>
        <family val="1"/>
        <charset val="136"/>
      </rPr>
      <t>未催收</t>
    </r>
    <phoneticPr fontId="30" type="noConversion"/>
  </si>
  <si>
    <r>
      <rPr>
        <sz val="12"/>
        <color theme="1"/>
        <rFont val="新細明體"/>
        <family val="1"/>
        <charset val="136"/>
      </rPr>
      <t>催收款項</t>
    </r>
    <phoneticPr fontId="30" type="noConversion"/>
  </si>
  <si>
    <r>
      <rPr>
        <sz val="12"/>
        <color theme="1"/>
        <rFont val="新細明體"/>
        <family val="1"/>
        <charset val="136"/>
      </rPr>
      <t>備抵呆帳</t>
    </r>
    <phoneticPr fontId="30" type="noConversion"/>
  </si>
  <si>
    <r>
      <rPr>
        <sz val="12"/>
        <color theme="1"/>
        <rFont val="新細明體"/>
        <family val="1"/>
        <charset val="136"/>
      </rPr>
      <t>小計</t>
    </r>
    <phoneticPr fontId="30" type="noConversion"/>
  </si>
  <si>
    <r>
      <rPr>
        <sz val="10"/>
        <color theme="1"/>
        <rFont val="標楷體"/>
        <family val="4"/>
        <charset val="136"/>
      </rPr>
      <t>總額</t>
    </r>
    <phoneticPr fontId="30" type="noConversion"/>
  </si>
  <si>
    <r>
      <rPr>
        <sz val="10"/>
        <color theme="1"/>
        <rFont val="標楷體"/>
        <family val="4"/>
        <charset val="136"/>
      </rPr>
      <t>備抵損失</t>
    </r>
    <phoneticPr fontId="30" type="noConversion"/>
  </si>
  <si>
    <r>
      <rPr>
        <sz val="10"/>
        <color theme="1"/>
        <rFont val="標楷體"/>
        <family val="4"/>
        <charset val="136"/>
      </rPr>
      <t>已報
未付</t>
    </r>
    <phoneticPr fontId="30" type="noConversion"/>
  </si>
  <si>
    <r>
      <rPr>
        <sz val="10"/>
        <color theme="1"/>
        <rFont val="標楷體"/>
        <family val="4"/>
        <charset val="136"/>
      </rPr>
      <t>未報</t>
    </r>
    <phoneticPr fontId="30" type="noConversion"/>
  </si>
  <si>
    <r>
      <rPr>
        <sz val="10"/>
        <color theme="1"/>
        <rFont val="標楷體"/>
        <family val="4"/>
        <charset val="136"/>
      </rPr>
      <t>註</t>
    </r>
    <r>
      <rPr>
        <sz val="10"/>
        <color theme="1"/>
        <rFont val="Times New Roman"/>
        <family val="1"/>
      </rPr>
      <t>:</t>
    </r>
    <phoneticPr fontId="30" type="noConversion"/>
  </si>
  <si>
    <r>
      <rPr>
        <sz val="10"/>
        <color theme="1"/>
        <rFont val="標楷體"/>
        <family val="4"/>
        <charset val="136"/>
      </rPr>
      <t>本欄填列評等等級請依資產負債日時之最新信用評等機構評定填寫，若無信用評等者請填無。</t>
    </r>
    <phoneticPr fontId="30" type="noConversion"/>
  </si>
  <si>
    <r>
      <rPr>
        <sz val="10"/>
        <color theme="1"/>
        <rFont val="標楷體"/>
        <family val="4"/>
        <charset val="136"/>
      </rPr>
      <t>為資產負債表應收再保往來款項－淨額</t>
    </r>
    <phoneticPr fontId="30"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</si>
  <si>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30"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</si>
  <si>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32" type="noConversion"/>
  </si>
  <si>
    <r>
      <rPr>
        <sz val="12"/>
        <color theme="1"/>
        <rFont val="標楷體"/>
        <family val="4"/>
        <charset val="136"/>
      </rPr>
      <t>自有資金</t>
    </r>
    <r>
      <rPr>
        <sz val="12"/>
        <color theme="1"/>
        <rFont val="Times New Roman"/>
        <family val="1"/>
      </rPr>
      <t>(</t>
    </r>
    <r>
      <rPr>
        <sz val="12"/>
        <color theme="1"/>
        <rFont val="標楷體"/>
        <family val="4"/>
        <charset val="136"/>
      </rPr>
      <t>業主權益</t>
    </r>
    <r>
      <rPr>
        <sz val="12"/>
        <color theme="1"/>
        <rFont val="Times New Roman"/>
        <family val="1"/>
      </rPr>
      <t>)(</t>
    </r>
    <r>
      <rPr>
        <sz val="12"/>
        <color theme="1"/>
        <rFont val="標楷體"/>
        <family val="4"/>
        <charset val="136"/>
      </rPr>
      <t>註</t>
    </r>
    <r>
      <rPr>
        <sz val="12"/>
        <color theme="1"/>
        <rFont val="Times New Roman"/>
        <family val="1"/>
      </rPr>
      <t>11)</t>
    </r>
    <phoneticPr fontId="32" type="noConversion"/>
  </si>
  <si>
    <t>200-1</t>
    <phoneticPr fontId="32" type="noConversion"/>
  </si>
  <si>
    <t>200-2</t>
    <phoneticPr fontId="32" type="noConversion"/>
  </si>
  <si>
    <t>200-3</t>
    <phoneticPr fontId="32" type="noConversion"/>
  </si>
  <si>
    <t>207-1</t>
    <phoneticPr fontId="32" type="noConversion"/>
  </si>
  <si>
    <t>207-2</t>
    <phoneticPr fontId="32" type="noConversion"/>
  </si>
  <si>
    <t>213-1</t>
    <phoneticPr fontId="32" type="noConversion"/>
  </si>
  <si>
    <t>213-2</t>
    <phoneticPr fontId="32" type="noConversion"/>
  </si>
  <si>
    <t>213-3</t>
    <phoneticPr fontId="32" type="noConversion"/>
  </si>
  <si>
    <t>219-1</t>
    <phoneticPr fontId="32" type="noConversion"/>
  </si>
  <si>
    <t>219-2</t>
    <phoneticPr fontId="32" type="noConversion"/>
  </si>
  <si>
    <t>220-1</t>
    <phoneticPr fontId="32" type="noConversion"/>
  </si>
  <si>
    <t>220-2</t>
    <phoneticPr fontId="32" type="noConversion"/>
  </si>
  <si>
    <t>20-1</t>
    <phoneticPr fontId="30" type="noConversion"/>
  </si>
  <si>
    <t>20-2</t>
    <phoneticPr fontId="30" type="noConversion"/>
  </si>
  <si>
    <t>20-3</t>
    <phoneticPr fontId="30" type="noConversion"/>
  </si>
  <si>
    <t>16-1</t>
    <phoneticPr fontId="30" type="noConversion"/>
  </si>
  <si>
    <t>16-2</t>
    <phoneticPr fontId="30" type="noConversion"/>
  </si>
  <si>
    <t>16-3</t>
    <phoneticPr fontId="30" type="noConversion"/>
  </si>
  <si>
    <t>61-1</t>
    <phoneticPr fontId="30" type="noConversion"/>
  </si>
  <si>
    <t>61-2</t>
    <phoneticPr fontId="30" type="noConversion"/>
  </si>
  <si>
    <t>119-1</t>
    <phoneticPr fontId="30" type="noConversion"/>
  </si>
  <si>
    <t>119-2</t>
    <phoneticPr fontId="30" type="noConversion"/>
  </si>
  <si>
    <t>68-1</t>
    <phoneticPr fontId="30" type="noConversion"/>
  </si>
  <si>
    <t>68-2</t>
    <phoneticPr fontId="30" type="noConversion"/>
  </si>
  <si>
    <t>68-3</t>
    <phoneticPr fontId="30" type="noConversion"/>
  </si>
  <si>
    <t>69-1</t>
    <phoneticPr fontId="30" type="noConversion"/>
  </si>
  <si>
    <t>69-2</t>
    <phoneticPr fontId="30"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</si>
  <si>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(66)</t>
    </r>
    <r>
      <rPr>
        <sz val="12"/>
        <color theme="1"/>
        <rFont val="標楷體"/>
        <family val="4"/>
        <charset val="136"/>
      </rPr>
      <t>列</t>
    </r>
    <phoneticPr fontId="30" type="noConversion"/>
  </si>
  <si>
    <t>118-1</t>
    <phoneticPr fontId="30" type="noConversion"/>
  </si>
  <si>
    <t>118-2</t>
    <phoneticPr fontId="30" type="noConversion"/>
  </si>
  <si>
    <t>158-1</t>
    <phoneticPr fontId="30" type="noConversion"/>
  </si>
  <si>
    <t>158-2</t>
    <phoneticPr fontId="30" type="noConversion"/>
  </si>
  <si>
    <t>其中若再保險人係屬未適格再保險人時，請依規定再扣除該未適格再保險人之相關再保險資產後之金額填列。</t>
    <phoneticPr fontId="32" type="noConversion"/>
  </si>
  <si>
    <t>減項</t>
    <phoneticPr fontId="30" type="noConversion"/>
  </si>
  <si>
    <r>
      <rPr>
        <sz val="12"/>
        <rFont val="標楷體"/>
        <family val="4"/>
        <charset val="136"/>
      </rPr>
      <t>資產負債表日</t>
    </r>
    <phoneticPr fontId="32" type="noConversion"/>
  </si>
  <si>
    <r>
      <rPr>
        <sz val="12"/>
        <rFont val="標楷體"/>
        <family val="4"/>
        <charset val="136"/>
      </rPr>
      <t>三年移動平均計算起始日</t>
    </r>
    <phoneticPr fontId="32" type="noConversion"/>
  </si>
  <si>
    <r>
      <rPr>
        <b/>
        <sz val="12"/>
        <rFont val="標楷體"/>
        <family val="4"/>
        <charset val="136"/>
      </rPr>
      <t>指數名稱</t>
    </r>
    <phoneticPr fontId="32"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</si>
  <si>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</si>
  <si>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</si>
  <si>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2" type="noConversion"/>
  </si>
  <si>
    <r>
      <rPr>
        <b/>
        <sz val="12"/>
        <rFont val="標楷體"/>
        <family val="4"/>
        <charset val="136"/>
      </rPr>
      <t>日曆日</t>
    </r>
    <phoneticPr fontId="32" type="noConversion"/>
  </si>
  <si>
    <r>
      <rPr>
        <b/>
        <sz val="12"/>
        <rFont val="標楷體"/>
        <family val="4"/>
        <charset val="136"/>
      </rPr>
      <t>收盤價</t>
    </r>
    <phoneticPr fontId="32" type="noConversion"/>
  </si>
  <si>
    <r>
      <rPr>
        <b/>
        <sz val="12"/>
        <rFont val="標楷體"/>
        <family val="4"/>
        <charset val="136"/>
      </rPr>
      <t>資產負債表日收盤價</t>
    </r>
    <r>
      <rPr>
        <b/>
        <sz val="12"/>
        <rFont val="Times New Roman"/>
        <family val="1"/>
      </rPr>
      <t>(CI)</t>
    </r>
    <phoneticPr fontId="32"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</si>
  <si>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2" type="noConversion"/>
  </si>
  <si>
    <r>
      <rPr>
        <b/>
        <sz val="12"/>
        <rFont val="標楷體"/>
        <family val="4"/>
        <charset val="136"/>
      </rPr>
      <t>調整項</t>
    </r>
    <r>
      <rPr>
        <b/>
        <sz val="12"/>
        <rFont val="Times New Roman"/>
        <family val="1"/>
      </rPr>
      <t xml:space="preserve"> × 0.85</t>
    </r>
  </si>
  <si>
    <t>3</t>
    <phoneticPr fontId="30" type="noConversion"/>
  </si>
  <si>
    <t>投資性不動產後續衡量採用公允價值模式計算自有資本影響數</t>
    <phoneticPr fontId="30"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</si>
  <si>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</si>
  <si>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</si>
  <si>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</si>
  <si>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</si>
  <si>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</si>
  <si>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</si>
  <si>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</si>
  <si>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</si>
  <si>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</si>
  <si>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</si>
  <si>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</si>
  <si>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</si>
  <si>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</si>
  <si>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</si>
  <si>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</si>
  <si>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</si>
  <si>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</si>
  <si>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</si>
  <si>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</si>
  <si>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</si>
  <si>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</si>
  <si>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</si>
  <si>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</si>
  <si>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</si>
  <si>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</si>
  <si>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</si>
  <si>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</si>
  <si>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</si>
  <si>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</si>
  <si>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</si>
  <si>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</si>
  <si>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</si>
  <si>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</si>
  <si>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</si>
  <si>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</si>
  <si>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</si>
  <si>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</si>
  <si>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</si>
  <si>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</si>
  <si>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</si>
  <si>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</si>
  <si>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</si>
  <si>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</si>
  <si>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</si>
  <si>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</si>
  <si>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</si>
  <si>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</si>
  <si>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</si>
  <si>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</si>
  <si>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</si>
  <si>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</si>
  <si>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</si>
  <si>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</si>
  <si>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</si>
  <si>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</si>
  <si>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</si>
  <si>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</si>
  <si>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</si>
  <si>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r>
      <rPr>
        <sz val="10"/>
        <color indexed="10"/>
        <rFont val="標楷體"/>
        <family val="4"/>
        <charset val="136"/>
      </rPr>
      <t>因</t>
    </r>
    <r>
      <rPr>
        <sz val="10"/>
        <color indexed="10"/>
        <rFont val="Times New Roman"/>
        <family val="1"/>
      </rPr>
      <t>COVID-19</t>
    </r>
    <r>
      <rPr>
        <sz val="10"/>
        <color indexed="10"/>
        <rFont val="標楷體"/>
        <family val="4"/>
        <charset val="136"/>
      </rPr>
      <t>防疫保單產生之應攤回再保賠款與給付或應收再保往來款項所轉列之催收款</t>
    </r>
    <r>
      <rPr>
        <sz val="10"/>
        <color rgb="FFFF0000"/>
        <rFont val="Times New Roman"/>
        <family val="1"/>
      </rPr>
      <t>(</t>
    </r>
    <r>
      <rPr>
        <sz val="10"/>
        <color rgb="FFFF0000"/>
        <rFont val="標楷體"/>
        <family val="4"/>
        <charset val="136"/>
      </rPr>
      <t>淨認許</t>
    </r>
    <r>
      <rPr>
        <sz val="10"/>
        <color rgb="FFFF0000"/>
        <rFont val="Times New Roman"/>
        <family val="1"/>
      </rPr>
      <t xml:space="preserve">)
</t>
    </r>
    <r>
      <rPr>
        <sz val="10"/>
        <color indexed="10"/>
        <rFont val="Times New Roman"/>
        <family val="1"/>
      </rPr>
      <t>(</t>
    </r>
    <r>
      <rPr>
        <sz val="10"/>
        <color indexed="10"/>
        <rFont val="標楷體"/>
        <family val="4"/>
        <charset val="136"/>
      </rPr>
      <t>註</t>
    </r>
    <r>
      <rPr>
        <sz val="10"/>
        <color indexed="10"/>
        <rFont val="Times New Roman"/>
        <family val="1"/>
      </rPr>
      <t>7)</t>
    </r>
    <phoneticPr fontId="30" type="noConversion"/>
  </si>
  <si>
    <t>非關係人</t>
    <phoneticPr fontId="32" type="noConversion"/>
  </si>
  <si>
    <t>關係人</t>
    <phoneticPr fontId="32" type="noConversion"/>
  </si>
  <si>
    <t>得計入自有資本之異常業務損失特別準備金(財產再保險)</t>
    <phoneticPr fontId="30"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</si>
  <si>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30"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</si>
  <si>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30"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</si>
  <si>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30"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</si>
  <si>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30"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</si>
  <si>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30" type="noConversion"/>
  </si>
  <si>
    <r>
      <t xml:space="preserve"> 2.1 </t>
    </r>
    <r>
      <rPr>
        <sz val="10"/>
        <color theme="1"/>
        <rFont val="標楷體"/>
        <family val="4"/>
        <charset val="136"/>
      </rPr>
      <t>應收保費</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</si>
  <si>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30" type="noConversion"/>
  </si>
  <si>
    <r>
      <t xml:space="preserve"> 2.2 </t>
    </r>
    <r>
      <rPr>
        <sz val="10"/>
        <color theme="1"/>
        <rFont val="標楷體"/>
        <family val="4"/>
        <charset val="136"/>
      </rPr>
      <t>應收利息及收益</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</si>
  <si>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30" type="noConversion"/>
  </si>
  <si>
    <r>
      <t xml:space="preserve"> 2.3 </t>
    </r>
    <r>
      <rPr>
        <sz val="10"/>
        <color theme="1"/>
        <rFont val="標楷體"/>
        <family val="4"/>
        <charset val="136"/>
      </rPr>
      <t>應收票據</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</si>
  <si>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30" type="noConversion"/>
  </si>
  <si>
    <r>
      <t xml:space="preserve"> 2.4 </t>
    </r>
    <r>
      <rPr>
        <sz val="10"/>
        <color theme="1"/>
        <rFont val="標楷體"/>
        <family val="4"/>
        <charset val="136"/>
      </rPr>
      <t>催收款項</t>
    </r>
    <phoneticPr fontId="30" type="noConversion"/>
  </si>
  <si>
    <r>
      <t xml:space="preserve">2.4.1 </t>
    </r>
    <r>
      <rPr>
        <sz val="10"/>
        <color theme="1"/>
        <rFont val="標楷體"/>
        <family val="4"/>
        <charset val="136"/>
      </rPr>
      <t>直接業務</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</si>
  <si>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30" type="noConversion"/>
  </si>
  <si>
    <r>
      <t xml:space="preserve">2.4.2 </t>
    </r>
    <r>
      <rPr>
        <sz val="10"/>
        <color theme="1"/>
        <rFont val="標楷體"/>
        <family val="4"/>
        <charset val="136"/>
      </rPr>
      <t>其他業務</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</si>
  <si>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30" type="noConversion"/>
  </si>
  <si>
    <r>
      <t xml:space="preserve"> 2.5 </t>
    </r>
    <r>
      <rPr>
        <sz val="10"/>
        <color theme="1"/>
        <rFont val="標楷體"/>
        <family val="4"/>
        <charset val="136"/>
      </rPr>
      <t>其他應收款項</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</si>
  <si>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2" type="noConversion"/>
  </si>
  <si>
    <r>
      <t xml:space="preserve"> 2.6 </t>
    </r>
    <r>
      <rPr>
        <sz val="10"/>
        <color theme="1"/>
        <rFont val="標楷體"/>
        <family val="4"/>
        <charset val="136"/>
      </rPr>
      <t>再保險資產</t>
    </r>
    <phoneticPr fontId="30"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</si>
  <si>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2" type="noConversion"/>
  </si>
  <si>
    <r>
      <t xml:space="preserve"> 2.7 </t>
    </r>
    <r>
      <rPr>
        <sz val="10"/>
        <color theme="1"/>
        <rFont val="標楷體"/>
        <family val="4"/>
        <charset val="136"/>
      </rPr>
      <t>天災信用風險</t>
    </r>
    <phoneticPr fontId="30" type="noConversion"/>
  </si>
  <si>
    <r>
      <rPr>
        <sz val="10"/>
        <color theme="1"/>
        <rFont val="標楷體"/>
        <family val="4"/>
        <charset val="136"/>
      </rPr>
      <t>「表</t>
    </r>
    <r>
      <rPr>
        <sz val="10"/>
        <color theme="1"/>
        <rFont val="Times New Roman"/>
        <family val="1"/>
      </rPr>
      <t>30-5-3</t>
    </r>
    <r>
      <rPr>
        <sz val="10"/>
        <color theme="1"/>
        <rFont val="標楷體"/>
        <family val="4"/>
        <charset val="136"/>
      </rPr>
      <t>：天災風險資本計算表」第</t>
    </r>
    <r>
      <rPr>
        <sz val="10"/>
        <color theme="1"/>
        <rFont val="Times New Roman"/>
        <family val="1"/>
      </rPr>
      <t>(1)</t>
    </r>
    <r>
      <rPr>
        <sz val="10"/>
        <color theme="1"/>
        <rFont val="標楷體"/>
        <family val="4"/>
        <charset val="136"/>
      </rPr>
      <t>欄第</t>
    </r>
    <r>
      <rPr>
        <sz val="10"/>
        <color theme="1"/>
        <rFont val="Times New Roman"/>
        <family val="1"/>
      </rPr>
      <t>(6)</t>
    </r>
    <r>
      <rPr>
        <sz val="10"/>
        <color theme="1"/>
        <rFont val="標楷體"/>
        <family val="4"/>
        <charset val="136"/>
      </rPr>
      <t>列</t>
    </r>
    <phoneticPr fontId="32" type="noConversion"/>
  </si>
  <si>
    <r>
      <rPr>
        <b/>
        <sz val="10"/>
        <color theme="1"/>
        <rFont val="標楷體"/>
        <family val="4"/>
        <charset val="136"/>
      </rPr>
      <t>《信用風險》總計</t>
    </r>
    <phoneticPr fontId="30"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</si>
  <si>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30" type="noConversion"/>
  </si>
  <si>
    <t>T05B2B</t>
    <phoneticPr fontId="30" type="noConversion"/>
  </si>
  <si>
    <t>2258</t>
    <phoneticPr fontId="30" type="noConversion"/>
  </si>
  <si>
    <t>併入「發行量加權股價指數」未滿1年</t>
    <phoneticPr fontId="30" type="noConversion"/>
  </si>
  <si>
    <t>6757</t>
    <phoneticPr fontId="30" type="noConversion"/>
  </si>
  <si>
    <t>6854</t>
    <phoneticPr fontId="30" type="noConversion"/>
  </si>
  <si>
    <t>6869</t>
    <phoneticPr fontId="30" type="noConversion"/>
  </si>
  <si>
    <t>6873</t>
    <phoneticPr fontId="30" type="noConversion"/>
  </si>
  <si>
    <r>
      <rPr>
        <sz val="14"/>
        <color theme="1"/>
        <rFont val="標楷體"/>
        <family val="4"/>
        <charset val="136"/>
      </rPr>
      <t>單位</t>
    </r>
    <r>
      <rPr>
        <sz val="14"/>
        <color theme="1"/>
        <rFont val="Times New Roman"/>
        <family val="1"/>
      </rPr>
      <t>:</t>
    </r>
    <r>
      <rPr>
        <sz val="14"/>
        <color theme="1"/>
        <rFont val="標楷體"/>
        <family val="4"/>
        <charset val="136"/>
      </rPr>
      <t>新台幣元</t>
    </r>
    <phoneticPr fontId="71" type="noConversion"/>
  </si>
  <si>
    <r>
      <rPr>
        <b/>
        <sz val="14"/>
        <color theme="1"/>
        <rFont val="標楷體"/>
        <family val="4"/>
        <charset val="136"/>
      </rPr>
      <t>地震</t>
    </r>
    <phoneticPr fontId="71" type="noConversion"/>
  </si>
  <si>
    <r>
      <rPr>
        <b/>
        <sz val="14"/>
        <color theme="1"/>
        <rFont val="標楷體"/>
        <family val="4"/>
        <charset val="136"/>
      </rPr>
      <t>比例再保險業務</t>
    </r>
    <phoneticPr fontId="71" type="noConversion"/>
  </si>
  <si>
    <r>
      <rPr>
        <b/>
        <sz val="14"/>
        <color theme="1"/>
        <rFont val="標楷體"/>
        <family val="4"/>
        <charset val="136"/>
      </rPr>
      <t>非比例再保險業務</t>
    </r>
    <phoneticPr fontId="71" type="noConversion"/>
  </si>
  <si>
    <r>
      <rPr>
        <b/>
        <sz val="14"/>
        <color theme="1"/>
        <rFont val="標楷體"/>
        <family val="4"/>
        <charset val="136"/>
      </rPr>
      <t>保險金額</t>
    </r>
    <r>
      <rPr>
        <b/>
        <sz val="14"/>
        <color theme="1"/>
        <rFont val="Times New Roman"/>
        <family val="1"/>
      </rPr>
      <t>(SI)</t>
    </r>
    <phoneticPr fontId="71" type="noConversion"/>
  </si>
  <si>
    <r>
      <rPr>
        <b/>
        <sz val="14"/>
        <color theme="1"/>
        <rFont val="標楷體"/>
        <family val="4"/>
        <charset val="136"/>
      </rPr>
      <t>責任額</t>
    </r>
    <r>
      <rPr>
        <b/>
        <sz val="14"/>
        <color theme="1"/>
        <rFont val="Times New Roman"/>
        <family val="1"/>
      </rPr>
      <t>(limit)</t>
    </r>
    <phoneticPr fontId="71" type="noConversion"/>
  </si>
  <si>
    <r>
      <rPr>
        <b/>
        <sz val="14"/>
        <color theme="1"/>
        <rFont val="標楷體"/>
        <family val="4"/>
        <charset val="136"/>
      </rPr>
      <t>合約</t>
    </r>
    <phoneticPr fontId="71" type="noConversion"/>
  </si>
  <si>
    <r>
      <rPr>
        <b/>
        <sz val="14"/>
        <color theme="1"/>
        <rFont val="標楷體"/>
        <family val="4"/>
        <charset val="136"/>
      </rPr>
      <t>臨時再保</t>
    </r>
    <phoneticPr fontId="71" type="noConversion"/>
  </si>
  <si>
    <r>
      <rPr>
        <b/>
        <sz val="14"/>
        <color theme="1"/>
        <rFont val="標楷體"/>
        <family val="4"/>
        <charset val="136"/>
      </rPr>
      <t xml:space="preserve">有天災限額
</t>
    </r>
    <r>
      <rPr>
        <b/>
        <sz val="14"/>
        <color theme="1"/>
        <rFont val="Times New Roman"/>
        <family val="1"/>
      </rPr>
      <t>(Event Limit)</t>
    </r>
    <phoneticPr fontId="71" type="noConversion"/>
  </si>
  <si>
    <r>
      <rPr>
        <b/>
        <sz val="14"/>
        <color theme="1"/>
        <rFont val="標楷體"/>
        <family val="4"/>
        <charset val="136"/>
      </rPr>
      <t>無天災限額</t>
    </r>
    <phoneticPr fontId="71" type="noConversion"/>
  </si>
  <si>
    <r>
      <rPr>
        <b/>
        <sz val="14"/>
        <color theme="1"/>
        <rFont val="標楷體"/>
        <family val="4"/>
        <charset val="136"/>
      </rPr>
      <t>高保額業務</t>
    </r>
    <phoneticPr fontId="71" type="noConversion"/>
  </si>
  <si>
    <r>
      <rPr>
        <b/>
        <sz val="14"/>
        <color theme="1"/>
        <rFont val="標楷體"/>
        <family val="4"/>
        <charset val="136"/>
      </rPr>
      <t>一般業務</t>
    </r>
    <phoneticPr fontId="71" type="noConversion"/>
  </si>
  <si>
    <r>
      <rPr>
        <b/>
        <sz val="14"/>
        <color theme="1"/>
        <rFont val="標楷體"/>
        <family val="4"/>
        <charset val="136"/>
      </rPr>
      <t>分進業務</t>
    </r>
    <phoneticPr fontId="71" type="noConversion"/>
  </si>
  <si>
    <r>
      <rPr>
        <b/>
        <sz val="14"/>
        <color theme="1"/>
        <rFont val="標楷體"/>
        <family val="4"/>
        <charset val="136"/>
      </rPr>
      <t>自留業務</t>
    </r>
    <phoneticPr fontId="71" type="noConversion"/>
  </si>
  <si>
    <r>
      <rPr>
        <sz val="14"/>
        <color theme="1"/>
        <rFont val="標楷體"/>
        <family val="4"/>
        <charset val="136"/>
      </rPr>
      <t>車火險</t>
    </r>
    <phoneticPr fontId="71" type="noConversion"/>
  </si>
  <si>
    <r>
      <rPr>
        <sz val="14"/>
        <color theme="1"/>
        <rFont val="標楷體"/>
        <family val="4"/>
        <charset val="136"/>
      </rPr>
      <t>工程險</t>
    </r>
    <phoneticPr fontId="71" type="noConversion"/>
  </si>
  <si>
    <r>
      <rPr>
        <b/>
        <sz val="14"/>
        <color theme="1"/>
        <rFont val="標楷體"/>
        <family val="4"/>
        <charset val="136"/>
      </rPr>
      <t>颱風洪水</t>
    </r>
    <phoneticPr fontId="71" type="noConversion"/>
  </si>
  <si>
    <r>
      <rPr>
        <b/>
        <sz val="12"/>
        <rFont val="標楷體"/>
        <family val="4"/>
        <charset val="136"/>
      </rPr>
      <t>單位</t>
    </r>
    <r>
      <rPr>
        <b/>
        <sz val="12"/>
        <rFont val="Times New Roman"/>
        <family val="1"/>
      </rPr>
      <t>:</t>
    </r>
    <r>
      <rPr>
        <b/>
        <sz val="12"/>
        <rFont val="標楷體"/>
        <family val="4"/>
        <charset val="136"/>
      </rPr>
      <t>新台幣元</t>
    </r>
    <phoneticPr fontId="71" type="noConversion"/>
  </si>
  <si>
    <r>
      <rPr>
        <b/>
        <sz val="12"/>
        <rFont val="標楷體"/>
        <family val="4"/>
        <charset val="136"/>
      </rPr>
      <t>全年度所有航程保險金額</t>
    </r>
    <phoneticPr fontId="71" type="noConversion"/>
  </si>
  <si>
    <t>分進業務保險金額</t>
    <phoneticPr fontId="30" type="noConversion"/>
  </si>
  <si>
    <r>
      <rPr>
        <b/>
        <sz val="12"/>
        <rFont val="標楷體"/>
        <family val="4"/>
        <charset val="136"/>
      </rPr>
      <t>自留業務保險金額</t>
    </r>
    <phoneticPr fontId="30" type="noConversion"/>
  </si>
  <si>
    <r>
      <rPr>
        <b/>
        <sz val="12"/>
        <rFont val="標楷體"/>
        <family val="4"/>
        <charset val="136"/>
      </rPr>
      <t>分進保費</t>
    </r>
    <phoneticPr fontId="30" type="noConversion"/>
  </si>
  <si>
    <r>
      <rPr>
        <b/>
        <sz val="12"/>
        <rFont val="標楷體"/>
        <family val="4"/>
        <charset val="136"/>
      </rPr>
      <t>自留保費</t>
    </r>
    <phoneticPr fontId="30" type="noConversion"/>
  </si>
  <si>
    <r>
      <rPr>
        <b/>
        <sz val="12"/>
        <rFont val="標楷體"/>
        <family val="4"/>
        <charset val="136"/>
      </rPr>
      <t>平均費率</t>
    </r>
    <r>
      <rPr>
        <b/>
        <sz val="12"/>
        <rFont val="Times New Roman"/>
        <family val="1"/>
      </rPr>
      <t xml:space="preserve"> (%)</t>
    </r>
    <phoneticPr fontId="30" type="noConversion"/>
  </si>
  <si>
    <r>
      <rPr>
        <b/>
        <sz val="12"/>
        <rFont val="標楷體"/>
        <family val="4"/>
        <charset val="136"/>
      </rPr>
      <t>單位</t>
    </r>
    <r>
      <rPr>
        <b/>
        <sz val="12"/>
        <rFont val="Times New Roman"/>
        <family val="1"/>
      </rPr>
      <t xml:space="preserve">: </t>
    </r>
    <r>
      <rPr>
        <b/>
        <sz val="12"/>
        <rFont val="標楷體"/>
        <family val="4"/>
        <charset val="136"/>
      </rPr>
      <t>新台幣元</t>
    </r>
    <phoneticPr fontId="71" type="noConversion"/>
  </si>
  <si>
    <r>
      <rPr>
        <b/>
        <sz val="12"/>
        <rFont val="標楷體"/>
        <family val="4"/>
        <charset val="136"/>
      </rPr>
      <t>非比例性轉再保合約的風險抵減額度</t>
    </r>
    <phoneticPr fontId="30" type="noConversion"/>
  </si>
  <si>
    <r>
      <rPr>
        <b/>
        <sz val="12"/>
        <rFont val="標楷體"/>
        <family val="4"/>
        <charset val="136"/>
      </rPr>
      <t>迴歸期</t>
    </r>
  </si>
  <si>
    <r>
      <rPr>
        <b/>
        <sz val="12"/>
        <rFont val="標楷體"/>
        <family val="4"/>
        <charset val="136"/>
      </rPr>
      <t>地震</t>
    </r>
    <phoneticPr fontId="30" type="noConversion"/>
  </si>
  <si>
    <r>
      <t>20</t>
    </r>
    <r>
      <rPr>
        <b/>
        <sz val="12"/>
        <rFont val="標楷體"/>
        <family val="4"/>
        <charset val="136"/>
      </rPr>
      <t>年</t>
    </r>
    <phoneticPr fontId="30" type="noConversion"/>
  </si>
  <si>
    <r>
      <t>50</t>
    </r>
    <r>
      <rPr>
        <b/>
        <sz val="12"/>
        <rFont val="標楷體"/>
        <family val="4"/>
        <charset val="136"/>
      </rPr>
      <t>年</t>
    </r>
    <phoneticPr fontId="30" type="noConversion"/>
  </si>
  <si>
    <r>
      <t>100</t>
    </r>
    <r>
      <rPr>
        <b/>
        <sz val="12"/>
        <rFont val="標楷體"/>
        <family val="4"/>
        <charset val="136"/>
      </rPr>
      <t>年</t>
    </r>
    <phoneticPr fontId="30" type="noConversion"/>
  </si>
  <si>
    <r>
      <t>200</t>
    </r>
    <r>
      <rPr>
        <b/>
        <sz val="12"/>
        <rFont val="標楷體"/>
        <family val="4"/>
        <charset val="136"/>
      </rPr>
      <t>年</t>
    </r>
    <phoneticPr fontId="30" type="noConversion"/>
  </si>
  <si>
    <r>
      <rPr>
        <b/>
        <sz val="12"/>
        <rFont val="標楷體"/>
        <family val="4"/>
        <charset val="136"/>
      </rPr>
      <t>颱風洪水</t>
    </r>
    <phoneticPr fontId="30" type="noConversion"/>
  </si>
  <si>
    <r>
      <rPr>
        <sz val="14"/>
        <color theme="1"/>
        <rFont val="標楷體"/>
        <family val="4"/>
        <charset val="136"/>
      </rPr>
      <t>風險屬性</t>
    </r>
    <phoneticPr fontId="71" type="noConversion"/>
  </si>
  <si>
    <r>
      <rPr>
        <sz val="14"/>
        <color theme="1"/>
        <rFont val="標楷體"/>
        <family val="4"/>
        <charset val="136"/>
      </rPr>
      <t>比例再保險業務</t>
    </r>
    <phoneticPr fontId="71" type="noConversion"/>
  </si>
  <si>
    <r>
      <rPr>
        <sz val="14"/>
        <color theme="1"/>
        <rFont val="標楷體"/>
        <family val="4"/>
        <charset val="136"/>
      </rPr>
      <t>非比例再保險業務</t>
    </r>
    <phoneticPr fontId="71" type="noConversion"/>
  </si>
  <si>
    <r>
      <rPr>
        <b/>
        <sz val="12"/>
        <color theme="1"/>
        <rFont val="標楷體"/>
        <family val="4"/>
        <charset val="136"/>
      </rPr>
      <t>平均損失金額</t>
    </r>
    <phoneticPr fontId="71" type="noConversion"/>
  </si>
  <si>
    <r>
      <rPr>
        <b/>
        <sz val="12"/>
        <color theme="1"/>
        <rFont val="標楷體"/>
        <family val="4"/>
        <charset val="136"/>
      </rPr>
      <t>損失金額</t>
    </r>
    <phoneticPr fontId="71" type="noConversion"/>
  </si>
  <si>
    <r>
      <rPr>
        <sz val="14"/>
        <color theme="1"/>
        <rFont val="標楷體"/>
        <family val="4"/>
        <charset val="136"/>
      </rPr>
      <t>保險金額</t>
    </r>
    <r>
      <rPr>
        <sz val="14"/>
        <color theme="1"/>
        <rFont val="Times New Roman"/>
        <family val="1"/>
      </rPr>
      <t>(SI)</t>
    </r>
    <phoneticPr fontId="71" type="noConversion"/>
  </si>
  <si>
    <r>
      <rPr>
        <sz val="14"/>
        <color theme="1"/>
        <rFont val="標楷體"/>
        <family val="4"/>
        <charset val="136"/>
      </rPr>
      <t>責任額</t>
    </r>
    <r>
      <rPr>
        <sz val="14"/>
        <color theme="1"/>
        <rFont val="Times New Roman"/>
        <family val="1"/>
      </rPr>
      <t>(limit)</t>
    </r>
    <phoneticPr fontId="71" type="noConversion"/>
  </si>
  <si>
    <r>
      <rPr>
        <b/>
        <sz val="12"/>
        <color theme="1"/>
        <rFont val="標楷體"/>
        <family val="4"/>
        <charset val="136"/>
      </rPr>
      <t>迴歸期</t>
    </r>
    <r>
      <rPr>
        <b/>
        <sz val="12"/>
        <color theme="1"/>
        <rFont val="Times New Roman"/>
        <family val="1"/>
      </rPr>
      <t>20</t>
    </r>
    <r>
      <rPr>
        <b/>
        <sz val="12"/>
        <color theme="1"/>
        <rFont val="標楷體"/>
        <family val="4"/>
        <charset val="136"/>
      </rPr>
      <t>年</t>
    </r>
  </si>
  <si>
    <r>
      <rPr>
        <b/>
        <sz val="12"/>
        <color theme="1"/>
        <rFont val="標楷體"/>
        <family val="4"/>
        <charset val="136"/>
      </rPr>
      <t>迴歸期</t>
    </r>
    <r>
      <rPr>
        <b/>
        <sz val="12"/>
        <color theme="1"/>
        <rFont val="Times New Roman"/>
        <family val="1"/>
      </rPr>
      <t>50</t>
    </r>
    <r>
      <rPr>
        <b/>
        <sz val="12"/>
        <color theme="1"/>
        <rFont val="標楷體"/>
        <family val="4"/>
        <charset val="136"/>
      </rPr>
      <t>年</t>
    </r>
  </si>
  <si>
    <r>
      <rPr>
        <b/>
        <sz val="12"/>
        <color theme="1"/>
        <rFont val="標楷體"/>
        <family val="4"/>
        <charset val="136"/>
      </rPr>
      <t>迴歸期</t>
    </r>
    <r>
      <rPr>
        <b/>
        <sz val="12"/>
        <color theme="1"/>
        <rFont val="Times New Roman"/>
        <family val="1"/>
      </rPr>
      <t>100</t>
    </r>
    <r>
      <rPr>
        <b/>
        <sz val="12"/>
        <color theme="1"/>
        <rFont val="標楷體"/>
        <family val="4"/>
        <charset val="136"/>
      </rPr>
      <t>年</t>
    </r>
  </si>
  <si>
    <r>
      <rPr>
        <b/>
        <sz val="12"/>
        <color theme="1"/>
        <rFont val="標楷體"/>
        <family val="4"/>
        <charset val="136"/>
      </rPr>
      <t>迴歸期</t>
    </r>
    <r>
      <rPr>
        <b/>
        <sz val="12"/>
        <color theme="1"/>
        <rFont val="Times New Roman"/>
        <family val="1"/>
      </rPr>
      <t>200</t>
    </r>
    <r>
      <rPr>
        <b/>
        <sz val="12"/>
        <color theme="1"/>
        <rFont val="標楷體"/>
        <family val="4"/>
        <charset val="136"/>
      </rPr>
      <t>年</t>
    </r>
    <phoneticPr fontId="71" type="noConversion"/>
  </si>
  <si>
    <r>
      <rPr>
        <sz val="14"/>
        <color theme="1"/>
        <rFont val="標楷體"/>
        <family val="4"/>
        <charset val="136"/>
      </rPr>
      <t>合約</t>
    </r>
    <phoneticPr fontId="71" type="noConversion"/>
  </si>
  <si>
    <r>
      <rPr>
        <sz val="14"/>
        <color theme="1"/>
        <rFont val="標楷體"/>
        <family val="4"/>
        <charset val="136"/>
      </rPr>
      <t>臨時再保</t>
    </r>
    <phoneticPr fontId="71" type="noConversion"/>
  </si>
  <si>
    <r>
      <rPr>
        <sz val="14"/>
        <color theme="1"/>
        <rFont val="標楷體"/>
        <family val="4"/>
        <charset val="136"/>
      </rPr>
      <t xml:space="preserve">有天災限額
</t>
    </r>
    <r>
      <rPr>
        <sz val="14"/>
        <color theme="1"/>
        <rFont val="Times New Roman"/>
        <family val="1"/>
      </rPr>
      <t>(Event Limit)</t>
    </r>
    <phoneticPr fontId="71" type="noConversion"/>
  </si>
  <si>
    <r>
      <rPr>
        <sz val="14"/>
        <color theme="1"/>
        <rFont val="標楷體"/>
        <family val="4"/>
        <charset val="136"/>
      </rPr>
      <t>無天災限額</t>
    </r>
    <phoneticPr fontId="71" type="noConversion"/>
  </si>
  <si>
    <r>
      <rPr>
        <sz val="14"/>
        <color theme="1"/>
        <rFont val="標楷體"/>
        <family val="4"/>
        <charset val="136"/>
      </rPr>
      <t>高保額業務</t>
    </r>
    <phoneticPr fontId="71" type="noConversion"/>
  </si>
  <si>
    <r>
      <rPr>
        <sz val="14"/>
        <color theme="1"/>
        <rFont val="標楷體"/>
        <family val="4"/>
        <charset val="136"/>
      </rPr>
      <t>一般業務</t>
    </r>
    <phoneticPr fontId="71" type="noConversion"/>
  </si>
  <si>
    <r>
      <rPr>
        <sz val="14"/>
        <color theme="1"/>
        <rFont val="標楷體"/>
        <family val="4"/>
        <charset val="136"/>
      </rPr>
      <t>總計</t>
    </r>
    <phoneticPr fontId="71" type="noConversion"/>
  </si>
  <si>
    <t>AAL Ratio (‰)</t>
    <phoneticPr fontId="71" type="noConversion"/>
  </si>
  <si>
    <t>Loss
 Ratio-AAL (‰)</t>
    <phoneticPr fontId="71" type="noConversion"/>
  </si>
  <si>
    <t xml:space="preserve">20-Year </t>
    <phoneticPr fontId="30" type="noConversion"/>
  </si>
  <si>
    <t xml:space="preserve">50-Year </t>
    <phoneticPr fontId="30" type="noConversion"/>
  </si>
  <si>
    <t xml:space="preserve">100-Year </t>
    <phoneticPr fontId="30" type="noConversion"/>
  </si>
  <si>
    <t xml:space="preserve">200-Year </t>
    <phoneticPr fontId="30" type="noConversion"/>
  </si>
  <si>
    <r>
      <rPr>
        <sz val="14"/>
        <color theme="1"/>
        <rFont val="標楷體"/>
        <family val="4"/>
        <charset val="136"/>
      </rPr>
      <t>非比例性轉再保合約的風險抵減額度</t>
    </r>
    <phoneticPr fontId="71" type="noConversion"/>
  </si>
  <si>
    <r>
      <rPr>
        <sz val="14"/>
        <color theme="1"/>
        <rFont val="標楷體"/>
        <family val="4"/>
        <charset val="136"/>
      </rPr>
      <t>淨自留損失總額</t>
    </r>
    <phoneticPr fontId="71" type="noConversion"/>
  </si>
  <si>
    <r>
      <rPr>
        <b/>
        <sz val="14"/>
        <color theme="1"/>
        <rFont val="標楷體"/>
        <family val="4"/>
        <charset val="136"/>
      </rPr>
      <t>非比例性再保合約的風險抵減額度</t>
    </r>
  </si>
  <si>
    <r>
      <rPr>
        <b/>
        <sz val="14"/>
        <color theme="1"/>
        <rFont val="新細明體"/>
        <family val="4"/>
        <charset val="136"/>
      </rPr>
      <t>表</t>
    </r>
    <r>
      <rPr>
        <b/>
        <sz val="14"/>
        <color theme="1"/>
        <rFont val="Times New Roman"/>
        <family val="4"/>
        <charset val="136"/>
      </rPr>
      <t>30-5-3-2</t>
    </r>
    <r>
      <rPr>
        <b/>
        <sz val="14"/>
        <color theme="1"/>
        <rFont val="新細明體"/>
        <family val="4"/>
        <charset val="136"/>
      </rPr>
      <t>：地震損失評估</t>
    </r>
    <phoneticPr fontId="30" type="noConversion"/>
  </si>
  <si>
    <r>
      <rPr>
        <b/>
        <sz val="14"/>
        <color theme="1"/>
        <rFont val="新細明體"/>
        <family val="4"/>
        <charset val="136"/>
      </rPr>
      <t>表</t>
    </r>
    <r>
      <rPr>
        <b/>
        <sz val="14"/>
        <color theme="1"/>
        <rFont val="Times New Roman"/>
        <family val="4"/>
        <charset val="136"/>
      </rPr>
      <t>30-5-3-3</t>
    </r>
    <r>
      <rPr>
        <b/>
        <sz val="14"/>
        <color theme="1"/>
        <rFont val="新細明體"/>
        <family val="4"/>
        <charset val="136"/>
      </rPr>
      <t>：颱洪損失評估</t>
    </r>
    <phoneticPr fontId="30" type="noConversion"/>
  </si>
  <si>
    <t>車火及工程險災害別分進比例性業務及自留曝險金額表</t>
    <phoneticPr fontId="71" type="noConversion"/>
  </si>
  <si>
    <t>貨物水險災害別分進及自留業務曝險金額表</t>
    <phoneticPr fontId="71" type="noConversion"/>
  </si>
  <si>
    <t>災害別各回歸期下非比例性再保合約風險抵減額度表</t>
    <phoneticPr fontId="30" type="noConversion"/>
  </si>
  <si>
    <r>
      <rPr>
        <b/>
        <sz val="12"/>
        <color theme="1"/>
        <rFont val="標楷體"/>
        <family val="4"/>
        <charset val="136"/>
      </rPr>
      <t>顯示單位</t>
    </r>
    <r>
      <rPr>
        <b/>
        <sz val="12"/>
        <color theme="1"/>
        <rFont val="Times New Roman"/>
        <family val="1"/>
      </rPr>
      <t xml:space="preserve">: </t>
    </r>
    <r>
      <rPr>
        <b/>
        <sz val="12"/>
        <color theme="1"/>
        <rFont val="標楷體"/>
        <family val="4"/>
        <charset val="136"/>
      </rPr>
      <t>百萬元</t>
    </r>
    <phoneticPr fontId="71" type="noConversion"/>
  </si>
  <si>
    <r>
      <t>EQ Loss Ratio-AAL -</t>
    </r>
    <r>
      <rPr>
        <b/>
        <sz val="12"/>
        <color theme="1"/>
        <rFont val="標楷體"/>
        <family val="4"/>
        <charset val="136"/>
      </rPr>
      <t>車</t>
    </r>
    <r>
      <rPr>
        <b/>
        <sz val="12"/>
        <color theme="1"/>
        <rFont val="Times New Roman"/>
        <family val="1"/>
      </rPr>
      <t>/</t>
    </r>
    <r>
      <rPr>
        <b/>
        <sz val="12"/>
        <color theme="1"/>
        <rFont val="標楷體"/>
        <family val="4"/>
        <charset val="136"/>
      </rPr>
      <t>火險</t>
    </r>
    <phoneticPr fontId="30" type="noConversion"/>
  </si>
  <si>
    <r>
      <t>EQ Loss Ratio-AAL -</t>
    </r>
    <r>
      <rPr>
        <b/>
        <sz val="12"/>
        <color theme="1"/>
        <rFont val="標楷體"/>
        <family val="4"/>
        <charset val="136"/>
      </rPr>
      <t>工程險</t>
    </r>
    <phoneticPr fontId="30" type="noConversion"/>
  </si>
  <si>
    <r>
      <rPr>
        <sz val="12"/>
        <color theme="1"/>
        <rFont val="標楷體"/>
        <family val="4"/>
        <charset val="136"/>
      </rPr>
      <t>風險屬性</t>
    </r>
    <phoneticPr fontId="71" type="noConversion"/>
  </si>
  <si>
    <r>
      <rPr>
        <sz val="12"/>
        <color theme="1"/>
        <rFont val="標楷體"/>
        <family val="4"/>
        <charset val="136"/>
      </rPr>
      <t>風險分散係數</t>
    </r>
    <phoneticPr fontId="71" type="noConversion"/>
  </si>
  <si>
    <r>
      <rPr>
        <sz val="12"/>
        <color theme="1"/>
        <rFont val="標楷體"/>
        <family val="4"/>
        <charset val="136"/>
      </rPr>
      <t>理賠費用係數</t>
    </r>
    <phoneticPr fontId="71" type="noConversion"/>
  </si>
  <si>
    <r>
      <rPr>
        <b/>
        <sz val="14"/>
        <color theme="1"/>
        <rFont val="標楷體"/>
        <family val="4"/>
        <charset val="136"/>
      </rPr>
      <t>顯示單位</t>
    </r>
    <r>
      <rPr>
        <b/>
        <sz val="14"/>
        <color theme="1"/>
        <rFont val="Times New Roman"/>
        <family val="1"/>
      </rPr>
      <t xml:space="preserve">: </t>
    </r>
    <r>
      <rPr>
        <b/>
        <sz val="14"/>
        <color theme="1"/>
        <rFont val="標楷體"/>
        <family val="4"/>
        <charset val="136"/>
      </rPr>
      <t>百萬元</t>
    </r>
    <phoneticPr fontId="71" type="noConversion"/>
  </si>
  <si>
    <r>
      <rPr>
        <sz val="14"/>
        <color theme="1"/>
        <rFont val="標楷體"/>
        <family val="4"/>
        <charset val="136"/>
      </rPr>
      <t>貨物水險</t>
    </r>
    <r>
      <rPr>
        <sz val="14"/>
        <color theme="1"/>
        <rFont val="Times New Roman"/>
        <family val="1"/>
      </rPr>
      <t>-</t>
    </r>
    <r>
      <rPr>
        <sz val="14"/>
        <color theme="1"/>
        <rFont val="標楷體"/>
        <family val="4"/>
        <charset val="136"/>
      </rPr>
      <t>地震</t>
    </r>
    <r>
      <rPr>
        <sz val="14"/>
        <color theme="1"/>
        <rFont val="Times New Roman"/>
        <family val="1"/>
      </rPr>
      <t xml:space="preserve"> </t>
    </r>
    <phoneticPr fontId="30" type="noConversion"/>
  </si>
  <si>
    <r>
      <rPr>
        <b/>
        <sz val="14"/>
        <color theme="1"/>
        <rFont val="標楷體"/>
        <family val="4"/>
        <charset val="136"/>
      </rPr>
      <t>地區</t>
    </r>
    <r>
      <rPr>
        <b/>
        <sz val="14"/>
        <color theme="1"/>
        <rFont val="Times New Roman"/>
        <family val="1"/>
      </rPr>
      <t>/</t>
    </r>
    <r>
      <rPr>
        <b/>
        <sz val="14"/>
        <color theme="1"/>
        <rFont val="標楷體"/>
        <family val="4"/>
        <charset val="136"/>
      </rPr>
      <t>業務範圍</t>
    </r>
  </si>
  <si>
    <r>
      <rPr>
        <b/>
        <sz val="14"/>
        <color theme="1"/>
        <rFont val="標楷體"/>
        <family val="4"/>
        <charset val="136"/>
      </rPr>
      <t>地震</t>
    </r>
    <phoneticPr fontId="30" type="noConversion"/>
  </si>
  <si>
    <r>
      <rPr>
        <b/>
        <sz val="14"/>
        <color theme="1"/>
        <rFont val="標楷體"/>
        <family val="4"/>
        <charset val="136"/>
      </rPr>
      <t>平均損失金額</t>
    </r>
    <phoneticPr fontId="30" type="noConversion"/>
  </si>
  <si>
    <r>
      <rPr>
        <b/>
        <sz val="14"/>
        <color theme="1"/>
        <rFont val="標楷體"/>
        <family val="4"/>
        <charset val="136"/>
      </rPr>
      <t>損失金額</t>
    </r>
    <phoneticPr fontId="30" type="noConversion"/>
  </si>
  <si>
    <r>
      <rPr>
        <sz val="14"/>
        <color theme="1"/>
        <rFont val="標楷體"/>
        <family val="4"/>
        <charset val="136"/>
      </rPr>
      <t>損失率</t>
    </r>
    <r>
      <rPr>
        <sz val="14"/>
        <color theme="1"/>
        <rFont val="Times New Roman"/>
        <family val="1"/>
      </rPr>
      <t>-AAL</t>
    </r>
    <phoneticPr fontId="71" type="noConversion"/>
  </si>
  <si>
    <r>
      <rPr>
        <b/>
        <sz val="14"/>
        <color theme="1"/>
        <rFont val="標楷體"/>
        <family val="4"/>
        <charset val="136"/>
      </rPr>
      <t>全年度所有航程保險金額</t>
    </r>
    <phoneticPr fontId="71" type="noConversion"/>
  </si>
  <si>
    <r>
      <rPr>
        <b/>
        <sz val="14"/>
        <color theme="1"/>
        <rFont val="標楷體"/>
        <family val="4"/>
        <charset val="136"/>
      </rPr>
      <t>迴歸期</t>
    </r>
    <r>
      <rPr>
        <b/>
        <sz val="14"/>
        <color theme="1"/>
        <rFont val="Times New Roman"/>
        <family val="1"/>
      </rPr>
      <t>20</t>
    </r>
    <r>
      <rPr>
        <b/>
        <sz val="14"/>
        <color theme="1"/>
        <rFont val="標楷體"/>
        <family val="4"/>
        <charset val="136"/>
      </rPr>
      <t>年</t>
    </r>
  </si>
  <si>
    <r>
      <rPr>
        <b/>
        <sz val="14"/>
        <color theme="1"/>
        <rFont val="標楷體"/>
        <family val="4"/>
        <charset val="136"/>
      </rPr>
      <t>迴歸期</t>
    </r>
    <r>
      <rPr>
        <b/>
        <sz val="14"/>
        <color theme="1"/>
        <rFont val="Times New Roman"/>
        <family val="1"/>
      </rPr>
      <t>50</t>
    </r>
    <r>
      <rPr>
        <b/>
        <sz val="14"/>
        <color theme="1"/>
        <rFont val="標楷體"/>
        <family val="4"/>
        <charset val="136"/>
      </rPr>
      <t>年</t>
    </r>
  </si>
  <si>
    <r>
      <rPr>
        <b/>
        <sz val="14"/>
        <color theme="1"/>
        <rFont val="標楷體"/>
        <family val="4"/>
        <charset val="136"/>
      </rPr>
      <t>迴歸期</t>
    </r>
    <r>
      <rPr>
        <b/>
        <sz val="14"/>
        <color theme="1"/>
        <rFont val="Times New Roman"/>
        <family val="1"/>
      </rPr>
      <t>100</t>
    </r>
    <r>
      <rPr>
        <b/>
        <sz val="14"/>
        <color theme="1"/>
        <rFont val="標楷體"/>
        <family val="4"/>
        <charset val="136"/>
      </rPr>
      <t>年</t>
    </r>
  </si>
  <si>
    <r>
      <rPr>
        <b/>
        <sz val="14"/>
        <color theme="1"/>
        <rFont val="標楷體"/>
        <family val="4"/>
        <charset val="136"/>
      </rPr>
      <t>迴歸期</t>
    </r>
    <r>
      <rPr>
        <b/>
        <sz val="14"/>
        <color theme="1"/>
        <rFont val="Times New Roman"/>
        <family val="1"/>
      </rPr>
      <t>200</t>
    </r>
    <r>
      <rPr>
        <b/>
        <sz val="14"/>
        <color theme="1"/>
        <rFont val="標楷體"/>
        <family val="4"/>
        <charset val="136"/>
      </rPr>
      <t>年</t>
    </r>
    <phoneticPr fontId="30" type="noConversion"/>
  </si>
  <si>
    <r>
      <rPr>
        <sz val="14"/>
        <color theme="1"/>
        <rFont val="標楷體"/>
        <family val="4"/>
        <charset val="136"/>
      </rPr>
      <t>分類</t>
    </r>
    <phoneticPr fontId="72" type="noConversion"/>
  </si>
  <si>
    <r>
      <rPr>
        <sz val="14"/>
        <color theme="1"/>
        <rFont val="標楷體"/>
        <family val="4"/>
        <charset val="136"/>
      </rPr>
      <t>年平均損失</t>
    </r>
    <r>
      <rPr>
        <sz val="14"/>
        <color theme="1"/>
        <rFont val="Times New Roman"/>
        <family val="1"/>
      </rPr>
      <t>(‰)</t>
    </r>
    <phoneticPr fontId="71" type="noConversion"/>
  </si>
  <si>
    <r>
      <t>20</t>
    </r>
    <r>
      <rPr>
        <sz val="14"/>
        <color theme="1"/>
        <rFont val="標楷體"/>
        <family val="4"/>
        <charset val="136"/>
      </rPr>
      <t>年回歸期損失</t>
    </r>
    <r>
      <rPr>
        <sz val="14"/>
        <color theme="1"/>
        <rFont val="Times New Roman"/>
        <family val="1"/>
      </rPr>
      <t>(‰)</t>
    </r>
    <phoneticPr fontId="72" type="noConversion"/>
  </si>
  <si>
    <r>
      <t>50</t>
    </r>
    <r>
      <rPr>
        <sz val="14"/>
        <color theme="1"/>
        <rFont val="標楷體"/>
        <family val="4"/>
        <charset val="136"/>
      </rPr>
      <t>年回歸期損失</t>
    </r>
    <r>
      <rPr>
        <sz val="14"/>
        <color theme="1"/>
        <rFont val="Times New Roman"/>
        <family val="1"/>
      </rPr>
      <t>(‰)</t>
    </r>
    <phoneticPr fontId="71" type="noConversion"/>
  </si>
  <si>
    <r>
      <t>100</t>
    </r>
    <r>
      <rPr>
        <sz val="14"/>
        <color theme="1"/>
        <rFont val="標楷體"/>
        <family val="4"/>
        <charset val="136"/>
      </rPr>
      <t>年回歸期損失</t>
    </r>
    <r>
      <rPr>
        <sz val="14"/>
        <color theme="1"/>
        <rFont val="Times New Roman"/>
        <family val="1"/>
      </rPr>
      <t>(‰)</t>
    </r>
    <phoneticPr fontId="30" type="noConversion"/>
  </si>
  <si>
    <r>
      <t>200</t>
    </r>
    <r>
      <rPr>
        <sz val="14"/>
        <color theme="1"/>
        <rFont val="標楷體"/>
        <family val="4"/>
        <charset val="136"/>
      </rPr>
      <t>年回歸期損失</t>
    </r>
    <r>
      <rPr>
        <sz val="14"/>
        <color theme="1"/>
        <rFont val="Times New Roman"/>
        <family val="1"/>
      </rPr>
      <t>(‰)</t>
    </r>
    <phoneticPr fontId="30" type="noConversion"/>
  </si>
  <si>
    <r>
      <rPr>
        <sz val="14"/>
        <color theme="1"/>
        <rFont val="標楷體"/>
        <family val="4"/>
        <charset val="136"/>
      </rPr>
      <t>不分貨物別</t>
    </r>
    <phoneticPr fontId="72" type="noConversion"/>
  </si>
  <si>
    <r>
      <rPr>
        <sz val="14"/>
        <color theme="1"/>
        <rFont val="標楷體"/>
        <family val="4"/>
        <charset val="136"/>
      </rPr>
      <t>年平均</t>
    </r>
    <phoneticPr fontId="71" type="noConversion"/>
  </si>
  <si>
    <r>
      <rPr>
        <sz val="14"/>
        <color theme="1"/>
        <rFont val="標楷體"/>
        <family val="4"/>
        <charset val="136"/>
      </rPr>
      <t>理賠費用係數</t>
    </r>
    <phoneticPr fontId="72" type="noConversion"/>
  </si>
  <si>
    <r>
      <rPr>
        <b/>
        <sz val="14"/>
        <color theme="1"/>
        <rFont val="標楷體"/>
        <family val="4"/>
        <charset val="136"/>
      </rPr>
      <t>自留業務保險金額</t>
    </r>
    <phoneticPr fontId="30" type="noConversion"/>
  </si>
  <si>
    <r>
      <rPr>
        <sz val="14"/>
        <color theme="1"/>
        <rFont val="標楷體"/>
        <family val="4"/>
        <charset val="136"/>
      </rPr>
      <t>淨自留損失總額</t>
    </r>
    <phoneticPr fontId="30" type="noConversion"/>
  </si>
  <si>
    <r>
      <t>TF Loss Ratio-AAL -</t>
    </r>
    <r>
      <rPr>
        <b/>
        <sz val="12"/>
        <color theme="1"/>
        <rFont val="標楷體"/>
        <family val="4"/>
        <charset val="136"/>
      </rPr>
      <t>車</t>
    </r>
    <r>
      <rPr>
        <b/>
        <sz val="12"/>
        <color theme="1"/>
        <rFont val="Times New Roman"/>
        <family val="1"/>
      </rPr>
      <t>/</t>
    </r>
    <r>
      <rPr>
        <b/>
        <sz val="12"/>
        <color theme="1"/>
        <rFont val="標楷體"/>
        <family val="4"/>
        <charset val="136"/>
      </rPr>
      <t>火險</t>
    </r>
    <phoneticPr fontId="30" type="noConversion"/>
  </si>
  <si>
    <r>
      <t>TF Loss Ratio-</t>
    </r>
    <r>
      <rPr>
        <b/>
        <sz val="12"/>
        <color theme="1"/>
        <rFont val="標楷體"/>
        <family val="4"/>
        <charset val="136"/>
      </rPr>
      <t>工程險</t>
    </r>
    <phoneticPr fontId="30" type="noConversion"/>
  </si>
  <si>
    <r>
      <rPr>
        <sz val="14"/>
        <color theme="1"/>
        <rFont val="標楷體"/>
        <family val="4"/>
        <charset val="136"/>
      </rPr>
      <t>貨物水險</t>
    </r>
    <r>
      <rPr>
        <sz val="14"/>
        <color theme="1"/>
        <rFont val="Times New Roman"/>
        <family val="1"/>
      </rPr>
      <t>-</t>
    </r>
    <r>
      <rPr>
        <sz val="14"/>
        <color theme="1"/>
        <rFont val="標楷體"/>
        <family val="4"/>
        <charset val="136"/>
      </rPr>
      <t>颱風洪水</t>
    </r>
    <r>
      <rPr>
        <sz val="14"/>
        <color theme="1"/>
        <rFont val="Times New Roman"/>
        <family val="1"/>
      </rPr>
      <t xml:space="preserve"> </t>
    </r>
    <phoneticPr fontId="30" type="noConversion"/>
  </si>
  <si>
    <r>
      <rPr>
        <b/>
        <sz val="14"/>
        <color theme="1"/>
        <rFont val="標楷體"/>
        <family val="4"/>
        <charset val="136"/>
      </rPr>
      <t>颱風洪水</t>
    </r>
    <phoneticPr fontId="30" type="noConversion"/>
  </si>
  <si>
    <r>
      <rPr>
        <b/>
        <sz val="14"/>
        <color theme="1"/>
        <rFont val="標楷體"/>
        <family val="4"/>
        <charset val="136"/>
      </rPr>
      <t>理賠費用係數</t>
    </r>
    <phoneticPr fontId="72" type="noConversion"/>
  </si>
  <si>
    <t>車、火險及工程險分進業務地震損失評估</t>
    <phoneticPr fontId="71" type="noConversion"/>
  </si>
  <si>
    <t>車、火險及工程險自留業務地震損失評估</t>
    <phoneticPr fontId="71" type="noConversion"/>
  </si>
  <si>
    <t>貨物水險分進業務地震損失評估</t>
    <phoneticPr fontId="30" type="noConversion"/>
  </si>
  <si>
    <t>貨物水險自留業務地震損失評估</t>
    <phoneticPr fontId="71" type="noConversion"/>
  </si>
  <si>
    <t>車、火險及工程險分進業務颱洪損失評估</t>
    <phoneticPr fontId="71" type="noConversion"/>
  </si>
  <si>
    <t>車、火險及工程險自留業務颱洪損失評估</t>
    <phoneticPr fontId="71" type="noConversion"/>
  </si>
  <si>
    <t>貨物水險分進業務颱洪損失評估</t>
    <phoneticPr fontId="30" type="noConversion"/>
  </si>
  <si>
    <t>貨物水險自留業務颱洪損失評估</t>
    <phoneticPr fontId="71" type="noConversion"/>
  </si>
  <si>
    <r>
      <rPr>
        <sz val="12"/>
        <color theme="1"/>
        <rFont val="標楷體"/>
        <family val="4"/>
        <charset val="136"/>
      </rPr>
      <t>報表表次及名稱</t>
    </r>
    <phoneticPr fontId="30"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</si>
  <si>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</si>
  <si>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</si>
  <si>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30" type="noConversion"/>
  </si>
  <si>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30"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</si>
  <si>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30"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</si>
  <si>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30"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</si>
  <si>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</si>
  <si>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：依保險業財務報告編製準則規定編製之財務報告</t>
    </r>
    <phoneticPr fontId="30"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</si>
  <si>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</si>
  <si>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</si>
  <si>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</si>
  <si>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</si>
  <si>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</si>
  <si>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</si>
  <si>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30"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</si>
  <si>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30"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</si>
  <si>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</si>
  <si>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</si>
  <si>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</si>
  <si>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</si>
  <si>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32"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</si>
  <si>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</si>
  <si>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</si>
  <si>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</si>
  <si>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30"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</si>
  <si>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</si>
  <si>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2"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</si>
  <si>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</si>
  <si>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</si>
  <si>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</si>
  <si>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</si>
  <si>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：受益憑證餘額明細表</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</si>
  <si>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</si>
  <si>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</si>
  <si>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</si>
  <si>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</si>
  <si>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</si>
  <si>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</si>
  <si>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30"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</si>
  <si>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</si>
  <si>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</si>
  <si>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</si>
  <si>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：應收款項餘額明細表</t>
    </r>
    <phoneticPr fontId="30" type="noConversion"/>
  </si>
  <si>
    <r>
      <rPr>
        <sz val="12"/>
        <color theme="1"/>
        <rFont val="標楷體"/>
        <family val="4"/>
        <charset val="136"/>
      </rPr>
      <t>表</t>
    </r>
    <r>
      <rPr>
        <sz val="12"/>
        <color theme="1"/>
        <rFont val="Times New Roman"/>
        <family val="1"/>
      </rPr>
      <t>14-5</t>
    </r>
    <r>
      <rPr>
        <sz val="12"/>
        <color theme="1"/>
        <rFont val="標楷體"/>
        <family val="4"/>
        <charset val="136"/>
      </rPr>
      <t>：逾期放款及其他應收款項逾期債權轉銷表</t>
    </r>
    <phoneticPr fontId="30"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</si>
  <si>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phoneticPr fontId="30" type="noConversion"/>
  </si>
  <si>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30"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</si>
  <si>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30"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</si>
  <si>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0"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</si>
  <si>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0"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</si>
  <si>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30"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</si>
  <si>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30"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</si>
  <si>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30"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</si>
  <si>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30"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</si>
  <si>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</si>
  <si>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表</t>
    </r>
    <r>
      <rPr>
        <sz val="12"/>
        <color theme="1"/>
        <rFont val="Times New Roman"/>
        <family val="1"/>
      </rPr>
      <t>18</t>
    </r>
    <r>
      <rPr>
        <sz val="12"/>
        <color theme="1"/>
        <rFont val="標楷體"/>
        <family val="4"/>
        <charset val="136"/>
      </rPr>
      <t>：關係人交易明細表</t>
    </r>
    <phoneticPr fontId="30" type="noConversion"/>
  </si>
  <si>
    <r>
      <rPr>
        <sz val="12"/>
        <color theme="1"/>
        <rFont val="標楷體"/>
        <family val="4"/>
        <charset val="136"/>
      </rPr>
      <t>表</t>
    </r>
    <r>
      <rPr>
        <sz val="12"/>
        <color theme="1"/>
        <rFont val="Times New Roman"/>
        <family val="1"/>
      </rPr>
      <t>19-1-1-1</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財產再保險分入</t>
    </r>
    <r>
      <rPr>
        <sz val="12"/>
        <color theme="1"/>
        <rFont val="Times New Roman"/>
        <family val="1"/>
      </rPr>
      <t>)</t>
    </r>
  </si>
  <si>
    <r>
      <rPr>
        <sz val="12"/>
        <color theme="1"/>
        <rFont val="標楷體"/>
        <family val="4"/>
        <charset val="136"/>
      </rPr>
      <t>表</t>
    </r>
    <r>
      <rPr>
        <sz val="12"/>
        <color theme="1"/>
        <rFont val="Times New Roman"/>
        <family val="1"/>
      </rPr>
      <t>19-1-1-2</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財產再保險分出</t>
    </r>
    <r>
      <rPr>
        <sz val="12"/>
        <color theme="1"/>
        <rFont val="Times New Roman"/>
        <family val="1"/>
      </rPr>
      <t>)</t>
    </r>
  </si>
  <si>
    <r>
      <rPr>
        <sz val="12"/>
        <color theme="1"/>
        <rFont val="標楷體"/>
        <family val="4"/>
        <charset val="136"/>
      </rPr>
      <t>表</t>
    </r>
    <r>
      <rPr>
        <sz val="12"/>
        <color theme="1"/>
        <rFont val="Times New Roman"/>
        <family val="1"/>
      </rPr>
      <t>19-1-2-1</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人身再保險分入</t>
    </r>
    <r>
      <rPr>
        <sz val="12"/>
        <color theme="1"/>
        <rFont val="Times New Roman"/>
        <family val="1"/>
      </rPr>
      <t>)</t>
    </r>
    <phoneticPr fontId="30" type="noConversion"/>
  </si>
  <si>
    <r>
      <rPr>
        <sz val="12"/>
        <color theme="1"/>
        <rFont val="標楷體"/>
        <family val="4"/>
        <charset val="136"/>
      </rPr>
      <t>表</t>
    </r>
    <r>
      <rPr>
        <sz val="12"/>
        <color theme="1"/>
        <rFont val="Times New Roman"/>
        <family val="1"/>
      </rPr>
      <t>19-1-2-2</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人身再保險分出</t>
    </r>
    <r>
      <rPr>
        <sz val="12"/>
        <color theme="1"/>
        <rFont val="Times New Roman"/>
        <family val="1"/>
      </rPr>
      <t>)</t>
    </r>
    <phoneticPr fontId="30" type="noConversion"/>
  </si>
  <si>
    <r>
      <rPr>
        <sz val="12"/>
        <color theme="1"/>
        <rFont val="標楷體"/>
        <family val="4"/>
        <charset val="136"/>
      </rPr>
      <t>表</t>
    </r>
    <r>
      <rPr>
        <sz val="12"/>
        <color theme="1"/>
        <rFont val="Times New Roman"/>
        <family val="1"/>
      </rPr>
      <t>19-2-1</t>
    </r>
    <r>
      <rPr>
        <sz val="12"/>
        <color theme="1"/>
        <rFont val="標楷體"/>
        <family val="4"/>
        <charset val="136"/>
      </rPr>
      <t>：保險經紀人交易明細表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</si>
  <si>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19-2-2</t>
    </r>
    <r>
      <rPr>
        <sz val="12"/>
        <color theme="1"/>
        <rFont val="標楷體"/>
        <family val="4"/>
        <charset val="136"/>
      </rPr>
      <t>：保險經紀人交易明細表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</si>
  <si>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19-3-1</t>
    </r>
    <r>
      <rPr>
        <sz val="12"/>
        <color theme="1"/>
        <rFont val="標楷體"/>
        <family val="4"/>
        <charset val="136"/>
      </rPr>
      <t>：未適格再保險準備明細表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</si>
  <si>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19-3-2</t>
    </r>
    <r>
      <rPr>
        <sz val="12"/>
        <color theme="1"/>
        <rFont val="標楷體"/>
        <family val="4"/>
        <charset val="136"/>
      </rPr>
      <t>：未適格再保險準備明細表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</si>
  <si>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32"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</si>
  <si>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34" type="noConversion"/>
  </si>
  <si>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32"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</si>
  <si>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32" type="noConversion"/>
  </si>
  <si>
    <r>
      <rPr>
        <sz val="12"/>
        <color theme="1"/>
        <rFont val="標楷體"/>
        <family val="4"/>
        <charset val="136"/>
      </rPr>
      <t>表</t>
    </r>
    <r>
      <rPr>
        <sz val="12"/>
        <color theme="1"/>
        <rFont val="Times New Roman"/>
        <family val="1"/>
      </rPr>
      <t>20-1</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</si>
  <si>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20-2</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</si>
  <si>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21-1</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</si>
  <si>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21-2</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</si>
  <si>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22-1</t>
    </r>
    <r>
      <rPr>
        <sz val="12"/>
        <color theme="1"/>
        <rFont val="標楷體"/>
        <family val="4"/>
        <charset val="136"/>
      </rPr>
      <t>：自留業務業績比較分析表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</si>
  <si>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22-2</t>
    </r>
    <r>
      <rPr>
        <sz val="12"/>
        <color theme="1"/>
        <rFont val="標楷體"/>
        <family val="4"/>
        <charset val="136"/>
      </rPr>
      <t>：自留業務業績比較分析表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</si>
  <si>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22-3</t>
    </r>
    <r>
      <rPr>
        <sz val="12"/>
        <color theme="1"/>
        <rFont val="標楷體"/>
        <family val="4"/>
        <charset val="136"/>
      </rPr>
      <t>：自留保費明細表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</si>
  <si>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22-4</t>
    </r>
    <r>
      <rPr>
        <sz val="12"/>
        <color theme="1"/>
        <rFont val="標楷體"/>
        <family val="4"/>
        <charset val="136"/>
      </rPr>
      <t>：自留保費明細表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</si>
  <si>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23-1</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</si>
  <si>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23-2</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</si>
  <si>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24-1</t>
    </r>
    <r>
      <rPr>
        <sz val="12"/>
        <color theme="1"/>
        <rFont val="標楷體"/>
        <family val="4"/>
        <charset val="136"/>
      </rPr>
      <t>：賠款準備金及自留滿期賠款計算表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</si>
  <si>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24-2</t>
    </r>
    <r>
      <rPr>
        <sz val="12"/>
        <color theme="1"/>
        <rFont val="標楷體"/>
        <family val="4"/>
        <charset val="136"/>
      </rPr>
      <t>：賠款準備金及淨自留滿期賠款計算表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</si>
  <si>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</si>
  <si>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</si>
  <si>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25-3</t>
    </r>
    <r>
      <rPr>
        <sz val="12"/>
        <color theme="1"/>
        <rFont val="標楷體"/>
        <family val="4"/>
        <charset val="136"/>
      </rPr>
      <t>：帳列負債之特別準備明細表</t>
    </r>
    <phoneticPr fontId="30" type="noConversion"/>
  </si>
  <si>
    <r>
      <rPr>
        <sz val="12"/>
        <color theme="1"/>
        <rFont val="標楷體"/>
        <family val="4"/>
        <charset val="136"/>
      </rPr>
      <t>表</t>
    </r>
    <r>
      <rPr>
        <sz val="12"/>
        <color theme="1"/>
        <rFont val="Times New Roman"/>
        <family val="1"/>
      </rPr>
      <t>26-1</t>
    </r>
    <r>
      <rPr>
        <sz val="12"/>
        <color theme="1"/>
        <rFont val="標楷體"/>
        <family val="4"/>
        <charset val="136"/>
      </rPr>
      <t>：重大已決未決賠案明細表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</si>
  <si>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26-2</t>
    </r>
    <r>
      <rPr>
        <sz val="12"/>
        <color theme="1"/>
        <rFont val="標楷體"/>
        <family val="4"/>
        <charset val="136"/>
      </rPr>
      <t>：重大已決未決賠案明細表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</si>
  <si>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26-3</t>
    </r>
    <r>
      <rPr>
        <sz val="12"/>
        <color theme="1"/>
        <rFont val="標楷體"/>
        <family val="4"/>
        <charset val="136"/>
      </rPr>
      <t>：保費不足準備金明細表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</si>
  <si>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</si>
  <si>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26-6</t>
    </r>
    <r>
      <rPr>
        <sz val="12"/>
        <color theme="1"/>
        <rFont val="標楷體"/>
        <family val="4"/>
        <charset val="136"/>
      </rPr>
      <t>：負債適足準備明細表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</si>
  <si>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26-7</t>
    </r>
    <r>
      <rPr>
        <sz val="12"/>
        <color theme="1"/>
        <rFont val="標楷體"/>
        <family val="4"/>
        <charset val="136"/>
      </rPr>
      <t>：負債適足準備明細表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</si>
  <si>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26-8</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</si>
  <si>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26-9</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0" type="noConversion"/>
  </si>
  <si>
    <r>
      <rPr>
        <sz val="12"/>
        <color theme="1"/>
        <rFont val="標楷體"/>
        <family val="4"/>
        <charset val="136"/>
      </rPr>
      <t>表</t>
    </r>
    <r>
      <rPr>
        <sz val="12"/>
        <color theme="1"/>
        <rFont val="Times New Roman"/>
        <family val="1"/>
      </rPr>
      <t>27</t>
    </r>
    <r>
      <rPr>
        <sz val="12"/>
        <color theme="1"/>
        <rFont val="標楷體"/>
        <family val="4"/>
        <charset val="136"/>
      </rPr>
      <t>：各項費用明細表</t>
    </r>
    <phoneticPr fontId="30"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</si>
  <si>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30"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</si>
  <si>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30"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</si>
  <si>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30"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</si>
  <si>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30"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</si>
  <si>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30"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</si>
  <si>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30"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</si>
  <si>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30"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</si>
  <si>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30"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</si>
  <si>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30"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</si>
  <si>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30"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</si>
  <si>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30"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</si>
  <si>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phoneticPr fontId="32"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</si>
  <si>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0"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</si>
  <si>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0"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</si>
  <si>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30"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</si>
  <si>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</si>
  <si>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0"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</si>
  <si>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</si>
  <si>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不含保險期間超過一年之人身保險並認列分出責任準備之再保險業務</t>
    </r>
    <r>
      <rPr>
        <sz val="12"/>
        <color theme="1"/>
        <rFont val="Times New Roman"/>
        <family val="1"/>
      </rPr>
      <t>)</t>
    </r>
    <phoneticPr fontId="30" type="noConversion"/>
  </si>
  <si>
    <r>
      <rPr>
        <sz val="12"/>
        <color theme="1"/>
        <rFont val="標楷體"/>
        <family val="4"/>
        <charset val="136"/>
      </rPr>
      <t>表</t>
    </r>
    <r>
      <rPr>
        <sz val="12"/>
        <color theme="1"/>
        <rFont val="Times New Roman"/>
        <family val="1"/>
      </rPr>
      <t>30-4-2</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保險期間超過一年之人身保險並認列分出責任準備之再保險業務</t>
    </r>
    <r>
      <rPr>
        <sz val="12"/>
        <color theme="1"/>
        <rFont val="Times New Roman"/>
        <family val="1"/>
      </rPr>
      <t>)</t>
    </r>
    <phoneticPr fontId="30"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</si>
  <si>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</si>
  <si>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：超過一年之人身保險業務風險計算表</t>
    </r>
    <phoneticPr fontId="30" type="noConversion"/>
  </si>
  <si>
    <r>
      <rPr>
        <sz val="12"/>
        <color theme="1"/>
        <rFont val="標楷體"/>
        <family val="4"/>
        <charset val="136"/>
      </rPr>
      <t>表</t>
    </r>
    <r>
      <rPr>
        <sz val="12"/>
        <color theme="1"/>
        <rFont val="Times New Roman"/>
        <family val="1"/>
      </rPr>
      <t>30-5-2</t>
    </r>
    <r>
      <rPr>
        <sz val="12"/>
        <color theme="1"/>
        <rFont val="標楷體"/>
        <family val="4"/>
        <charset val="136"/>
      </rPr>
      <t>：超過一年之人身保險業務淨自留危險保額報告表</t>
    </r>
    <phoneticPr fontId="30" type="noConversion"/>
  </si>
  <si>
    <r>
      <rPr>
        <sz val="12"/>
        <color theme="1"/>
        <rFont val="標楷體"/>
        <family val="4"/>
        <charset val="136"/>
      </rPr>
      <t>表</t>
    </r>
    <r>
      <rPr>
        <sz val="12"/>
        <color theme="1"/>
        <rFont val="Times New Roman"/>
        <family val="1"/>
      </rPr>
      <t>30-5-3</t>
    </r>
    <r>
      <rPr>
        <sz val="12"/>
        <color theme="1"/>
        <rFont val="標楷體"/>
        <family val="4"/>
        <charset val="136"/>
      </rPr>
      <t>：</t>
    </r>
    <r>
      <rPr>
        <sz val="12"/>
        <color theme="1"/>
        <rFont val="Times New Roman"/>
        <family val="1"/>
      </rPr>
      <t>R</t>
    </r>
    <r>
      <rPr>
        <vertAlign val="subscript"/>
        <sz val="12"/>
        <color theme="1"/>
        <rFont val="Times New Roman"/>
        <family val="1"/>
      </rPr>
      <t>3C</t>
    </r>
    <r>
      <rPr>
        <sz val="12"/>
        <color theme="1"/>
        <rFont val="標楷體"/>
        <family val="4"/>
        <charset val="136"/>
      </rPr>
      <t>：天災風險資本計算表</t>
    </r>
    <phoneticPr fontId="30" type="noConversion"/>
  </si>
  <si>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</si>
  <si>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30-6-1</t>
    </r>
    <r>
      <rPr>
        <sz val="12"/>
        <color theme="1"/>
        <rFont val="標楷體"/>
        <family val="4"/>
        <charset val="136"/>
      </rPr>
      <t>：超過一年之人身保險業務利率風險計算表</t>
    </r>
    <phoneticPr fontId="32" type="noConversion"/>
  </si>
  <si>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</si>
  <si>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</si>
  <si>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32"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</si>
  <si>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30"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</si>
  <si>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30"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</si>
  <si>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32"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</si>
  <si>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32" type="noConversion"/>
  </si>
  <si>
    <r>
      <rPr>
        <sz val="12"/>
        <color theme="1"/>
        <rFont val="標楷體"/>
        <family val="4"/>
        <charset val="136"/>
      </rPr>
      <t>表</t>
    </r>
    <r>
      <rPr>
        <sz val="12"/>
        <color theme="1"/>
        <rFont val="Times New Roman"/>
        <family val="1"/>
      </rPr>
      <t>30-8-8</t>
    </r>
    <r>
      <rPr>
        <sz val="12"/>
        <color theme="1"/>
        <rFont val="標楷體"/>
        <family val="4"/>
        <charset val="136"/>
      </rPr>
      <t>：天災相關異常業務損失特別準備金(財產再保險)</t>
    </r>
    <phoneticPr fontId="30"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</si>
  <si>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phoneticPr fontId="32"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</si>
  <si>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2" type="noConversion"/>
  </si>
  <si>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phoneticPr fontId="32" type="noConversion"/>
  </si>
  <si>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phoneticPr fontId="32" type="noConversion"/>
  </si>
  <si>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32"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</si>
  <si>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2"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</si>
  <si>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32"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</si>
  <si>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32"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</si>
  <si>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32"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</si>
  <si>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32"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</si>
  <si>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32"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</si>
  <si>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32"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</si>
  <si>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32"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</si>
  <si>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32"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</si>
  <si>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32"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</si>
  <si>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32"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</si>
  <si>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32" type="noConversion"/>
  </si>
  <si>
    <r>
      <rPr>
        <sz val="12"/>
        <color rgb="FFFF0000"/>
        <rFont val="標楷體"/>
        <family val="4"/>
        <charset val="136"/>
      </rPr>
      <t>表</t>
    </r>
    <r>
      <rPr>
        <sz val="12"/>
        <color rgb="FFFF0000"/>
        <rFont val="Times New Roman"/>
        <family val="1"/>
      </rPr>
      <t>30-5-3-1</t>
    </r>
    <r>
      <rPr>
        <sz val="12"/>
        <color rgb="FFFF0000"/>
        <rFont val="標楷體"/>
        <family val="4"/>
        <charset val="136"/>
      </rPr>
      <t>：天災風險公司資料表</t>
    </r>
  </si>
  <si>
    <r>
      <rPr>
        <sz val="12"/>
        <color rgb="FFFF0000"/>
        <rFont val="標楷體"/>
        <family val="4"/>
        <charset val="136"/>
      </rPr>
      <t>半年</t>
    </r>
    <phoneticPr fontId="32" type="noConversion"/>
  </si>
  <si>
    <r>
      <rPr>
        <sz val="12"/>
        <color rgb="FFFF0000"/>
        <rFont val="標楷體"/>
        <family val="4"/>
        <charset val="136"/>
      </rPr>
      <t>否</t>
    </r>
  </si>
  <si>
    <r>
      <rPr>
        <sz val="12"/>
        <color rgb="FFFF0000"/>
        <rFont val="標楷體"/>
        <family val="4"/>
        <charset val="136"/>
      </rPr>
      <t>是</t>
    </r>
    <phoneticPr fontId="30" type="noConversion"/>
  </si>
  <si>
    <r>
      <rPr>
        <sz val="12"/>
        <color rgb="FFFF0000"/>
        <rFont val="標楷體"/>
        <family val="4"/>
        <charset val="136"/>
      </rPr>
      <t>全部</t>
    </r>
    <phoneticPr fontId="30" type="noConversion"/>
  </si>
  <si>
    <r>
      <rPr>
        <sz val="12"/>
        <color rgb="FFFF0000"/>
        <rFont val="標楷體"/>
        <family val="4"/>
        <charset val="136"/>
      </rPr>
      <t>表</t>
    </r>
    <r>
      <rPr>
        <sz val="12"/>
        <color rgb="FFFF0000"/>
        <rFont val="Times New Roman"/>
        <family val="1"/>
      </rPr>
      <t>30-5-3-2</t>
    </r>
    <r>
      <rPr>
        <sz val="12"/>
        <color rgb="FFFF0000"/>
        <rFont val="標楷體"/>
        <family val="4"/>
        <charset val="136"/>
      </rPr>
      <t>：地震損失評估</t>
    </r>
  </si>
  <si>
    <r>
      <rPr>
        <sz val="12"/>
        <color rgb="FFFF0000"/>
        <rFont val="標楷體"/>
        <family val="4"/>
        <charset val="136"/>
      </rPr>
      <t>表</t>
    </r>
    <r>
      <rPr>
        <sz val="12"/>
        <color rgb="FFFF0000"/>
        <rFont val="Times New Roman"/>
        <family val="1"/>
      </rPr>
      <t>30-5-3-3</t>
    </r>
    <r>
      <rPr>
        <sz val="12"/>
        <color rgb="FFFF0000"/>
        <rFont val="標楷體"/>
        <family val="4"/>
        <charset val="136"/>
      </rPr>
      <t>：颱洪損失評估</t>
    </r>
  </si>
  <si>
    <r>
      <rPr>
        <b/>
        <sz val="10"/>
        <color theme="1"/>
        <rFont val="標楷體"/>
        <family val="4"/>
        <charset val="136"/>
      </rPr>
      <t>準備金
提存利率</t>
    </r>
    <r>
      <rPr>
        <b/>
        <sz val="10"/>
        <color theme="1"/>
        <rFont val="Book Antiqua"/>
        <family val="1"/>
      </rPr>
      <t>(</t>
    </r>
    <r>
      <rPr>
        <b/>
        <sz val="10"/>
        <color theme="1"/>
        <rFont val="標楷體"/>
        <family val="4"/>
        <charset val="136"/>
      </rPr>
      <t>註</t>
    </r>
    <r>
      <rPr>
        <b/>
        <sz val="10"/>
        <color theme="1"/>
        <rFont val="Book Antiqua"/>
        <family val="1"/>
      </rPr>
      <t>)</t>
    </r>
    <phoneticPr fontId="30" type="noConversion"/>
  </si>
  <si>
    <r>
      <rPr>
        <sz val="12"/>
        <color theme="1"/>
        <rFont val="新細明體"/>
        <family val="1"/>
        <charset val="136"/>
      </rPr>
      <t xml:space="preserve">- </t>
    </r>
    <r>
      <rPr>
        <sz val="12"/>
        <color theme="1"/>
        <rFont val="標楷體"/>
        <family val="4"/>
        <charset val="136"/>
      </rPr>
      <t>公共投資</t>
    </r>
    <r>
      <rPr>
        <sz val="12"/>
        <color theme="1"/>
        <rFont val="Times New Roman"/>
        <family val="1"/>
      </rPr>
      <t>(100%)</t>
    </r>
    <phoneticPr fontId="30" type="noConversion"/>
  </si>
  <si>
    <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</si>
  <si>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t xml:space="preserve">-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</si>
  <si>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(2+3)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</si>
  <si>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</si>
  <si>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</si>
  <si>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1.5.1.2</t>
    </r>
    <r>
      <rPr>
        <sz val="12"/>
        <color theme="1"/>
        <rFont val="標楷體"/>
        <family val="4"/>
        <charset val="136"/>
      </rPr>
      <t>創業投資</t>
    </r>
    <phoneticPr fontId="30" type="noConversion"/>
  </si>
  <si>
    <r>
      <t xml:space="preserve">   </t>
    </r>
    <r>
      <rPr>
        <sz val="12"/>
        <color theme="1"/>
        <rFont val="Times New Roman"/>
        <family val="1"/>
      </rPr>
      <t xml:space="preserve"> 1.5.1.2.1 </t>
    </r>
    <r>
      <rPr>
        <sz val="12"/>
        <color theme="1"/>
        <rFont val="標楷體"/>
        <family val="4"/>
        <charset val="136"/>
      </rPr>
      <t>公共投資</t>
    </r>
    <r>
      <rPr>
        <sz val="12"/>
        <color theme="1"/>
        <rFont val="Times New Roman"/>
        <family val="1"/>
      </rPr>
      <t>(100%)</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</si>
  <si>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(16-1)</t>
    </r>
    <r>
      <rPr>
        <sz val="12"/>
        <color theme="1"/>
        <rFont val="標楷體"/>
        <family val="4"/>
        <charset val="136"/>
      </rPr>
      <t>列</t>
    </r>
    <phoneticPr fontId="30" type="noConversion"/>
  </si>
  <si>
    <r>
      <t xml:space="preserve">    1.5.1.2.2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</si>
  <si>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phoneticPr fontId="30" type="noConversion"/>
  </si>
  <si>
    <r>
      <t xml:space="preserve">    1.5.1.2.3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</si>
  <si>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(16-3)</t>
    </r>
    <r>
      <rPr>
        <sz val="12"/>
        <color theme="1"/>
        <rFont val="標楷體"/>
        <family val="4"/>
        <charset val="136"/>
      </rPr>
      <t>列</t>
    </r>
    <phoneticPr fontId="30" type="noConversion"/>
  </si>
  <si>
    <r>
      <t>1.5.1.3</t>
    </r>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t>
    </r>
    <phoneticPr fontId="30" type="noConversion"/>
  </si>
  <si>
    <r>
      <t xml:space="preserve">   </t>
    </r>
    <r>
      <rPr>
        <sz val="12"/>
        <color theme="1"/>
        <rFont val="Times New Roman"/>
        <family val="1"/>
      </rPr>
      <t xml:space="preserve"> 1.5.1.3.1 </t>
    </r>
    <r>
      <rPr>
        <sz val="12"/>
        <color theme="1"/>
        <rFont val="標楷體"/>
        <family val="4"/>
        <charset val="136"/>
      </rPr>
      <t>公共投資</t>
    </r>
    <r>
      <rPr>
        <sz val="12"/>
        <color theme="1"/>
        <rFont val="Times New Roman"/>
        <family val="1"/>
      </rPr>
      <t>(100%)</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</si>
  <si>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30" type="noConversion"/>
  </si>
  <si>
    <r>
      <t xml:space="preserve">    1.5.1.3.2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</si>
  <si>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</si>
  <si>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(8+11)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30" type="noConversion"/>
  </si>
  <si>
    <r>
      <t xml:space="preserve">1b.1.13.3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30" type="noConversion"/>
  </si>
  <si>
    <r>
      <t xml:space="preserve">1b.1.13.3.1 </t>
    </r>
    <r>
      <rPr>
        <sz val="12"/>
        <color theme="1"/>
        <rFont val="標楷體"/>
        <family val="4"/>
        <charset val="136"/>
      </rPr>
      <t>公共投資</t>
    </r>
    <r>
      <rPr>
        <sz val="12"/>
        <color theme="1"/>
        <rFont val="Times New Roman"/>
        <family val="1"/>
      </rPr>
      <t>(100%)(</t>
    </r>
    <r>
      <rPr>
        <sz val="12"/>
        <color theme="1"/>
        <rFont val="標楷體"/>
        <family val="4"/>
        <charset val="136"/>
      </rPr>
      <t>國內發行但其投資區域包含國外者</t>
    </r>
    <r>
      <rPr>
        <sz val="12"/>
        <color theme="1"/>
        <rFont val="Times New Roman"/>
        <family val="1"/>
      </rPr>
      <t>)</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</si>
  <si>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已開發國家</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30" type="noConversion"/>
  </si>
  <si>
    <r>
      <t xml:space="preserve">1b.1.13.3.2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國內發行但其投資區域包含國外者</t>
    </r>
    <r>
      <rPr>
        <sz val="12"/>
        <color theme="1"/>
        <rFont val="Times New Roman"/>
        <family val="1"/>
      </rPr>
      <t>)</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</si>
  <si>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已開發國家</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</si>
  <si>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(9+12)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30" type="noConversion"/>
  </si>
  <si>
    <r>
      <t xml:space="preserve">1b.2.13.3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30" type="noConversion"/>
  </si>
  <si>
    <r>
      <t xml:space="preserve">1b.2.13.3.1 </t>
    </r>
    <r>
      <rPr>
        <sz val="12"/>
        <color theme="1"/>
        <rFont val="標楷體"/>
        <family val="4"/>
        <charset val="136"/>
      </rPr>
      <t>公共投資</t>
    </r>
    <r>
      <rPr>
        <sz val="12"/>
        <color theme="1"/>
        <rFont val="Times New Roman"/>
        <family val="1"/>
      </rPr>
      <t>(100%)(</t>
    </r>
    <r>
      <rPr>
        <sz val="12"/>
        <color theme="1"/>
        <rFont val="標楷體"/>
        <family val="4"/>
        <charset val="136"/>
      </rPr>
      <t>國內發行但其投資區域包含國外者</t>
    </r>
    <r>
      <rPr>
        <sz val="12"/>
        <color theme="1"/>
        <rFont val="Times New Roman"/>
        <family val="1"/>
      </rPr>
      <t>)</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</si>
  <si>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新興市場</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30" type="noConversion"/>
  </si>
  <si>
    <r>
      <t xml:space="preserve">1b.2.13.3.2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國內發行但其投資區域包含國外者</t>
    </r>
    <r>
      <rPr>
        <sz val="12"/>
        <color theme="1"/>
        <rFont val="Times New Roman"/>
        <family val="1"/>
      </rPr>
      <t>)</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</si>
  <si>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新興市場</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</si>
  <si>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(15+16)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(9+10)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2" type="noConversion"/>
  </si>
  <si>
    <r>
      <t xml:space="preserve">0.1.2.9.3.2 </t>
    </r>
    <r>
      <rPr>
        <sz val="12"/>
        <color theme="1"/>
        <rFont val="標楷體"/>
        <family val="4"/>
        <charset val="136"/>
      </rPr>
      <t>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6)</t>
    </r>
    <phoneticPr fontId="30" type="noConversion"/>
  </si>
  <si>
    <r>
      <t xml:space="preserve">     0.1.2.9.3.2.1 </t>
    </r>
    <r>
      <rPr>
        <sz val="12"/>
        <color theme="1"/>
        <rFont val="標楷體"/>
        <family val="4"/>
        <charset val="136"/>
      </rPr>
      <t>公共投資</t>
    </r>
    <r>
      <rPr>
        <sz val="12"/>
        <color theme="1"/>
        <rFont val="Times New Roman"/>
        <family val="1"/>
      </rPr>
      <t>(100%)</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</si>
  <si>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(219-1)</t>
    </r>
    <r>
      <rPr>
        <sz val="12"/>
        <color theme="1"/>
        <rFont val="標楷體"/>
        <family val="4"/>
        <charset val="136"/>
      </rPr>
      <t>列</t>
    </r>
    <phoneticPr fontId="32" type="noConversion"/>
  </si>
  <si>
    <r>
      <t xml:space="preserve">     0.1.2.9.3.2.2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</si>
  <si>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(219-2)</t>
    </r>
    <r>
      <rPr>
        <sz val="12"/>
        <color theme="1"/>
        <rFont val="標楷體"/>
        <family val="4"/>
        <charset val="136"/>
      </rPr>
      <t>列</t>
    </r>
    <phoneticPr fontId="32"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</si>
  <si>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(17+18)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(11+12)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2" type="noConversion"/>
  </si>
  <si>
    <r>
      <t xml:space="preserve">0.2.2.9.3.2 </t>
    </r>
    <r>
      <rPr>
        <sz val="12"/>
        <color theme="1"/>
        <rFont val="標楷體"/>
        <family val="4"/>
        <charset val="136"/>
      </rPr>
      <t>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6)</t>
    </r>
    <phoneticPr fontId="30" type="noConversion"/>
  </si>
  <si>
    <r>
      <t xml:space="preserve">     0.2.2.9.3.2.1 </t>
    </r>
    <r>
      <rPr>
        <sz val="12"/>
        <color theme="1"/>
        <rFont val="標楷體"/>
        <family val="4"/>
        <charset val="136"/>
      </rPr>
      <t>公共投資</t>
    </r>
    <r>
      <rPr>
        <sz val="12"/>
        <color theme="1"/>
        <rFont val="Times New Roman"/>
        <family val="1"/>
      </rPr>
      <t>(100%)</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</si>
  <si>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(220-1)</t>
    </r>
    <r>
      <rPr>
        <sz val="12"/>
        <color theme="1"/>
        <rFont val="標楷體"/>
        <family val="4"/>
        <charset val="136"/>
      </rPr>
      <t>列</t>
    </r>
    <phoneticPr fontId="32" type="noConversion"/>
  </si>
  <si>
    <r>
      <t xml:space="preserve">     0.2.2.9.3.2.2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</si>
  <si>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(220-2)</t>
    </r>
    <r>
      <rPr>
        <sz val="12"/>
        <color theme="1"/>
        <rFont val="標楷體"/>
        <family val="4"/>
        <charset val="136"/>
      </rPr>
      <t>列</t>
    </r>
    <phoneticPr fontId="32" type="noConversion"/>
  </si>
  <si>
    <r>
      <t xml:space="preserve">2.4.2 </t>
    </r>
    <r>
      <rPr>
        <sz val="10"/>
        <color theme="1"/>
        <rFont val="標楷體"/>
        <family val="4"/>
        <charset val="136"/>
      </rPr>
      <t>再保業務</t>
    </r>
    <phoneticPr fontId="30"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</si>
  <si>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30"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</si>
  <si>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0"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</si>
  <si>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</si>
  <si>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phoneticPr fontId="30" type="noConversion"/>
  </si>
  <si>
    <r>
      <rPr>
        <sz val="12"/>
        <color theme="1"/>
        <rFont val="標楷體"/>
        <family val="4"/>
        <charset val="136"/>
      </rPr>
      <t>單位：新台幣元</t>
    </r>
    <r>
      <rPr>
        <sz val="12"/>
        <color theme="1"/>
        <rFont val="Times New Roman"/>
        <family val="1"/>
      </rPr>
      <t>,%</t>
    </r>
    <phoneticPr fontId="32" type="noConversion"/>
  </si>
  <si>
    <r>
      <rPr>
        <b/>
        <sz val="12"/>
        <color theme="1"/>
        <rFont val="標楷體"/>
        <family val="4"/>
        <charset val="136"/>
      </rPr>
      <t>資金運用類別</t>
    </r>
    <phoneticPr fontId="30" type="noConversion"/>
  </si>
  <si>
    <r>
      <rPr>
        <b/>
        <sz val="12"/>
        <color theme="1"/>
        <rFont val="標楷體"/>
        <family val="4"/>
        <charset val="136"/>
      </rPr>
      <t>本期</t>
    </r>
    <phoneticPr fontId="30" type="noConversion"/>
  </si>
  <si>
    <r>
      <rPr>
        <b/>
        <sz val="12"/>
        <color theme="1"/>
        <rFont val="標楷體"/>
        <family val="4"/>
        <charset val="136"/>
      </rPr>
      <t>上期</t>
    </r>
    <phoneticPr fontId="30" type="noConversion"/>
  </si>
  <si>
    <r>
      <rPr>
        <b/>
        <sz val="12"/>
        <color theme="1"/>
        <rFont val="標楷體"/>
        <family val="4"/>
        <charset val="136"/>
      </rPr>
      <t>比較增減</t>
    </r>
    <phoneticPr fontId="30" type="noConversion"/>
  </si>
  <si>
    <r>
      <rPr>
        <b/>
        <sz val="12"/>
        <color theme="1"/>
        <rFont val="標楷體"/>
        <family val="4"/>
        <charset val="136"/>
      </rPr>
      <t>占資金來源比率</t>
    </r>
    <phoneticPr fontId="32" type="noConversion"/>
  </si>
  <si>
    <r>
      <rPr>
        <b/>
        <sz val="12"/>
        <color theme="1"/>
        <rFont val="標楷體"/>
        <family val="4"/>
        <charset val="136"/>
      </rPr>
      <t>非認許資產</t>
    </r>
    <phoneticPr fontId="30" type="noConversion"/>
  </si>
  <si>
    <r>
      <rPr>
        <b/>
        <sz val="12"/>
        <color theme="1"/>
        <rFont val="標楷體"/>
        <family val="4"/>
        <charset val="136"/>
      </rPr>
      <t>淨認許資產</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</si>
  <si>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8)</t>
    </r>
    <phoneticPr fontId="30" type="noConversion"/>
  </si>
  <si>
    <r>
      <rPr>
        <sz val="12"/>
        <color theme="1"/>
        <rFont val="標楷體"/>
        <family val="4"/>
        <charset val="136"/>
      </rPr>
      <t>現金及銀行存款</t>
    </r>
    <r>
      <rPr>
        <sz val="9"/>
        <rFont val="Times New Roman"/>
        <family val="1"/>
      </rPr>
      <t/>
    </r>
    <phoneticPr fontId="30" type="noConversion"/>
  </si>
  <si>
    <r>
      <rPr>
        <sz val="12"/>
        <color theme="1"/>
        <rFont val="標楷體"/>
        <family val="4"/>
        <charset val="136"/>
      </rPr>
      <t>一、現金</t>
    </r>
    <phoneticPr fontId="30" type="noConversion"/>
  </si>
  <si>
    <r>
      <rPr>
        <sz val="12"/>
        <color theme="1"/>
        <rFont val="標楷體"/>
        <family val="4"/>
        <charset val="136"/>
      </rPr>
      <t>二、非關係金融機構銀行存款</t>
    </r>
    <phoneticPr fontId="30" type="noConversion"/>
  </si>
  <si>
    <r>
      <rPr>
        <sz val="12"/>
        <color theme="1"/>
        <rFont val="標楷體"/>
        <family val="4"/>
        <charset val="136"/>
      </rPr>
      <t>三、關係金融機構銀行存款</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</si>
  <si>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</si>
  <si>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32" type="noConversion"/>
  </si>
  <si>
    <r>
      <rPr>
        <sz val="12"/>
        <color theme="1"/>
        <rFont val="標楷體"/>
        <family val="4"/>
        <charset val="136"/>
      </rPr>
      <t>現金及銀行存款合計</t>
    </r>
    <phoneticPr fontId="30" type="noConversion"/>
  </si>
  <si>
    <r>
      <rPr>
        <sz val="12"/>
        <color theme="1"/>
        <rFont val="標楷體"/>
        <family val="4"/>
        <charset val="136"/>
      </rPr>
      <t>有價證券</t>
    </r>
  </si>
  <si>
    <r>
      <rPr>
        <sz val="12"/>
        <color theme="1"/>
        <rFont val="標楷體"/>
        <family val="4"/>
        <charset val="136"/>
      </rPr>
      <t xml:space="preserve">一、公債、國庫券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條之一第一項第一款</t>
    </r>
    <r>
      <rPr>
        <sz val="12"/>
        <color theme="1"/>
        <rFont val="Times New Roman"/>
        <family val="1"/>
      </rPr>
      <t>)</t>
    </r>
    <phoneticPr fontId="30" type="noConversion"/>
  </si>
  <si>
    <r>
      <rPr>
        <sz val="12"/>
        <color theme="1"/>
        <rFont val="標楷體"/>
        <family val="4"/>
        <charset val="136"/>
      </rPr>
      <t xml:space="preserve">二、金融債券及其他經主管機關核准購買之有價證券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第一項第二款及第六款</t>
    </r>
    <r>
      <rPr>
        <sz val="12"/>
        <color theme="1"/>
        <rFont val="Times New Roman"/>
        <family val="1"/>
      </rPr>
      <t>)</t>
    </r>
  </si>
  <si>
    <r>
      <t>(</t>
    </r>
    <r>
      <rPr>
        <sz val="12"/>
        <color theme="1"/>
        <rFont val="標楷體"/>
        <family val="4"/>
        <charset val="136"/>
      </rPr>
      <t>一</t>
    </r>
    <r>
      <rPr>
        <sz val="12"/>
        <color theme="1"/>
        <rFont val="Times New Roman"/>
        <family val="1"/>
      </rPr>
      <t>)</t>
    </r>
    <r>
      <rPr>
        <sz val="12"/>
        <color theme="1"/>
        <rFont val="標楷體"/>
        <family val="4"/>
        <charset val="136"/>
      </rPr>
      <t>非關係人</t>
    </r>
  </si>
  <si>
    <r>
      <t>1</t>
    </r>
    <r>
      <rPr>
        <sz val="12"/>
        <color theme="1"/>
        <rFont val="標楷體"/>
        <family val="4"/>
        <charset val="136"/>
      </rPr>
      <t>、金融債券</t>
    </r>
  </si>
  <si>
    <r>
      <t>2</t>
    </r>
    <r>
      <rPr>
        <sz val="12"/>
        <color theme="1"/>
        <rFont val="標楷體"/>
        <family val="4"/>
        <charset val="136"/>
      </rPr>
      <t>、可轉讓定期存單</t>
    </r>
  </si>
  <si>
    <r>
      <t>3</t>
    </r>
    <r>
      <rPr>
        <sz val="12"/>
        <color theme="1"/>
        <rFont val="標楷體"/>
        <family val="4"/>
        <charset val="136"/>
      </rPr>
      <t>、銀行承兌匯票</t>
    </r>
  </si>
  <si>
    <r>
      <t>4</t>
    </r>
    <r>
      <rPr>
        <sz val="12"/>
        <color theme="1"/>
        <rFont val="標楷體"/>
        <family val="4"/>
        <charset val="136"/>
      </rPr>
      <t>、金融機構保證商業本票</t>
    </r>
  </si>
  <si>
    <r>
      <t>5</t>
    </r>
    <r>
      <rPr>
        <sz val="12"/>
        <color theme="1"/>
        <rFont val="標楷體"/>
        <family val="4"/>
        <charset val="136"/>
      </rPr>
      <t>、附買回條件之債券投資</t>
    </r>
  </si>
  <si>
    <r>
      <t>6</t>
    </r>
    <r>
      <rPr>
        <sz val="12"/>
        <color theme="1"/>
        <rFont val="標楷體"/>
        <family val="4"/>
        <charset val="136"/>
      </rPr>
      <t>、不動產受益證劵</t>
    </r>
  </si>
  <si>
    <r>
      <t>7</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</si>
  <si>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8</t>
    </r>
    <r>
      <rPr>
        <sz val="12"/>
        <color theme="1"/>
        <rFont val="標楷體"/>
        <family val="4"/>
        <charset val="136"/>
      </rPr>
      <t>、</t>
    </r>
    <r>
      <rPr>
        <sz val="12"/>
        <color theme="1"/>
        <rFont val="Times New Roman"/>
        <family val="1"/>
      </rPr>
      <t>ETF-</t>
    </r>
    <r>
      <rPr>
        <sz val="12"/>
        <color theme="1"/>
        <rFont val="標楷體"/>
        <family val="4"/>
        <charset val="136"/>
      </rPr>
      <t>股票型</t>
    </r>
  </si>
  <si>
    <r>
      <t>9</t>
    </r>
    <r>
      <rPr>
        <sz val="12"/>
        <color theme="1"/>
        <rFont val="標楷體"/>
        <family val="4"/>
        <charset val="136"/>
      </rPr>
      <t>、</t>
    </r>
    <r>
      <rPr>
        <sz val="12"/>
        <color theme="1"/>
        <rFont val="Times New Roman"/>
        <family val="1"/>
      </rPr>
      <t>ETF-</t>
    </r>
    <r>
      <rPr>
        <sz val="12"/>
        <color theme="1"/>
        <rFont val="標楷體"/>
        <family val="4"/>
        <charset val="136"/>
      </rPr>
      <t>債券型</t>
    </r>
  </si>
  <si>
    <r>
      <t>10</t>
    </r>
    <r>
      <rPr>
        <sz val="12"/>
        <color theme="1"/>
        <rFont val="標楷體"/>
        <family val="4"/>
        <charset val="136"/>
      </rPr>
      <t>、</t>
    </r>
    <r>
      <rPr>
        <sz val="12"/>
        <color theme="1"/>
        <rFont val="Times New Roman"/>
        <family val="1"/>
      </rPr>
      <t>ETF-</t>
    </r>
    <r>
      <rPr>
        <sz val="12"/>
        <color theme="1"/>
        <rFont val="標楷體"/>
        <family val="4"/>
        <charset val="136"/>
      </rPr>
      <t>其他型</t>
    </r>
  </si>
  <si>
    <r>
      <t>11</t>
    </r>
    <r>
      <rPr>
        <sz val="12"/>
        <color theme="1"/>
        <rFont val="標楷體"/>
        <family val="4"/>
        <charset val="136"/>
      </rPr>
      <t>、</t>
    </r>
    <r>
      <rPr>
        <sz val="12"/>
        <color theme="1"/>
        <rFont val="Times New Roman"/>
        <family val="1"/>
      </rPr>
      <t>ETN</t>
    </r>
  </si>
  <si>
    <r>
      <t>12</t>
    </r>
    <r>
      <rPr>
        <sz val="12"/>
        <color theme="1"/>
        <rFont val="標楷體"/>
        <family val="4"/>
        <charset val="136"/>
      </rPr>
      <t>、其他經核准之有價證券</t>
    </r>
  </si>
  <si>
    <r>
      <t>(</t>
    </r>
    <r>
      <rPr>
        <sz val="12"/>
        <color theme="1"/>
        <rFont val="標楷體"/>
        <family val="4"/>
        <charset val="136"/>
      </rPr>
      <t>二</t>
    </r>
    <r>
      <rPr>
        <sz val="12"/>
        <color theme="1"/>
        <rFont val="Times New Roman"/>
        <family val="1"/>
      </rPr>
      <t>)</t>
    </r>
    <r>
      <rPr>
        <sz val="12"/>
        <color theme="1"/>
        <rFont val="標楷體"/>
        <family val="4"/>
        <charset val="136"/>
      </rPr>
      <t>關係人</t>
    </r>
  </si>
  <si>
    <r>
      <t>1</t>
    </r>
    <r>
      <rPr>
        <sz val="12"/>
        <color theme="1"/>
        <rFont val="標楷體"/>
        <family val="4"/>
        <charset val="136"/>
      </rPr>
      <t>、具控制與從屬關係</t>
    </r>
  </si>
  <si>
    <r>
      <t>(1)ETF-</t>
    </r>
    <r>
      <rPr>
        <sz val="12"/>
        <color theme="1"/>
        <rFont val="標楷體"/>
        <family val="4"/>
        <charset val="136"/>
      </rPr>
      <t>股票型</t>
    </r>
  </si>
  <si>
    <r>
      <t>(2)ETF-</t>
    </r>
    <r>
      <rPr>
        <sz val="12"/>
        <color theme="1"/>
        <rFont val="標楷體"/>
        <family val="4"/>
        <charset val="136"/>
      </rPr>
      <t>債券型</t>
    </r>
  </si>
  <si>
    <r>
      <t>(3)ETF-</t>
    </r>
    <r>
      <rPr>
        <sz val="12"/>
        <color theme="1"/>
        <rFont val="標楷體"/>
        <family val="4"/>
        <charset val="136"/>
      </rPr>
      <t>其他型</t>
    </r>
  </si>
  <si>
    <r>
      <t>(5)</t>
    </r>
    <r>
      <rPr>
        <sz val="12"/>
        <color theme="1"/>
        <rFont val="標楷體"/>
        <family val="4"/>
        <charset val="136"/>
      </rPr>
      <t>其他</t>
    </r>
  </si>
  <si>
    <r>
      <t>2</t>
    </r>
    <r>
      <rPr>
        <sz val="12"/>
        <color theme="1"/>
        <rFont val="標楷體"/>
        <family val="4"/>
        <charset val="136"/>
      </rPr>
      <t>、非控制與從屬關係</t>
    </r>
  </si>
  <si>
    <r>
      <rPr>
        <sz val="12"/>
        <color theme="1"/>
        <rFont val="標楷體"/>
        <family val="4"/>
        <charset val="136"/>
      </rPr>
      <t xml:space="preserve">三、股票及公司債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第一項第三及第四款</t>
    </r>
    <r>
      <rPr>
        <sz val="12"/>
        <color theme="1"/>
        <rFont val="Times New Roman"/>
        <family val="1"/>
      </rPr>
      <t>)</t>
    </r>
    <phoneticPr fontId="30" type="noConversion"/>
  </si>
  <si>
    <r>
      <t>1</t>
    </r>
    <r>
      <rPr>
        <sz val="12"/>
        <color theme="1"/>
        <rFont val="標楷體"/>
        <family val="4"/>
        <charset val="136"/>
      </rPr>
      <t>、股票</t>
    </r>
    <phoneticPr fontId="30" type="noConversion"/>
  </si>
  <si>
    <r>
      <t>(1)</t>
    </r>
    <r>
      <rPr>
        <sz val="12"/>
        <color theme="1"/>
        <rFont val="標楷體"/>
        <family val="4"/>
        <charset val="136"/>
      </rPr>
      <t>普通股</t>
    </r>
  </si>
  <si>
    <r>
      <t>(2)</t>
    </r>
    <r>
      <rPr>
        <sz val="12"/>
        <color theme="1"/>
        <rFont val="標楷體"/>
        <family val="4"/>
        <charset val="136"/>
      </rPr>
      <t>特別股</t>
    </r>
  </si>
  <si>
    <r>
      <t>-</t>
    </r>
    <r>
      <rPr>
        <sz val="12"/>
        <color theme="1"/>
        <rFont val="標楷體"/>
        <family val="4"/>
        <charset val="136"/>
      </rPr>
      <t>固定收益</t>
    </r>
  </si>
  <si>
    <r>
      <t>-</t>
    </r>
    <r>
      <rPr>
        <sz val="12"/>
        <color theme="1"/>
        <rFont val="標楷體"/>
        <family val="4"/>
        <charset val="136"/>
      </rPr>
      <t>非固定收益</t>
    </r>
  </si>
  <si>
    <r>
      <t>2</t>
    </r>
    <r>
      <rPr>
        <sz val="12"/>
        <color theme="1"/>
        <rFont val="標楷體"/>
        <family val="4"/>
        <charset val="136"/>
      </rPr>
      <t>、公司債</t>
    </r>
    <phoneticPr fontId="30" type="noConversion"/>
  </si>
  <si>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30" type="noConversion"/>
  </si>
  <si>
    <r>
      <t>(1)</t>
    </r>
    <r>
      <rPr>
        <sz val="12"/>
        <color theme="1"/>
        <rFont val="標楷體"/>
        <family val="4"/>
        <charset val="136"/>
      </rPr>
      <t>具控制與從屬關係</t>
    </r>
  </si>
  <si>
    <r>
      <t>(2)</t>
    </r>
    <r>
      <rPr>
        <sz val="12"/>
        <color theme="1"/>
        <rFont val="標楷體"/>
        <family val="4"/>
        <charset val="136"/>
      </rPr>
      <t>非控制與從屬關係</t>
    </r>
  </si>
  <si>
    <r>
      <rPr>
        <sz val="12"/>
        <color theme="1"/>
        <rFont val="標楷體"/>
        <family val="4"/>
        <charset val="136"/>
      </rPr>
      <t>四、受益憑證</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第一項第五款</t>
    </r>
    <r>
      <rPr>
        <sz val="12"/>
        <color theme="1"/>
        <rFont val="Times New Roman"/>
        <family val="1"/>
      </rPr>
      <t>)</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</si>
  <si>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非關係人</t>
    </r>
    <phoneticPr fontId="30"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</si>
  <si>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</si>
  <si>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</si>
  <si>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32"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</si>
  <si>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</si>
  <si>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</si>
  <si>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</si>
  <si>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</si>
  <si>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30" type="noConversion"/>
  </si>
  <si>
    <r>
      <t>1</t>
    </r>
    <r>
      <rPr>
        <sz val="12"/>
        <color theme="1"/>
        <rFont val="標楷體"/>
        <family val="4"/>
        <charset val="136"/>
      </rPr>
      <t>、具控制與從屬關係</t>
    </r>
    <phoneticPr fontId="30"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</si>
  <si>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</si>
  <si>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</si>
  <si>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32"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</si>
  <si>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</si>
  <si>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</si>
  <si>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</si>
  <si>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</si>
  <si>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2</t>
    </r>
    <r>
      <rPr>
        <sz val="12"/>
        <color theme="1"/>
        <rFont val="標楷體"/>
        <family val="4"/>
        <charset val="136"/>
      </rPr>
      <t>、非控制與從屬關係</t>
    </r>
    <phoneticPr fontId="30" type="noConversion"/>
  </si>
  <si>
    <r>
      <rPr>
        <sz val="12"/>
        <color theme="1"/>
        <rFont val="標楷體"/>
        <family val="4"/>
        <charset val="136"/>
      </rPr>
      <t>有價證券合計</t>
    </r>
  </si>
  <si>
    <r>
      <rPr>
        <sz val="12"/>
        <color theme="1"/>
        <rFont val="標楷體"/>
        <family val="4"/>
        <charset val="136"/>
      </rPr>
      <t>不動產</t>
    </r>
  </si>
  <si>
    <r>
      <rPr>
        <sz val="12"/>
        <color theme="1"/>
        <rFont val="標楷體"/>
        <family val="4"/>
        <charset val="136"/>
      </rPr>
      <t>一、投資非關係人不動產</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</si>
  <si>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自用不動產</t>
    </r>
  </si>
  <si>
    <r>
      <t>(</t>
    </r>
    <r>
      <rPr>
        <sz val="12"/>
        <color theme="1"/>
        <rFont val="標楷體"/>
        <family val="4"/>
        <charset val="136"/>
      </rPr>
      <t>二</t>
    </r>
    <r>
      <rPr>
        <sz val="12"/>
        <color theme="1"/>
        <rFont val="Times New Roman"/>
        <family val="1"/>
      </rPr>
      <t>)</t>
    </r>
    <r>
      <rPr>
        <sz val="12"/>
        <color theme="1"/>
        <rFont val="標楷體"/>
        <family val="4"/>
        <charset val="136"/>
      </rPr>
      <t>不動產投資</t>
    </r>
  </si>
  <si>
    <r>
      <t>(</t>
    </r>
    <r>
      <rPr>
        <sz val="12"/>
        <color theme="1"/>
        <rFont val="標楷體"/>
        <family val="4"/>
        <charset val="136"/>
      </rPr>
      <t>三</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協議取得</t>
    </r>
  </si>
  <si>
    <r>
      <t>(</t>
    </r>
    <r>
      <rPr>
        <sz val="12"/>
        <color theme="1"/>
        <rFont val="標楷體"/>
        <family val="4"/>
        <charset val="136"/>
      </rPr>
      <t>四</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經法院拍賣取得</t>
    </r>
  </si>
  <si>
    <r>
      <t>(</t>
    </r>
    <r>
      <rPr>
        <sz val="12"/>
        <color theme="1"/>
        <rFont val="標楷體"/>
        <family val="4"/>
        <charset val="136"/>
      </rPr>
      <t>五</t>
    </r>
    <r>
      <rPr>
        <sz val="12"/>
        <color theme="1"/>
        <rFont val="Times New Roman"/>
        <family val="1"/>
      </rPr>
      <t>)</t>
    </r>
    <r>
      <rPr>
        <sz val="12"/>
        <color theme="1"/>
        <rFont val="標楷體"/>
        <family val="4"/>
        <charset val="136"/>
      </rPr>
      <t>預付房地款</t>
    </r>
  </si>
  <si>
    <r>
      <t>(</t>
    </r>
    <r>
      <rPr>
        <sz val="12"/>
        <color theme="1"/>
        <rFont val="標楷體"/>
        <family val="4"/>
        <charset val="136"/>
      </rPr>
      <t>六</t>
    </r>
    <r>
      <rPr>
        <sz val="12"/>
        <color theme="1"/>
        <rFont val="Times New Roman"/>
        <family val="1"/>
      </rPr>
      <t>)</t>
    </r>
    <r>
      <rPr>
        <sz val="12"/>
        <color theme="1"/>
        <rFont val="標楷體"/>
        <family val="4"/>
        <charset val="136"/>
      </rPr>
      <t>未完工程</t>
    </r>
  </si>
  <si>
    <r>
      <t>1</t>
    </r>
    <r>
      <rPr>
        <sz val="12"/>
        <color theme="1"/>
        <rFont val="標楷體"/>
        <family val="4"/>
        <charset val="136"/>
      </rPr>
      <t>、投資用</t>
    </r>
  </si>
  <si>
    <r>
      <t>2</t>
    </r>
    <r>
      <rPr>
        <sz val="12"/>
        <color theme="1"/>
        <rFont val="標楷體"/>
        <family val="4"/>
        <charset val="136"/>
      </rPr>
      <t>、自用</t>
    </r>
  </si>
  <si>
    <r>
      <rPr>
        <sz val="12"/>
        <color theme="1"/>
        <rFont val="標楷體"/>
        <family val="4"/>
        <charset val="136"/>
      </rPr>
      <t>二、投資關係人不動產</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</si>
  <si>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30" type="noConversion"/>
  </si>
  <si>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30" type="noConversion"/>
  </si>
  <si>
    <r>
      <rPr>
        <sz val="12"/>
        <color theme="1"/>
        <rFont val="標楷體"/>
        <family val="4"/>
        <charset val="136"/>
      </rPr>
      <t>不動產合計</t>
    </r>
  </si>
  <si>
    <r>
      <rPr>
        <sz val="12"/>
        <color theme="1"/>
        <rFont val="標楷體"/>
        <family val="4"/>
        <charset val="136"/>
      </rPr>
      <t>除自用不動產外之不動產投資合計</t>
    </r>
    <phoneticPr fontId="30" type="noConversion"/>
  </si>
  <si>
    <r>
      <rPr>
        <sz val="12"/>
        <color theme="1"/>
        <rFont val="標楷體"/>
        <family val="4"/>
        <charset val="136"/>
      </rPr>
      <t>放款</t>
    </r>
    <r>
      <rPr>
        <sz val="9"/>
        <rFont val="Times New Roman"/>
        <family val="1"/>
      </rPr>
      <t/>
    </r>
    <phoneticPr fontId="30" type="noConversion"/>
  </si>
  <si>
    <r>
      <rPr>
        <sz val="12"/>
        <color theme="1"/>
        <rFont val="標楷體"/>
        <family val="4"/>
        <charset val="136"/>
      </rPr>
      <t>一、非利害關係人放款</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</si>
  <si>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壽險貸款</t>
    </r>
  </si>
  <si>
    <r>
      <t>(</t>
    </r>
    <r>
      <rPr>
        <sz val="12"/>
        <color theme="1"/>
        <rFont val="標楷體"/>
        <family val="4"/>
        <charset val="136"/>
      </rPr>
      <t>二</t>
    </r>
    <r>
      <rPr>
        <sz val="12"/>
        <color theme="1"/>
        <rFont val="Times New Roman"/>
        <family val="1"/>
      </rPr>
      <t>)</t>
    </r>
    <r>
      <rPr>
        <sz val="12"/>
        <color theme="1"/>
        <rFont val="標楷體"/>
        <family val="4"/>
        <charset val="136"/>
      </rPr>
      <t>不動產擔保放款</t>
    </r>
  </si>
  <si>
    <r>
      <t>(</t>
    </r>
    <r>
      <rPr>
        <sz val="12"/>
        <color theme="1"/>
        <rFont val="標楷體"/>
        <family val="4"/>
        <charset val="136"/>
      </rPr>
      <t>三</t>
    </r>
    <r>
      <rPr>
        <sz val="12"/>
        <color theme="1"/>
        <rFont val="Times New Roman"/>
        <family val="1"/>
      </rPr>
      <t>)</t>
    </r>
    <r>
      <rPr>
        <sz val="12"/>
        <color theme="1"/>
        <rFont val="標楷體"/>
        <family val="4"/>
        <charset val="136"/>
      </rPr>
      <t>動產擔保放款</t>
    </r>
  </si>
  <si>
    <r>
      <t>(</t>
    </r>
    <r>
      <rPr>
        <sz val="12"/>
        <color theme="1"/>
        <rFont val="標楷體"/>
        <family val="4"/>
        <charset val="136"/>
      </rPr>
      <t>四</t>
    </r>
    <r>
      <rPr>
        <sz val="12"/>
        <color theme="1"/>
        <rFont val="Times New Roman"/>
        <family val="1"/>
      </rPr>
      <t>)</t>
    </r>
    <r>
      <rPr>
        <sz val="12"/>
        <color theme="1"/>
        <rFont val="標楷體"/>
        <family val="4"/>
        <charset val="136"/>
      </rPr>
      <t>有價證券質押放款</t>
    </r>
  </si>
  <si>
    <r>
      <t>(</t>
    </r>
    <r>
      <rPr>
        <sz val="12"/>
        <color theme="1"/>
        <rFont val="標楷體"/>
        <family val="4"/>
        <charset val="136"/>
      </rPr>
      <t>五</t>
    </r>
    <r>
      <rPr>
        <sz val="12"/>
        <color theme="1"/>
        <rFont val="Times New Roman"/>
        <family val="1"/>
      </rPr>
      <t>)</t>
    </r>
    <r>
      <rPr>
        <sz val="12"/>
        <color theme="1"/>
        <rFont val="標楷體"/>
        <family val="4"/>
        <charset val="136"/>
      </rPr>
      <t>銀行保證放款</t>
    </r>
  </si>
  <si>
    <r>
      <rPr>
        <sz val="12"/>
        <color theme="1"/>
        <rFont val="標楷體"/>
        <family val="4"/>
        <charset val="136"/>
      </rPr>
      <t>二、利害關係人放款</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</si>
  <si>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32" type="noConversion"/>
  </si>
  <si>
    <r>
      <rPr>
        <sz val="12"/>
        <color theme="1"/>
        <rFont val="標楷體"/>
        <family val="4"/>
        <charset val="136"/>
      </rPr>
      <t>放款合計</t>
    </r>
  </si>
  <si>
    <r>
      <rPr>
        <sz val="12"/>
        <color theme="1"/>
        <rFont val="標楷體"/>
        <family val="4"/>
        <charset val="136"/>
      </rPr>
      <t>國外投資</t>
    </r>
    <phoneticPr fontId="30" type="noConversion"/>
  </si>
  <si>
    <r>
      <rPr>
        <sz val="12"/>
        <color theme="1"/>
        <rFont val="標楷體"/>
        <family val="4"/>
        <charset val="136"/>
      </rPr>
      <t>一、非關係人</t>
    </r>
    <phoneticPr fontId="30" type="noConversion"/>
  </si>
  <si>
    <r>
      <t>(</t>
    </r>
    <r>
      <rPr>
        <sz val="12"/>
        <color theme="1"/>
        <rFont val="標楷體"/>
        <family val="4"/>
        <charset val="136"/>
      </rPr>
      <t>一</t>
    </r>
    <r>
      <rPr>
        <sz val="12"/>
        <color theme="1"/>
        <rFont val="Times New Roman"/>
        <family val="1"/>
      </rPr>
      <t>)</t>
    </r>
    <r>
      <rPr>
        <sz val="12"/>
        <color theme="1"/>
        <rFont val="標楷體"/>
        <family val="4"/>
        <charset val="136"/>
      </rPr>
      <t>投資於已開發國家</t>
    </r>
  </si>
  <si>
    <r>
      <t>1.</t>
    </r>
    <r>
      <rPr>
        <sz val="12"/>
        <color theme="1"/>
        <rFont val="標楷體"/>
        <family val="4"/>
        <charset val="136"/>
      </rPr>
      <t>現金及外幣存款</t>
    </r>
  </si>
  <si>
    <r>
      <t>2.</t>
    </r>
    <r>
      <rPr>
        <sz val="12"/>
        <color theme="1"/>
        <rFont val="標楷體"/>
        <family val="4"/>
        <charset val="136"/>
      </rPr>
      <t>固定型收益投資</t>
    </r>
  </si>
  <si>
    <r>
      <t>(1)</t>
    </r>
    <r>
      <rPr>
        <sz val="12"/>
        <color theme="1"/>
        <rFont val="標楷體"/>
        <family val="4"/>
        <charset val="136"/>
      </rPr>
      <t>公債</t>
    </r>
  </si>
  <si>
    <r>
      <t>(2)</t>
    </r>
    <r>
      <rPr>
        <sz val="12"/>
        <color theme="1"/>
        <rFont val="標楷體"/>
        <family val="4"/>
        <charset val="136"/>
      </rPr>
      <t>公司債</t>
    </r>
  </si>
  <si>
    <r>
      <t>(3)</t>
    </r>
    <r>
      <rPr>
        <sz val="12"/>
        <color theme="1"/>
        <rFont val="標楷體"/>
        <family val="4"/>
        <charset val="136"/>
      </rPr>
      <t>不動產投資信託基金</t>
    </r>
  </si>
  <si>
    <r>
      <t>(4)</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</si>
  <si>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a.</t>
    </r>
    <r>
      <rPr>
        <sz val="12"/>
        <color theme="1"/>
        <rFont val="標楷體"/>
        <family val="4"/>
        <charset val="136"/>
      </rPr>
      <t>有信用評等者</t>
    </r>
  </si>
  <si>
    <r>
      <t>b.</t>
    </r>
    <r>
      <rPr>
        <sz val="12"/>
        <color theme="1"/>
        <rFont val="標楷體"/>
        <family val="4"/>
        <charset val="136"/>
      </rPr>
      <t>無信用評等者</t>
    </r>
  </si>
  <si>
    <r>
      <t>3.</t>
    </r>
    <r>
      <rPr>
        <sz val="12"/>
        <color theme="1"/>
        <rFont val="標楷體"/>
        <family val="4"/>
        <charset val="136"/>
      </rPr>
      <t>股票</t>
    </r>
    <phoneticPr fontId="30" type="noConversion"/>
  </si>
  <si>
    <r>
      <t>-</t>
    </r>
    <r>
      <rPr>
        <sz val="12"/>
        <color theme="1"/>
        <rFont val="標楷體"/>
        <family val="4"/>
        <charset val="136"/>
      </rPr>
      <t>固定收益</t>
    </r>
    <phoneticPr fontId="32" type="noConversion"/>
  </si>
  <si>
    <r>
      <t>-</t>
    </r>
    <r>
      <rPr>
        <sz val="12"/>
        <color theme="1"/>
        <rFont val="標楷體"/>
        <family val="4"/>
        <charset val="136"/>
      </rPr>
      <t>非固定收益</t>
    </r>
    <phoneticPr fontId="32" type="noConversion"/>
  </si>
  <si>
    <r>
      <t>4.</t>
    </r>
    <r>
      <rPr>
        <sz val="12"/>
        <color theme="1"/>
        <rFont val="標楷體"/>
        <family val="4"/>
        <charset val="136"/>
      </rPr>
      <t>受益憑證及信託資金</t>
    </r>
    <r>
      <rPr>
        <sz val="12"/>
        <color theme="1"/>
        <rFont val="Times New Roman"/>
        <family val="1"/>
      </rPr>
      <t>(</t>
    </r>
    <r>
      <rPr>
        <sz val="12"/>
        <color theme="1"/>
        <rFont val="標楷體"/>
        <family val="4"/>
        <charset val="136"/>
      </rPr>
      <t>註</t>
    </r>
    <r>
      <rPr>
        <sz val="12"/>
        <color theme="1"/>
        <rFont val="Times New Roman"/>
        <family val="1"/>
      </rPr>
      <t>5)</t>
    </r>
    <phoneticPr fontId="30" type="noConversion"/>
  </si>
  <si>
    <r>
      <t>5.</t>
    </r>
    <r>
      <rPr>
        <sz val="12"/>
        <color theme="1"/>
        <rFont val="標楷體"/>
        <family val="4"/>
        <charset val="136"/>
      </rPr>
      <t>放款</t>
    </r>
    <phoneticPr fontId="30" type="noConversion"/>
  </si>
  <si>
    <r>
      <t>(1)</t>
    </r>
    <r>
      <rPr>
        <sz val="12"/>
        <color theme="1"/>
        <rFont val="標楷體"/>
        <family val="4"/>
        <charset val="136"/>
      </rPr>
      <t>外幣保單放款</t>
    </r>
  </si>
  <si>
    <r>
      <t>(2)</t>
    </r>
    <r>
      <rPr>
        <sz val="12"/>
        <color theme="1"/>
        <rFont val="標楷體"/>
        <family val="4"/>
        <charset val="136"/>
      </rPr>
      <t>其他</t>
    </r>
  </si>
  <si>
    <r>
      <t>6.</t>
    </r>
    <r>
      <rPr>
        <sz val="12"/>
        <color theme="1"/>
        <rFont val="標楷體"/>
        <family val="4"/>
        <charset val="136"/>
      </rPr>
      <t>不動產</t>
    </r>
  </si>
  <si>
    <r>
      <t>7.</t>
    </r>
    <r>
      <rPr>
        <sz val="12"/>
        <color theme="1"/>
        <rFont val="標楷體"/>
        <family val="4"/>
        <charset val="136"/>
      </rPr>
      <t>對沖基金</t>
    </r>
    <r>
      <rPr>
        <sz val="12"/>
        <color theme="1"/>
        <rFont val="Times New Roman"/>
        <family val="1"/>
      </rPr>
      <t>(</t>
    </r>
    <r>
      <rPr>
        <sz val="12"/>
        <color theme="1"/>
        <rFont val="標楷體"/>
        <family val="4"/>
        <charset val="136"/>
      </rPr>
      <t>註</t>
    </r>
    <r>
      <rPr>
        <sz val="12"/>
        <color theme="1"/>
        <rFont val="Times New Roman"/>
        <family val="1"/>
      </rPr>
      <t>6)</t>
    </r>
  </si>
  <si>
    <r>
      <t>8.ETF-</t>
    </r>
    <r>
      <rPr>
        <sz val="12"/>
        <color theme="1"/>
        <rFont val="標楷體"/>
        <family val="4"/>
        <charset val="136"/>
      </rPr>
      <t>股票型</t>
    </r>
  </si>
  <si>
    <r>
      <t>9.ETF-</t>
    </r>
    <r>
      <rPr>
        <sz val="12"/>
        <color theme="1"/>
        <rFont val="標楷體"/>
        <family val="4"/>
        <charset val="136"/>
      </rPr>
      <t>債券型</t>
    </r>
  </si>
  <si>
    <r>
      <t>10.ETF-</t>
    </r>
    <r>
      <rPr>
        <sz val="12"/>
        <color theme="1"/>
        <rFont val="標楷體"/>
        <family val="4"/>
        <charset val="136"/>
      </rPr>
      <t>其他型</t>
    </r>
  </si>
  <si>
    <r>
      <t>11.</t>
    </r>
    <r>
      <rPr>
        <sz val="12"/>
        <color theme="1"/>
        <rFont val="標楷體"/>
        <family val="4"/>
        <charset val="136"/>
      </rPr>
      <t>其他</t>
    </r>
    <r>
      <rPr>
        <sz val="12"/>
        <color theme="1"/>
        <rFont val="Times New Roman"/>
        <family val="1"/>
      </rPr>
      <t>(</t>
    </r>
    <r>
      <rPr>
        <sz val="12"/>
        <color theme="1"/>
        <rFont val="標楷體"/>
        <family val="4"/>
        <charset val="136"/>
      </rPr>
      <t>註</t>
    </r>
    <r>
      <rPr>
        <sz val="12"/>
        <color theme="1"/>
        <rFont val="Times New Roman"/>
        <family val="1"/>
      </rPr>
      <t>7)</t>
    </r>
    <phoneticPr fontId="32" type="noConversion"/>
  </si>
  <si>
    <r>
      <t>(1)</t>
    </r>
    <r>
      <rPr>
        <sz val="12"/>
        <color theme="1"/>
        <rFont val="標楷體"/>
        <family val="4"/>
        <charset val="136"/>
      </rPr>
      <t>指數型基金</t>
    </r>
    <phoneticPr fontId="30" type="noConversion"/>
  </si>
  <si>
    <r>
      <t>(2)</t>
    </r>
    <r>
      <rPr>
        <sz val="12"/>
        <color theme="1"/>
        <rFont val="標楷體"/>
        <family val="4"/>
        <charset val="136"/>
      </rPr>
      <t>私募基金</t>
    </r>
    <phoneticPr fontId="32" type="noConversion"/>
  </si>
  <si>
    <r>
      <t>(3)</t>
    </r>
    <r>
      <rPr>
        <sz val="12"/>
        <color theme="1"/>
        <rFont val="標楷體"/>
        <family val="4"/>
        <charset val="136"/>
      </rPr>
      <t>基礎建設基金</t>
    </r>
    <phoneticPr fontId="32" type="noConversion"/>
  </si>
  <si>
    <r>
      <t>(4)</t>
    </r>
    <r>
      <rPr>
        <sz val="12"/>
        <color theme="1"/>
        <rFont val="標楷體"/>
        <family val="4"/>
        <charset val="136"/>
      </rPr>
      <t>商品基金</t>
    </r>
    <phoneticPr fontId="32" type="noConversion"/>
  </si>
  <si>
    <r>
      <t>(5)</t>
    </r>
    <r>
      <rPr>
        <sz val="12"/>
        <color theme="1"/>
        <rFont val="標楷體"/>
        <family val="4"/>
        <charset val="136"/>
      </rPr>
      <t>其他</t>
    </r>
    <phoneticPr fontId="32" type="noConversion"/>
  </si>
  <si>
    <r>
      <t>(</t>
    </r>
    <r>
      <rPr>
        <sz val="12"/>
        <color theme="1"/>
        <rFont val="標楷體"/>
        <family val="4"/>
        <charset val="136"/>
      </rPr>
      <t>二</t>
    </r>
    <r>
      <rPr>
        <sz val="12"/>
        <color theme="1"/>
        <rFont val="Times New Roman"/>
        <family val="1"/>
      </rPr>
      <t>)</t>
    </r>
    <r>
      <rPr>
        <sz val="12"/>
        <color theme="1"/>
        <rFont val="標楷體"/>
        <family val="4"/>
        <charset val="136"/>
      </rPr>
      <t>投資於新興市場</t>
    </r>
    <phoneticPr fontId="32" type="noConversion"/>
  </si>
  <si>
    <r>
      <t>(1)</t>
    </r>
    <r>
      <rPr>
        <sz val="12"/>
        <color theme="1"/>
        <rFont val="標楷體"/>
        <family val="4"/>
        <charset val="136"/>
      </rPr>
      <t>普通股</t>
    </r>
    <phoneticPr fontId="30" type="noConversion"/>
  </si>
  <si>
    <r>
      <t>(2)</t>
    </r>
    <r>
      <rPr>
        <sz val="12"/>
        <color theme="1"/>
        <rFont val="標楷體"/>
        <family val="4"/>
        <charset val="136"/>
      </rPr>
      <t>特別股</t>
    </r>
    <phoneticPr fontId="30" type="noConversion"/>
  </si>
  <si>
    <r>
      <t>(1)</t>
    </r>
    <r>
      <rPr>
        <sz val="12"/>
        <color theme="1"/>
        <rFont val="標楷體"/>
        <family val="4"/>
        <charset val="136"/>
      </rPr>
      <t>外幣保單放款</t>
    </r>
    <phoneticPr fontId="30" type="noConversion"/>
  </si>
  <si>
    <r>
      <t>(2)</t>
    </r>
    <r>
      <rPr>
        <sz val="12"/>
        <color theme="1"/>
        <rFont val="標楷體"/>
        <family val="4"/>
        <charset val="136"/>
      </rPr>
      <t>其他</t>
    </r>
    <phoneticPr fontId="30" type="noConversion"/>
  </si>
  <si>
    <r>
      <rPr>
        <sz val="12"/>
        <color theme="1"/>
        <rFont val="標楷體"/>
        <family val="4"/>
        <charset val="136"/>
      </rPr>
      <t>二、關係人</t>
    </r>
    <phoneticPr fontId="30" type="noConversion"/>
  </si>
  <si>
    <r>
      <t>1</t>
    </r>
    <r>
      <rPr>
        <sz val="12"/>
        <color theme="1"/>
        <rFont val="標楷體"/>
        <family val="4"/>
        <charset val="136"/>
      </rPr>
      <t>、存款</t>
    </r>
  </si>
  <si>
    <r>
      <t>2</t>
    </r>
    <r>
      <rPr>
        <sz val="12"/>
        <color theme="1"/>
        <rFont val="標楷體"/>
        <family val="4"/>
        <charset val="136"/>
      </rPr>
      <t>、放款</t>
    </r>
  </si>
  <si>
    <r>
      <t>3</t>
    </r>
    <r>
      <rPr>
        <sz val="12"/>
        <color theme="1"/>
        <rFont val="標楷體"/>
        <family val="4"/>
        <charset val="136"/>
      </rPr>
      <t>、債券、票券、不動產受益證券及金融資產受益證券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</si>
  <si>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4</t>
    </r>
    <r>
      <rPr>
        <sz val="12"/>
        <color theme="1"/>
        <rFont val="標楷體"/>
        <family val="4"/>
        <charset val="136"/>
      </rPr>
      <t>、股票</t>
    </r>
  </si>
  <si>
    <r>
      <t>5</t>
    </r>
    <r>
      <rPr>
        <sz val="12"/>
        <color theme="1"/>
        <rFont val="標楷體"/>
        <family val="4"/>
        <charset val="136"/>
      </rPr>
      <t>、不動產</t>
    </r>
  </si>
  <si>
    <r>
      <t>6</t>
    </r>
    <r>
      <rPr>
        <sz val="12"/>
        <color theme="1"/>
        <rFont val="標楷體"/>
        <family val="4"/>
        <charset val="136"/>
      </rPr>
      <t>、受益憑證</t>
    </r>
  </si>
  <si>
    <r>
      <t>7</t>
    </r>
    <r>
      <rPr>
        <sz val="12"/>
        <color theme="1"/>
        <rFont val="標楷體"/>
        <family val="4"/>
        <charset val="136"/>
      </rPr>
      <t>、其他投資</t>
    </r>
  </si>
  <si>
    <r>
      <t>(1)</t>
    </r>
    <r>
      <rPr>
        <sz val="12"/>
        <color theme="1"/>
        <rFont val="標楷體"/>
        <family val="4"/>
        <charset val="136"/>
      </rPr>
      <t>基礎建設基金</t>
    </r>
  </si>
  <si>
    <r>
      <t>(2)</t>
    </r>
    <r>
      <rPr>
        <sz val="12"/>
        <color theme="1"/>
        <rFont val="標楷體"/>
        <family val="4"/>
        <charset val="136"/>
      </rPr>
      <t>私募基金</t>
    </r>
  </si>
  <si>
    <r>
      <t>(3)</t>
    </r>
    <r>
      <rPr>
        <sz val="12"/>
        <color theme="1"/>
        <rFont val="標楷體"/>
        <family val="4"/>
        <charset val="136"/>
      </rPr>
      <t>對沖基金</t>
    </r>
  </si>
  <si>
    <r>
      <t>(4)ETF-</t>
    </r>
    <r>
      <rPr>
        <sz val="12"/>
        <color theme="1"/>
        <rFont val="標楷體"/>
        <family val="4"/>
        <charset val="136"/>
      </rPr>
      <t>股票型</t>
    </r>
  </si>
  <si>
    <r>
      <t>(5)ETF-</t>
    </r>
    <r>
      <rPr>
        <sz val="12"/>
        <color theme="1"/>
        <rFont val="標楷體"/>
        <family val="4"/>
        <charset val="136"/>
      </rPr>
      <t>債券型</t>
    </r>
  </si>
  <si>
    <r>
      <t>(6)ETF-</t>
    </r>
    <r>
      <rPr>
        <sz val="12"/>
        <color theme="1"/>
        <rFont val="標楷體"/>
        <family val="4"/>
        <charset val="136"/>
      </rPr>
      <t>其他型</t>
    </r>
  </si>
  <si>
    <r>
      <rPr>
        <sz val="12"/>
        <color theme="1"/>
        <rFont val="標楷體"/>
        <family val="4"/>
        <charset val="136"/>
      </rPr>
      <t>國外投資合計</t>
    </r>
    <phoneticPr fontId="30" type="noConversion"/>
  </si>
  <si>
    <r>
      <rPr>
        <sz val="12"/>
        <color theme="1"/>
        <rFont val="標楷體"/>
        <family val="4"/>
        <charset val="136"/>
      </rPr>
      <t>專案運用公共及社會福利事業投資</t>
    </r>
  </si>
  <si>
    <r>
      <t>(</t>
    </r>
    <r>
      <rPr>
        <sz val="12"/>
        <color theme="1"/>
        <rFont val="標楷體"/>
        <family val="4"/>
        <charset val="136"/>
      </rPr>
      <t>一</t>
    </r>
    <r>
      <rPr>
        <sz val="12"/>
        <color theme="1"/>
        <rFont val="Times New Roman"/>
        <family val="1"/>
      </rPr>
      <t>)</t>
    </r>
    <r>
      <rPr>
        <sz val="12"/>
        <color theme="1"/>
        <rFont val="標楷體"/>
        <family val="4"/>
        <charset val="136"/>
      </rPr>
      <t>政策性之專案運用公共及社會福利事業投資</t>
    </r>
    <phoneticPr fontId="32" type="noConversion"/>
  </si>
  <si>
    <r>
      <t>(</t>
    </r>
    <r>
      <rPr>
        <sz val="12"/>
        <color theme="1"/>
        <rFont val="標楷體"/>
        <family val="4"/>
        <charset val="136"/>
      </rPr>
      <t>二</t>
    </r>
    <r>
      <rPr>
        <sz val="12"/>
        <color theme="1"/>
        <rFont val="Times New Roman"/>
        <family val="1"/>
      </rPr>
      <t>)</t>
    </r>
    <r>
      <rPr>
        <sz val="12"/>
        <color theme="1"/>
        <rFont val="標楷體"/>
        <family val="4"/>
        <charset val="136"/>
      </rPr>
      <t>創業投資</t>
    </r>
    <phoneticPr fontId="32" type="noConversion"/>
  </si>
  <si>
    <r>
      <t>1</t>
    </r>
    <r>
      <rPr>
        <sz val="12"/>
        <color theme="1"/>
        <rFont val="標楷體"/>
        <family val="4"/>
        <charset val="136"/>
      </rPr>
      <t>、公共投資</t>
    </r>
    <r>
      <rPr>
        <sz val="12"/>
        <color theme="1"/>
        <rFont val="Times New Roman"/>
        <family val="1"/>
      </rPr>
      <t>(100%)</t>
    </r>
    <phoneticPr fontId="32" type="noConversion"/>
  </si>
  <si>
    <r>
      <t>2</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2" type="noConversion"/>
  </si>
  <si>
    <r>
      <t>3</t>
    </r>
    <r>
      <rPr>
        <sz val="12"/>
        <color theme="1"/>
        <rFont val="標楷體"/>
        <family val="4"/>
        <charset val="136"/>
      </rPr>
      <t>、其他</t>
    </r>
    <phoneticPr fontId="32"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</si>
  <si>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以股票方式投資（非創投）之專案運用公共及社會福利事業投資</t>
    </r>
    <phoneticPr fontId="32" type="noConversion"/>
  </si>
  <si>
    <r>
      <t>(</t>
    </r>
    <r>
      <rPr>
        <sz val="12"/>
        <color theme="1"/>
        <rFont val="標楷體"/>
        <family val="4"/>
        <charset val="136"/>
      </rPr>
      <t>四</t>
    </r>
    <r>
      <rPr>
        <sz val="12"/>
        <color theme="1"/>
        <rFont val="Times New Roman"/>
        <family val="1"/>
      </rPr>
      <t>)</t>
    </r>
    <r>
      <rPr>
        <sz val="12"/>
        <color theme="1"/>
        <rFont val="標楷體"/>
        <family val="4"/>
        <charset val="136"/>
      </rPr>
      <t>放款</t>
    </r>
    <phoneticPr fontId="32" type="noConversion"/>
  </si>
  <si>
    <r>
      <t>1</t>
    </r>
    <r>
      <rPr>
        <sz val="12"/>
        <color theme="1"/>
        <rFont val="標楷體"/>
        <family val="4"/>
        <charset val="136"/>
      </rPr>
      <t>、不動產擔保放款</t>
    </r>
  </si>
  <si>
    <r>
      <t>2</t>
    </r>
    <r>
      <rPr>
        <sz val="12"/>
        <color theme="1"/>
        <rFont val="標楷體"/>
        <family val="4"/>
        <charset val="136"/>
      </rPr>
      <t>、動產擔保放款</t>
    </r>
  </si>
  <si>
    <r>
      <t>3</t>
    </r>
    <r>
      <rPr>
        <sz val="12"/>
        <color theme="1"/>
        <rFont val="標楷體"/>
        <family val="4"/>
        <charset val="136"/>
      </rPr>
      <t>、有價證券質押放款</t>
    </r>
  </si>
  <si>
    <r>
      <t>4</t>
    </r>
    <r>
      <rPr>
        <sz val="12"/>
        <color theme="1"/>
        <rFont val="標楷體"/>
        <family val="4"/>
        <charset val="136"/>
      </rPr>
      <t>、銀行保證放款</t>
    </r>
    <r>
      <rPr>
        <sz val="12"/>
        <color theme="1"/>
        <rFont val="Times New Roman"/>
        <family val="1"/>
      </rPr>
      <t>(</t>
    </r>
    <r>
      <rPr>
        <sz val="12"/>
        <color theme="1"/>
        <rFont val="標楷體"/>
        <family val="4"/>
        <charset val="136"/>
      </rPr>
      <t>註</t>
    </r>
    <r>
      <rPr>
        <sz val="12"/>
        <color theme="1"/>
        <rFont val="Times New Roman"/>
        <family val="1"/>
      </rPr>
      <t>9)</t>
    </r>
  </si>
  <si>
    <r>
      <t>(</t>
    </r>
    <r>
      <rPr>
        <sz val="12"/>
        <color theme="1"/>
        <rFont val="標楷體"/>
        <family val="4"/>
        <charset val="136"/>
      </rPr>
      <t>五</t>
    </r>
    <r>
      <rPr>
        <sz val="12"/>
        <color theme="1"/>
        <rFont val="Times New Roman"/>
        <family val="1"/>
      </rPr>
      <t>)</t>
    </r>
    <r>
      <rPr>
        <sz val="12"/>
        <color theme="1"/>
        <rFont val="標楷體"/>
        <family val="4"/>
        <charset val="136"/>
      </rPr>
      <t>公共投資</t>
    </r>
    <r>
      <rPr>
        <sz val="12"/>
        <color theme="1"/>
        <rFont val="微軟正黑體"/>
        <family val="2"/>
        <charset val="136"/>
      </rPr>
      <t>、</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10)</t>
    </r>
    <phoneticPr fontId="32" type="noConversion"/>
  </si>
  <si>
    <r>
      <t>(</t>
    </r>
    <r>
      <rPr>
        <sz val="12"/>
        <color theme="1"/>
        <rFont val="標楷體"/>
        <family val="4"/>
        <charset val="136"/>
      </rPr>
      <t>六</t>
    </r>
    <r>
      <rPr>
        <sz val="12"/>
        <color theme="1"/>
        <rFont val="Times New Roman"/>
        <family val="1"/>
      </rPr>
      <t>)</t>
    </r>
    <r>
      <rPr>
        <sz val="12"/>
        <color theme="1"/>
        <rFont val="標楷體"/>
        <family val="4"/>
        <charset val="136"/>
      </rPr>
      <t>其他專案運用公共及社會福利事業投資</t>
    </r>
    <phoneticPr fontId="32"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</si>
  <si>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以股票方式投資之專案運用公共及社會福利事業投資</t>
    </r>
    <phoneticPr fontId="32" type="noConversion"/>
  </si>
  <si>
    <r>
      <t>(</t>
    </r>
    <r>
      <rPr>
        <sz val="12"/>
        <color theme="1"/>
        <rFont val="標楷體"/>
        <family val="4"/>
        <charset val="136"/>
      </rPr>
      <t>四</t>
    </r>
    <r>
      <rPr>
        <sz val="12"/>
        <color theme="1"/>
        <rFont val="Times New Roman"/>
        <family val="1"/>
      </rPr>
      <t>)</t>
    </r>
    <r>
      <rPr>
        <sz val="12"/>
        <color theme="1"/>
        <rFont val="標楷體"/>
        <family val="4"/>
        <charset val="136"/>
      </rPr>
      <t>利害關係人放款</t>
    </r>
    <phoneticPr fontId="32" type="noConversion"/>
  </si>
  <si>
    <r>
      <t>(</t>
    </r>
    <r>
      <rPr>
        <sz val="12"/>
        <color theme="1"/>
        <rFont val="標楷體"/>
        <family val="4"/>
        <charset val="136"/>
      </rPr>
      <t>五</t>
    </r>
    <r>
      <rPr>
        <sz val="12"/>
        <color theme="1"/>
        <rFont val="Times New Roman"/>
        <family val="1"/>
      </rPr>
      <t>)</t>
    </r>
    <r>
      <rPr>
        <sz val="12"/>
        <color theme="1"/>
        <rFont val="標楷體"/>
        <family val="4"/>
        <charset val="136"/>
      </rPr>
      <t>公共投資、</t>
    </r>
    <r>
      <rPr>
        <sz val="12"/>
        <color theme="1"/>
        <rFont val="Times New Roman"/>
        <family val="1"/>
      </rPr>
      <t>5+2</t>
    </r>
    <r>
      <rPr>
        <sz val="12"/>
        <color theme="1"/>
        <rFont val="標楷體"/>
        <family val="4"/>
        <charset val="136"/>
      </rPr>
      <t>產業及六大核心產業</t>
    </r>
    <r>
      <rPr>
        <sz val="12"/>
        <color theme="1"/>
        <rFont val="Times New Roman"/>
        <family val="1"/>
      </rPr>
      <t>(</t>
    </r>
    <r>
      <rPr>
        <sz val="12"/>
        <color theme="1"/>
        <rFont val="標楷體"/>
        <family val="4"/>
        <charset val="136"/>
      </rPr>
      <t>註</t>
    </r>
    <r>
      <rPr>
        <sz val="12"/>
        <color theme="1"/>
        <rFont val="Times New Roman"/>
        <family val="1"/>
      </rPr>
      <t>10)</t>
    </r>
  </si>
  <si>
    <r>
      <t xml:space="preserve">      (1)</t>
    </r>
    <r>
      <rPr>
        <sz val="12"/>
        <color theme="1"/>
        <rFont val="標楷體"/>
        <family val="4"/>
        <charset val="136"/>
      </rPr>
      <t>公共投資</t>
    </r>
    <r>
      <rPr>
        <sz val="12"/>
        <color theme="1"/>
        <rFont val="Times New Roman"/>
        <family val="1"/>
      </rPr>
      <t>(100%)</t>
    </r>
    <phoneticPr fontId="32" type="noConversion"/>
  </si>
  <si>
    <r>
      <t xml:space="preserve">      (2)</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2" type="noConversion"/>
  </si>
  <si>
    <r>
      <rPr>
        <sz val="12"/>
        <color theme="1"/>
        <rFont val="標楷體"/>
        <family val="4"/>
        <charset val="136"/>
      </rPr>
      <t>專案運用公共及社會福利事業投資合計</t>
    </r>
    <phoneticPr fontId="32" type="noConversion"/>
  </si>
  <si>
    <r>
      <rPr>
        <sz val="12"/>
        <color theme="1"/>
        <rFont val="標楷體"/>
        <family val="4"/>
        <charset val="136"/>
      </rPr>
      <t>其他投資</t>
    </r>
    <phoneticPr fontId="30" type="noConversion"/>
  </si>
  <si>
    <r>
      <rPr>
        <sz val="12"/>
        <color theme="1"/>
        <rFont val="標楷體"/>
        <family val="4"/>
        <charset val="136"/>
      </rPr>
      <t>關係人其他投資</t>
    </r>
  </si>
  <si>
    <r>
      <rPr>
        <sz val="12"/>
        <color theme="1"/>
        <rFont val="標楷體"/>
        <family val="4"/>
        <charset val="136"/>
      </rPr>
      <t>組合式存款</t>
    </r>
  </si>
  <si>
    <r>
      <rPr>
        <sz val="12"/>
        <color theme="1"/>
        <rFont val="標楷體"/>
        <family val="4"/>
        <charset val="136"/>
      </rPr>
      <t>非關係人其他投資</t>
    </r>
  </si>
  <si>
    <r>
      <rPr>
        <sz val="12"/>
        <color theme="1"/>
        <rFont val="標楷體"/>
        <family val="4"/>
        <charset val="136"/>
      </rPr>
      <t>其他投資合計</t>
    </r>
    <phoneticPr fontId="30" type="noConversion"/>
  </si>
  <si>
    <r>
      <rPr>
        <sz val="12"/>
        <color theme="1"/>
        <rFont val="標楷體"/>
        <family val="4"/>
        <charset val="136"/>
      </rPr>
      <t>資金運用總計</t>
    </r>
  </si>
  <si>
    <r>
      <rPr>
        <sz val="12"/>
        <color theme="1"/>
        <rFont val="標楷體"/>
        <family val="4"/>
        <charset val="136"/>
      </rPr>
      <t>軍保資金</t>
    </r>
  </si>
  <si>
    <r>
      <rPr>
        <sz val="12"/>
        <color theme="1"/>
        <rFont val="標楷體"/>
        <family val="4"/>
        <charset val="136"/>
      </rPr>
      <t>各種責任準備金</t>
    </r>
  </si>
  <si>
    <r>
      <rPr>
        <sz val="12"/>
        <color theme="1"/>
        <rFont val="標楷體"/>
        <family val="4"/>
        <charset val="136"/>
      </rPr>
      <t>未滿期保費準備金</t>
    </r>
    <phoneticPr fontId="30" type="noConversion"/>
  </si>
  <si>
    <r>
      <rPr>
        <sz val="12"/>
        <color theme="1"/>
        <rFont val="標楷體"/>
        <family val="4"/>
        <charset val="136"/>
      </rPr>
      <t>壽險責任準備金</t>
    </r>
    <phoneticPr fontId="30" type="noConversion"/>
  </si>
  <si>
    <r>
      <rPr>
        <sz val="12"/>
        <color theme="1"/>
        <rFont val="標楷體"/>
        <family val="4"/>
        <charset val="136"/>
      </rPr>
      <t>賠款準備金</t>
    </r>
    <phoneticPr fontId="30" type="noConversion"/>
  </si>
  <si>
    <r>
      <rPr>
        <sz val="12"/>
        <color theme="1"/>
        <rFont val="標楷體"/>
        <family val="4"/>
        <charset val="136"/>
      </rPr>
      <t>特別準備金</t>
    </r>
    <phoneticPr fontId="30" type="noConversion"/>
  </si>
  <si>
    <r>
      <rPr>
        <sz val="12"/>
        <color theme="1"/>
        <rFont val="標楷體"/>
        <family val="4"/>
        <charset val="136"/>
      </rPr>
      <t>保費不足準備金</t>
    </r>
    <phoneticPr fontId="32" type="noConversion"/>
  </si>
  <si>
    <r>
      <rPr>
        <sz val="12"/>
        <color theme="1"/>
        <rFont val="標楷體"/>
        <family val="4"/>
        <charset val="136"/>
      </rPr>
      <t>負債適足準備金</t>
    </r>
    <phoneticPr fontId="32" type="noConversion"/>
  </si>
  <si>
    <r>
      <rPr>
        <sz val="12"/>
        <color theme="1"/>
        <rFont val="標楷體"/>
        <family val="4"/>
        <charset val="136"/>
      </rPr>
      <t>具金融商品性質之保險契約準備金</t>
    </r>
    <phoneticPr fontId="32" type="noConversion"/>
  </si>
  <si>
    <r>
      <rPr>
        <sz val="12"/>
        <color theme="1"/>
        <rFont val="標楷體"/>
        <family val="4"/>
        <charset val="136"/>
      </rPr>
      <t>外匯價格變動準備</t>
    </r>
    <phoneticPr fontId="32" type="noConversion"/>
  </si>
  <si>
    <r>
      <rPr>
        <sz val="12"/>
        <color theme="1"/>
        <rFont val="標楷體"/>
        <family val="4"/>
        <charset val="136"/>
      </rPr>
      <t>其他準備金</t>
    </r>
    <phoneticPr fontId="32" type="noConversion"/>
  </si>
  <si>
    <r>
      <rPr>
        <sz val="12"/>
        <color theme="1"/>
        <rFont val="標楷體"/>
        <family val="4"/>
        <charset val="136"/>
      </rPr>
      <t>各種責任準備金合計</t>
    </r>
    <phoneticPr fontId="30" type="noConversion"/>
  </si>
  <si>
    <r>
      <rPr>
        <sz val="12"/>
        <color theme="1"/>
        <rFont val="標楷體"/>
        <family val="4"/>
        <charset val="136"/>
      </rPr>
      <t>資金來源總計</t>
    </r>
  </si>
  <si>
    <r>
      <rPr>
        <sz val="12"/>
        <color theme="1"/>
        <rFont val="標楷體"/>
        <family val="4"/>
        <charset val="136"/>
      </rPr>
      <t>註</t>
    </r>
    <phoneticPr fontId="32" type="noConversion"/>
  </si>
  <si>
    <r>
      <rPr>
        <sz val="12"/>
        <color theme="1"/>
        <rFont val="標楷體"/>
        <family val="4"/>
        <charset val="136"/>
      </rPr>
      <t>不含分離帳戶保險商品之專設帳簿資產</t>
    </r>
    <phoneticPr fontId="30" type="noConversion"/>
  </si>
  <si>
    <r>
      <rPr>
        <sz val="12"/>
        <color theme="1"/>
        <rFont val="標楷體"/>
        <family val="4"/>
        <charset val="136"/>
      </rPr>
      <t>非認許資產之評定請依「保險業計算資本適足率之資產認許標準及評價原則」辦理</t>
    </r>
    <r>
      <rPr>
        <sz val="12"/>
        <color theme="1"/>
        <rFont val="Times New Roman"/>
        <family val="1"/>
      </rPr>
      <t>,</t>
    </r>
    <r>
      <rPr>
        <sz val="12"/>
        <color theme="1"/>
        <rFont val="標楷體"/>
        <family val="4"/>
        <charset val="136"/>
      </rPr>
      <t>認許資產及淨認許資產之相關欄位資料僅填列年報時填寫</t>
    </r>
    <phoneticPr fontId="30" type="noConversion"/>
  </si>
  <si>
    <r>
      <rPr>
        <sz val="12"/>
        <color theme="1"/>
        <rFont val="標楷體"/>
        <family val="4"/>
        <charset val="136"/>
      </rPr>
      <t>所稱本期及上期於填報月報資料時係指當月份及上月份餘額</t>
    </r>
    <r>
      <rPr>
        <sz val="12"/>
        <color theme="1"/>
        <rFont val="Times New Roman"/>
        <family val="1"/>
      </rPr>
      <t>;</t>
    </r>
    <r>
      <rPr>
        <sz val="12"/>
        <color theme="1"/>
        <rFont val="標楷體"/>
        <family val="4"/>
        <charset val="136"/>
      </rPr>
      <t>於填報</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年報時係指當</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年度及上</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年度餘額</t>
    </r>
    <phoneticPr fontId="32" type="noConversion"/>
  </si>
  <si>
    <r>
      <rPr>
        <sz val="12"/>
        <color theme="1"/>
        <rFont val="標楷體"/>
        <family val="4"/>
        <charset val="136"/>
      </rPr>
      <t>其他經主管機關核准之有價證券</t>
    </r>
    <r>
      <rPr>
        <sz val="12"/>
        <color theme="1"/>
        <rFont val="Times New Roman"/>
        <family val="1"/>
      </rPr>
      <t>(</t>
    </r>
    <r>
      <rPr>
        <sz val="12"/>
        <color theme="1"/>
        <rFont val="標楷體"/>
        <family val="4"/>
        <charset val="136"/>
      </rPr>
      <t>含其他金融資產</t>
    </r>
    <r>
      <rPr>
        <sz val="12"/>
        <color theme="1"/>
        <rFont val="Times New Roman"/>
        <family val="1"/>
      </rPr>
      <t>)</t>
    </r>
    <phoneticPr fontId="30" type="noConversion"/>
  </si>
  <si>
    <r>
      <rPr>
        <sz val="12"/>
        <color theme="1"/>
        <rFont val="標楷體"/>
        <family val="4"/>
        <charset val="136"/>
      </rPr>
      <t>所稱之受益憑證係指依「保險業辦理國外投資管理辦法」第八條第一項第一款規定投資之有價證券種類。</t>
    </r>
    <phoneticPr fontId="32" type="noConversion"/>
  </si>
  <si>
    <r>
      <rPr>
        <sz val="12"/>
        <color theme="1"/>
        <rFont val="標楷體"/>
        <family val="4"/>
        <charset val="136"/>
      </rPr>
      <t>所稱之對沖基金係指依「保險業辦理國外投資管理辦法」第八條第一項第五款規定投資之有價證券種類。</t>
    </r>
    <phoneticPr fontId="32" type="noConversion"/>
  </si>
  <si>
    <r>
      <rPr>
        <sz val="12"/>
        <color theme="1"/>
        <rFont val="標楷體"/>
        <family val="4"/>
        <charset val="136"/>
      </rPr>
      <t>所稱之其他係指依「保險業辦理國外投資管理辦法」第八條規定，除不動產投資信託基金、受益憑證及信託資金、對沖基金及</t>
    </r>
    <r>
      <rPr>
        <sz val="12"/>
        <color theme="1"/>
        <rFont val="Times New Roman"/>
        <family val="1"/>
      </rPr>
      <t>ETF</t>
    </r>
    <r>
      <rPr>
        <sz val="12"/>
        <color theme="1"/>
        <rFont val="標楷體"/>
        <family val="4"/>
        <charset val="136"/>
      </rPr>
      <t>以外，所投資之有價證券種類。</t>
    </r>
    <phoneticPr fontId="32" type="noConversion"/>
  </si>
  <si>
    <r>
      <rPr>
        <sz val="12"/>
        <color theme="1"/>
        <rFont val="標楷體"/>
        <family val="4"/>
        <charset val="136"/>
      </rPr>
      <t>包含依保險法第</t>
    </r>
    <r>
      <rPr>
        <sz val="12"/>
        <color theme="1"/>
        <rFont val="Times New Roman"/>
        <family val="1"/>
      </rPr>
      <t>146</t>
    </r>
    <r>
      <rPr>
        <sz val="12"/>
        <color theme="1"/>
        <rFont val="標楷體"/>
        <family val="4"/>
        <charset val="136"/>
      </rPr>
      <t>條第</t>
    </r>
    <r>
      <rPr>
        <sz val="12"/>
        <color theme="1"/>
        <rFont val="Times New Roman"/>
        <family val="1"/>
      </rPr>
      <t>1</t>
    </r>
    <r>
      <rPr>
        <sz val="12"/>
        <color theme="1"/>
        <rFont val="標楷體"/>
        <family val="4"/>
        <charset val="136"/>
      </rPr>
      <t>項第</t>
    </r>
    <r>
      <rPr>
        <sz val="12"/>
        <color theme="1"/>
        <rFont val="Times New Roman"/>
        <family val="1"/>
      </rPr>
      <t>4</t>
    </r>
    <r>
      <rPr>
        <sz val="12"/>
        <color theme="1"/>
        <rFont val="標楷體"/>
        <family val="4"/>
        <charset val="136"/>
      </rPr>
      <t>款規定，經主管機關核准放款予財團法人保險安定基金之金額</t>
    </r>
    <r>
      <rPr>
        <sz val="12"/>
        <color theme="1"/>
        <rFont val="Times New Roman"/>
        <family val="1"/>
      </rPr>
      <t>____________</t>
    </r>
    <r>
      <rPr>
        <sz val="12"/>
        <color theme="1"/>
        <rFont val="標楷體"/>
        <family val="4"/>
        <charset val="136"/>
      </rPr>
      <t>元。</t>
    </r>
    <r>
      <rPr>
        <sz val="12"/>
        <color theme="1"/>
        <rFont val="Times New Roman"/>
        <family val="1"/>
      </rPr>
      <t>(__</t>
    </r>
    <r>
      <rPr>
        <sz val="12"/>
        <color theme="1"/>
        <rFont val="標楷體"/>
        <family val="4"/>
        <charset val="136"/>
      </rPr>
      <t>年</t>
    </r>
    <r>
      <rPr>
        <sz val="12"/>
        <color theme="1"/>
        <rFont val="Times New Roman"/>
        <family val="1"/>
      </rPr>
      <t>__</t>
    </r>
    <r>
      <rPr>
        <sz val="12"/>
        <color theme="1"/>
        <rFont val="標楷體"/>
        <family val="4"/>
        <charset val="136"/>
      </rPr>
      <t>月</t>
    </r>
    <r>
      <rPr>
        <sz val="12"/>
        <color theme="1"/>
        <rFont val="Times New Roman"/>
        <family val="1"/>
      </rPr>
      <t>__</t>
    </r>
    <r>
      <rPr>
        <sz val="12"/>
        <color theme="1"/>
        <rFont val="標楷體"/>
        <family val="4"/>
        <charset val="136"/>
      </rPr>
      <t>日</t>
    </r>
    <r>
      <rPr>
        <sz val="12"/>
        <color theme="1"/>
        <rFont val="Times New Roman"/>
        <family val="1"/>
      </rPr>
      <t>________________</t>
    </r>
    <r>
      <rPr>
        <sz val="12"/>
        <color theme="1"/>
        <rFont val="標楷體"/>
        <family val="4"/>
        <charset val="136"/>
      </rPr>
      <t>號函核准</t>
    </r>
    <r>
      <rPr>
        <sz val="12"/>
        <color theme="1"/>
        <rFont val="Times New Roman"/>
        <family val="1"/>
      </rPr>
      <t>)</t>
    </r>
    <phoneticPr fontId="32" type="noConversion"/>
  </si>
  <si>
    <r>
      <rPr>
        <sz val="12"/>
        <color theme="1"/>
        <rFont val="標楷體"/>
        <family val="4"/>
        <charset val="136"/>
      </rPr>
      <t>所稱之公共投資</t>
    </r>
    <r>
      <rPr>
        <sz val="12"/>
        <color theme="1"/>
        <rFont val="微軟正黑體"/>
        <family val="2"/>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theme="1"/>
        <rFont val="微軟正黑體"/>
        <family val="2"/>
        <charset val="136"/>
      </rPr>
      <t>、</t>
    </r>
  </si>
  <si>
    <r>
      <rPr>
        <sz val="12"/>
        <color theme="1"/>
        <rFont val="標楷體"/>
        <family val="4"/>
        <charset val="136"/>
      </rPr>
      <t>或取得國家發展委員會資格函之國內私募股權基金，並投資於公共投資及金管保財字第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</si>
  <si>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2"/>
        <color theme="1"/>
        <rFont val="標楷體"/>
        <family val="4"/>
        <charset val="136"/>
      </rPr>
      <t>本列以填報手冊定義為準【即，</t>
    </r>
    <r>
      <rPr>
        <sz val="12"/>
        <color theme="1"/>
        <rFont val="Times New Roman"/>
        <family val="1"/>
      </rPr>
      <t>(5)</t>
    </r>
    <r>
      <rPr>
        <sz val="12"/>
        <color theme="1"/>
        <rFont val="標楷體"/>
        <family val="4"/>
        <charset val="136"/>
      </rPr>
      <t>不會等於</t>
    </r>
    <r>
      <rPr>
        <sz val="12"/>
        <color theme="1"/>
        <rFont val="Times New Roman"/>
        <family val="1"/>
      </rPr>
      <t>(2)-(4)</t>
    </r>
    <r>
      <rPr>
        <sz val="12"/>
        <color theme="1"/>
        <rFont val="標楷體"/>
        <family val="4"/>
        <charset val="136"/>
      </rPr>
      <t>】。</t>
    </r>
    <phoneticPr fontId="32"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</si>
  <si>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,B1.</t>
    </r>
    <r>
      <rPr>
        <sz val="12"/>
        <color theme="1"/>
        <rFont val="標楷體"/>
        <family val="4"/>
        <charset val="136"/>
      </rPr>
      <t>專案運用</t>
    </r>
    <r>
      <rPr>
        <sz val="12"/>
        <color theme="1"/>
        <rFont val="Times New Roman"/>
        <family val="1"/>
      </rPr>
      <t>-</t>
    </r>
    <r>
      <rPr>
        <sz val="12"/>
        <color theme="1"/>
        <rFont val="標楷體"/>
        <family val="4"/>
        <charset val="136"/>
      </rPr>
      <t>創業投資【公共投資</t>
    </r>
    <r>
      <rPr>
        <sz val="12"/>
        <color theme="1"/>
        <rFont val="Times New Roman"/>
        <family val="1"/>
      </rPr>
      <t>100%</t>
    </r>
    <r>
      <rPr>
        <sz val="12"/>
        <color theme="1"/>
        <rFont val="標楷體"/>
        <family val="4"/>
        <charset val="136"/>
      </rPr>
      <t>】</t>
    </r>
    <r>
      <rPr>
        <sz val="12"/>
        <color theme="1"/>
        <rFont val="Times New Roman"/>
        <family val="1"/>
      </rPr>
      <t>,B2.</t>
    </r>
    <r>
      <rPr>
        <sz val="12"/>
        <color theme="1"/>
        <rFont val="標楷體"/>
        <family val="4"/>
        <charset val="136"/>
      </rPr>
      <t>專案運用</t>
    </r>
    <r>
      <rPr>
        <sz val="12"/>
        <color theme="1"/>
        <rFont val="Times New Roman"/>
        <family val="1"/>
      </rPr>
      <t>-</t>
    </r>
    <r>
      <rPr>
        <sz val="12"/>
        <color theme="1"/>
        <rFont val="標楷體"/>
        <family val="4"/>
        <charset val="136"/>
      </rPr>
      <t>創業投資【公共投資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,B3.</t>
    </r>
    <r>
      <rPr>
        <sz val="12"/>
        <color theme="1"/>
        <rFont val="標楷體"/>
        <family val="4"/>
        <charset val="136"/>
      </rPr>
      <t>專案運用</t>
    </r>
    <r>
      <rPr>
        <sz val="12"/>
        <color theme="1"/>
        <rFont val="Times New Roman"/>
        <family val="1"/>
      </rPr>
      <t>-</t>
    </r>
    <r>
      <rPr>
        <sz val="12"/>
        <color theme="1"/>
        <rFont val="標楷體"/>
        <family val="4"/>
        <charset val="136"/>
      </rPr>
      <t>創業投資【其他】</t>
    </r>
    <r>
      <rPr>
        <sz val="12"/>
        <color theme="1"/>
        <rFont val="Times New Roman"/>
        <family val="1"/>
      </rPr>
      <t>, C1.</t>
    </r>
    <r>
      <rPr>
        <sz val="12"/>
        <color theme="1"/>
        <rFont val="標楷體"/>
        <family val="4"/>
        <charset val="136"/>
      </rPr>
      <t>投資保險相關事業</t>
    </r>
    <r>
      <rPr>
        <sz val="12"/>
        <color theme="1"/>
        <rFont val="Times New Roman"/>
        <family val="1"/>
      </rPr>
      <t>-</t>
    </r>
    <r>
      <rPr>
        <sz val="12"/>
        <color theme="1"/>
        <rFont val="標楷體"/>
        <family val="4"/>
        <charset val="136"/>
      </rPr>
      <t>保險業</t>
    </r>
    <r>
      <rPr>
        <sz val="12"/>
        <color theme="1"/>
        <rFont val="Times New Roman"/>
        <family val="1"/>
      </rPr>
      <t>, C2.</t>
    </r>
    <r>
      <rPr>
        <sz val="12"/>
        <color theme="1"/>
        <rFont val="標楷體"/>
        <family val="4"/>
        <charset val="136"/>
      </rPr>
      <t>投資保險相關事業</t>
    </r>
    <r>
      <rPr>
        <sz val="12"/>
        <color theme="1"/>
        <rFont val="Times New Roman"/>
        <family val="1"/>
      </rPr>
      <t>-</t>
    </r>
    <r>
      <rPr>
        <sz val="12"/>
        <color theme="1"/>
        <rFont val="標楷體"/>
        <family val="4"/>
        <charset val="136"/>
      </rPr>
      <t>非保險業且有資本適足要求之產業</t>
    </r>
    <r>
      <rPr>
        <sz val="12"/>
        <color theme="1"/>
        <rFont val="Times New Roman"/>
        <family val="1"/>
      </rPr>
      <t xml:space="preserve">, </t>
    </r>
    <phoneticPr fontId="32" type="noConversion"/>
  </si>
  <si>
    <r>
      <rPr>
        <sz val="12"/>
        <color theme="1"/>
        <rFont val="標楷體"/>
        <family val="4"/>
        <charset val="136"/>
      </rPr>
      <t>是否屬實質互相投資之負債型特別股，請填列</t>
    </r>
    <r>
      <rPr>
        <sz val="12"/>
        <color theme="1"/>
        <rFont val="Times New Roman"/>
        <family val="1"/>
      </rPr>
      <t>A.</t>
    </r>
    <r>
      <rPr>
        <sz val="12"/>
        <color theme="1"/>
        <rFont val="標楷體"/>
        <family val="4"/>
        <charset val="136"/>
      </rPr>
      <t>屬實質互相投資之負債型特別股</t>
    </r>
    <r>
      <rPr>
        <sz val="12"/>
        <color theme="1"/>
        <rFont val="Times New Roman"/>
        <family val="1"/>
      </rPr>
      <t>, B.</t>
    </r>
    <r>
      <rPr>
        <sz val="12"/>
        <color theme="1"/>
        <rFont val="標楷體"/>
        <family val="4"/>
        <charset val="136"/>
      </rPr>
      <t>非屬實質互相投資之負債型特別股</t>
    </r>
    <r>
      <rPr>
        <sz val="12"/>
        <color theme="1"/>
        <rFont val="Times New Roman"/>
        <family val="1"/>
      </rPr>
      <t>, C.</t>
    </r>
    <r>
      <rPr>
        <sz val="12"/>
        <color theme="1"/>
        <rFont val="標楷體"/>
        <family val="4"/>
        <charset val="136"/>
      </rPr>
      <t>非負債型特別股。是否屬實質互相投資請參考「臺灣集中保管結算所」的「保險業投資資本工具查詢平台」。</t>
    </r>
    <phoneticPr fontId="32" type="noConversion"/>
  </si>
  <si>
    <r>
      <rPr>
        <sz val="12"/>
        <color theme="1"/>
        <rFont val="新細明體"/>
        <family val="1"/>
        <charset val="136"/>
      </rPr>
      <t xml:space="preserve">  - </t>
    </r>
    <r>
      <rPr>
        <sz val="12"/>
        <color theme="1"/>
        <rFont val="標楷體"/>
        <family val="4"/>
        <charset val="136"/>
      </rPr>
      <t>公共投資</t>
    </r>
    <r>
      <rPr>
        <sz val="12"/>
        <color theme="1"/>
        <rFont val="Times New Roman"/>
        <family val="1"/>
      </rPr>
      <t>(100%)</t>
    </r>
    <phoneticPr fontId="30" type="noConversion"/>
  </si>
  <si>
    <r>
      <t xml:space="preserve">  -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
   型標的</t>
    </r>
    <r>
      <rPr>
        <sz val="12"/>
        <color theme="1"/>
        <rFont val="Times New Roman"/>
        <family val="1"/>
      </rPr>
      <t>)</t>
    </r>
    <phoneticPr fontId="30" type="noConversion"/>
  </si>
  <si>
    <r>
      <t xml:space="preserve">  -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</si>
  <si>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32"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</si>
  <si>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0" type="noConversion"/>
  </si>
  <si>
    <r>
      <rPr>
        <b/>
        <sz val="12"/>
        <color theme="1"/>
        <rFont val="標楷體"/>
        <family val="4"/>
        <charset val="136"/>
      </rPr>
      <t>管理機構</t>
    </r>
  </si>
  <si>
    <r>
      <rPr>
        <b/>
        <sz val="12"/>
        <color theme="1"/>
        <rFont val="標楷體"/>
        <family val="4"/>
        <charset val="136"/>
      </rPr>
      <t>持有單位數</t>
    </r>
  </si>
  <si>
    <r>
      <rPr>
        <b/>
        <sz val="12"/>
        <color theme="1"/>
        <rFont val="標楷體"/>
        <family val="4"/>
        <charset val="136"/>
      </rPr>
      <t>帳載金額占該基金規模比率</t>
    </r>
    <phoneticPr fontId="32" type="noConversion"/>
  </si>
  <si>
    <r>
      <rPr>
        <b/>
        <sz val="12"/>
        <color theme="1"/>
        <rFont val="標楷體"/>
        <family val="4"/>
        <charset val="136"/>
      </rPr>
      <t>本期增加帳載金額</t>
    </r>
    <phoneticPr fontId="32" type="noConversion"/>
  </si>
  <si>
    <r>
      <rPr>
        <b/>
        <sz val="12"/>
        <color theme="1"/>
        <rFont val="標楷體"/>
        <family val="4"/>
        <charset val="136"/>
      </rPr>
      <t>本期減少帳載金額</t>
    </r>
    <phoneticPr fontId="32" type="noConversion"/>
  </si>
  <si>
    <r>
      <rPr>
        <b/>
        <sz val="12"/>
        <color theme="1"/>
        <rFont val="標楷體"/>
        <family val="4"/>
        <charset val="136"/>
      </rPr>
      <t>期末帳載金額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2" type="noConversion"/>
  </si>
  <si>
    <r>
      <rPr>
        <b/>
        <sz val="12"/>
        <color theme="1"/>
        <rFont val="標楷體"/>
        <family val="4"/>
        <charset val="136"/>
      </rPr>
      <t>最近收盤日公允價值或淨值總金額</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</si>
  <si>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11)</t>
    </r>
    <phoneticPr fontId="32" type="noConversion"/>
  </si>
  <si>
    <r>
      <rPr>
        <b/>
        <sz val="12"/>
        <color theme="1"/>
        <rFont val="標楷體"/>
        <family val="4"/>
        <charset val="136"/>
      </rPr>
      <t>規模</t>
    </r>
  </si>
  <si>
    <r>
      <rPr>
        <b/>
        <sz val="12"/>
        <color theme="1"/>
        <rFont val="標楷體"/>
        <family val="4"/>
        <charset val="136"/>
      </rPr>
      <t>成立年期</t>
    </r>
  </si>
  <si>
    <r>
      <rPr>
        <sz val="12"/>
        <color theme="1"/>
        <rFont val="標楷體"/>
        <family val="4"/>
        <charset val="136"/>
      </rPr>
      <t>註</t>
    </r>
    <r>
      <rPr>
        <sz val="12"/>
        <color theme="1"/>
        <rFont val="Times New Roman"/>
        <family val="1"/>
      </rPr>
      <t>:</t>
    </r>
    <phoneticPr fontId="34" type="noConversion"/>
  </si>
  <si>
    <r>
      <rPr>
        <sz val="12"/>
        <color theme="1"/>
        <rFont val="標楷體"/>
        <family val="4"/>
        <charset val="136"/>
      </rPr>
      <t>證券及管理機構代號請洽由財團法人保險事業發展中心統一配賦。</t>
    </r>
    <phoneticPr fontId="32"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</si>
  <si>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股票型基金</t>
    </r>
    <r>
      <rPr>
        <sz val="12"/>
        <color theme="1"/>
        <rFont val="Times New Roman"/>
        <family val="1"/>
      </rPr>
      <t>, B.</t>
    </r>
    <r>
      <rPr>
        <sz val="12"/>
        <color theme="1"/>
        <rFont val="標楷體"/>
        <family val="4"/>
        <charset val="136"/>
      </rPr>
      <t>債券型基金</t>
    </r>
    <r>
      <rPr>
        <sz val="12"/>
        <color theme="1"/>
        <rFont val="Times New Roman"/>
        <family val="1"/>
      </rPr>
      <t>, C.</t>
    </r>
    <r>
      <rPr>
        <sz val="12"/>
        <color theme="1"/>
        <rFont val="標楷體"/>
        <family val="4"/>
        <charset val="136"/>
      </rPr>
      <t>平衡型基金及多重資產型基金</t>
    </r>
    <r>
      <rPr>
        <sz val="12"/>
        <color theme="1"/>
        <rFont val="Times New Roman"/>
        <family val="1"/>
      </rPr>
      <t>, D.</t>
    </r>
    <r>
      <rPr>
        <sz val="12"/>
        <color theme="1"/>
        <rFont val="標楷體"/>
        <family val="4"/>
        <charset val="136"/>
      </rPr>
      <t>國內避險型基金</t>
    </r>
    <r>
      <rPr>
        <sz val="12"/>
        <color theme="1"/>
        <rFont val="Times New Roman"/>
        <family val="1"/>
      </rPr>
      <t>, E.</t>
    </r>
    <r>
      <rPr>
        <sz val="12"/>
        <color theme="1"/>
        <rFont val="標楷體"/>
        <family val="4"/>
        <charset val="136"/>
      </rPr>
      <t>貨幣型基金</t>
    </r>
    <r>
      <rPr>
        <sz val="12"/>
        <color theme="1"/>
        <rFont val="Times New Roman"/>
        <family val="1"/>
      </rPr>
      <t>, F1.</t>
    </r>
    <r>
      <rPr>
        <sz val="12"/>
        <color theme="1"/>
        <rFont val="標楷體"/>
        <family val="4"/>
        <charset val="136"/>
      </rPr>
      <t>國家級投資公司所設立之國內私募股權基金</t>
    </r>
    <r>
      <rPr>
        <sz val="12"/>
        <color theme="1"/>
        <rFont val="Times New Roman"/>
        <family val="1"/>
      </rPr>
      <t>, F2a.</t>
    </r>
    <r>
      <rPr>
        <sz val="12"/>
        <color theme="1"/>
        <rFont val="標楷體"/>
        <family val="4"/>
        <charset val="136"/>
      </rPr>
      <t>證投信及證券商轉投資子公司擔任普通合夥人設立之國內私募股權基金【公共投資</t>
    </r>
    <r>
      <rPr>
        <sz val="12"/>
        <color theme="1"/>
        <rFont val="Times New Roman"/>
        <family val="1"/>
      </rPr>
      <t>100%</t>
    </r>
    <r>
      <rPr>
        <sz val="12"/>
        <color theme="1"/>
        <rFont val="標楷體"/>
        <family val="4"/>
        <charset val="136"/>
      </rPr>
      <t>】</t>
    </r>
    <r>
      <rPr>
        <sz val="12"/>
        <color theme="1"/>
        <rFont val="Times New Roman"/>
        <family val="1"/>
      </rPr>
      <t>, F2b.</t>
    </r>
    <r>
      <rPr>
        <sz val="12"/>
        <color theme="1"/>
        <rFont val="標楷體"/>
        <family val="4"/>
        <charset val="136"/>
      </rPr>
      <t>證投信及證券商轉投資子公司擔任普通合夥人設立之國內私募股權基金【公共投資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t>
    </r>
    <r>
      <rPr>
        <sz val="12"/>
        <color theme="1"/>
        <rFont val="新細明體"/>
        <family val="1"/>
        <charset val="136"/>
      </rPr>
      <t xml:space="preserve"> </t>
    </r>
    <phoneticPr fontId="30" type="noConversion"/>
  </si>
  <si>
    <r>
      <t>F3a.</t>
    </r>
    <r>
      <rPr>
        <sz val="12"/>
        <color theme="1"/>
        <rFont val="標楷體"/>
        <family val="4"/>
        <charset val="136"/>
      </rPr>
      <t>取得國家發展委員會資格函之國內私募股權基金【公共投資</t>
    </r>
    <r>
      <rPr>
        <sz val="12"/>
        <color theme="1"/>
        <rFont val="Times New Roman"/>
        <family val="1"/>
      </rPr>
      <t>100%</t>
    </r>
    <r>
      <rPr>
        <sz val="12"/>
        <color theme="1"/>
        <rFont val="標楷體"/>
        <family val="4"/>
        <charset val="136"/>
      </rPr>
      <t>】</t>
    </r>
    <r>
      <rPr>
        <sz val="12"/>
        <color theme="1"/>
        <rFont val="Times New Roman"/>
        <family val="1"/>
      </rPr>
      <t>, F3b.</t>
    </r>
    <r>
      <rPr>
        <sz val="12"/>
        <color theme="1"/>
        <rFont val="標楷體"/>
        <family val="4"/>
        <charset val="136"/>
      </rPr>
      <t>取得國家發展委員會資格函之國內私募股權基金【公共投資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  F4.</t>
    </r>
    <r>
      <rPr>
        <sz val="12"/>
        <color theme="1"/>
        <rFont val="標楷體"/>
        <family val="4"/>
        <charset val="136"/>
      </rPr>
      <t>其他國內私募基金</t>
    </r>
    <r>
      <rPr>
        <sz val="12"/>
        <color theme="1"/>
        <rFont val="Times New Roman"/>
        <family val="1"/>
      </rPr>
      <t>, G.</t>
    </r>
    <r>
      <rPr>
        <sz val="12"/>
        <color theme="1"/>
        <rFont val="標楷體"/>
        <family val="4"/>
        <charset val="136"/>
      </rPr>
      <t>指數型基金</t>
    </r>
    <r>
      <rPr>
        <sz val="12"/>
        <color theme="1"/>
        <rFont val="Times New Roman"/>
        <family val="1"/>
      </rPr>
      <t>, H.</t>
    </r>
    <r>
      <rPr>
        <sz val="12"/>
        <color theme="1"/>
        <rFont val="標楷體"/>
        <family val="4"/>
        <charset val="136"/>
      </rPr>
      <t>國外不動產投資信託基金</t>
    </r>
    <r>
      <rPr>
        <sz val="12"/>
        <color theme="1"/>
        <rFont val="Times New Roman"/>
        <family val="1"/>
      </rPr>
      <t>, I.</t>
    </r>
    <r>
      <rPr>
        <sz val="12"/>
        <color theme="1"/>
        <rFont val="標楷體"/>
        <family val="4"/>
        <charset val="136"/>
      </rPr>
      <t>國外對沖基金</t>
    </r>
    <r>
      <rPr>
        <sz val="12"/>
        <color theme="1"/>
        <rFont val="Times New Roman"/>
        <family val="1"/>
      </rPr>
      <t>,</t>
    </r>
    <phoneticPr fontId="30" type="noConversion"/>
  </si>
  <si>
    <r>
      <t>J1.</t>
    </r>
    <r>
      <rPr>
        <sz val="12"/>
        <color theme="1"/>
        <rFont val="標楷體"/>
        <family val="4"/>
        <charset val="136"/>
      </rPr>
      <t>國外私募股權基金</t>
    </r>
    <r>
      <rPr>
        <sz val="12"/>
        <color theme="1"/>
        <rFont val="Times New Roman"/>
        <family val="1"/>
      </rPr>
      <t>, J2.</t>
    </r>
    <r>
      <rPr>
        <sz val="12"/>
        <color theme="1"/>
        <rFont val="標楷體"/>
        <family val="4"/>
        <charset val="136"/>
      </rPr>
      <t>國外私募債權基金</t>
    </r>
    <r>
      <rPr>
        <sz val="12"/>
        <color theme="1"/>
        <rFont val="Times New Roman"/>
        <family val="1"/>
      </rPr>
      <t>, J3.</t>
    </r>
    <r>
      <rPr>
        <sz val="12"/>
        <color theme="1"/>
        <rFont val="標楷體"/>
        <family val="4"/>
        <charset val="136"/>
      </rPr>
      <t>國外不動產私募基金</t>
    </r>
    <r>
      <rPr>
        <sz val="12"/>
        <color theme="1"/>
        <rFont val="Times New Roman"/>
        <family val="1"/>
      </rPr>
      <t>, K.</t>
    </r>
    <r>
      <rPr>
        <sz val="12"/>
        <color theme="1"/>
        <rFont val="標楷體"/>
        <family val="4"/>
        <charset val="136"/>
      </rPr>
      <t>基礎建設基金</t>
    </r>
    <r>
      <rPr>
        <sz val="12"/>
        <color theme="1"/>
        <rFont val="Times New Roman"/>
        <family val="1"/>
      </rPr>
      <t>, L.</t>
    </r>
    <r>
      <rPr>
        <sz val="12"/>
        <color theme="1"/>
        <rFont val="標楷體"/>
        <family val="4"/>
        <charset val="136"/>
      </rPr>
      <t>商品基金</t>
    </r>
    <r>
      <rPr>
        <sz val="12"/>
        <color theme="1"/>
        <rFont val="Times New Roman"/>
        <family val="1"/>
      </rPr>
      <t>, M.</t>
    </r>
    <r>
      <rPr>
        <sz val="12"/>
        <color theme="1"/>
        <rFont val="標楷體"/>
        <family val="4"/>
        <charset val="136"/>
      </rPr>
      <t>其他；國內基金分類請參考填報手冊中表</t>
    </r>
    <r>
      <rPr>
        <sz val="12"/>
        <color theme="1"/>
        <rFont val="Times New Roman"/>
        <family val="1"/>
      </rPr>
      <t>05-1</t>
    </r>
    <r>
      <rPr>
        <sz val="12"/>
        <color theme="1"/>
        <rFont val="標楷體"/>
        <family val="4"/>
        <charset val="136"/>
      </rPr>
      <t>第</t>
    </r>
    <r>
      <rPr>
        <sz val="12"/>
        <color theme="1"/>
        <rFont val="Times New Roman"/>
        <family val="1"/>
      </rPr>
      <t>50</t>
    </r>
    <r>
      <rPr>
        <sz val="12"/>
        <color theme="1"/>
        <rFont val="標楷體"/>
        <family val="4"/>
        <charset val="136"/>
      </rPr>
      <t>列之說明。</t>
    </r>
    <r>
      <rPr>
        <sz val="12"/>
        <color theme="1"/>
        <rFont val="Times New Roman"/>
        <family val="1"/>
      </rPr>
      <t>(</t>
    </r>
    <r>
      <rPr>
        <sz val="12"/>
        <color theme="1"/>
        <rFont val="標楷體"/>
        <family val="4"/>
        <charset val="136"/>
      </rPr>
      <t>若係屬於國內私募基金者，請直接填列</t>
    </r>
    <r>
      <rPr>
        <sz val="12"/>
        <color theme="1"/>
        <rFont val="Times New Roman"/>
        <family val="1"/>
      </rPr>
      <t>F1~F4</t>
    </r>
    <r>
      <rPr>
        <sz val="12"/>
        <color theme="1"/>
        <rFont val="標楷體"/>
        <family val="4"/>
        <charset val="136"/>
      </rPr>
      <t>，而不需考慮</t>
    </r>
    <r>
      <rPr>
        <sz val="12"/>
        <color theme="1"/>
        <rFont val="Times New Roman"/>
        <family val="1"/>
      </rPr>
      <t>A</t>
    </r>
    <r>
      <rPr>
        <sz val="12"/>
        <color theme="1"/>
        <rFont val="標楷體"/>
        <family val="4"/>
        <charset val="136"/>
      </rPr>
      <t>至</t>
    </r>
    <r>
      <rPr>
        <sz val="12"/>
        <color theme="1"/>
        <rFont val="Times New Roman"/>
        <family val="1"/>
      </rPr>
      <t>E</t>
    </r>
    <r>
      <rPr>
        <sz val="12"/>
        <color theme="1"/>
        <rFont val="標楷體"/>
        <family val="4"/>
        <charset val="136"/>
      </rPr>
      <t>之證券種類。</t>
    </r>
    <r>
      <rPr>
        <sz val="12"/>
        <color theme="1"/>
        <rFont val="Times New Roman"/>
        <family val="1"/>
      </rPr>
      <t>)</t>
    </r>
    <phoneticPr fontId="32"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</si>
  <si>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2"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</si>
  <si>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,D.</t>
    </r>
    <r>
      <rPr>
        <sz val="12"/>
        <color theme="1"/>
        <rFont val="標楷體"/>
        <family val="4"/>
        <charset val="136"/>
      </rPr>
      <t>其他金融資產。</t>
    </r>
    <phoneticPr fontId="32" type="noConversion"/>
  </si>
  <si>
    <r>
      <rPr>
        <sz val="12"/>
        <color theme="1"/>
        <rFont val="標楷體"/>
        <family val="4"/>
        <charset val="136"/>
      </rPr>
      <t>管理機構規模欄請填列管理機構所管理基金總資產淨值幾億美元（請以期末匯率換算</t>
    </r>
    <r>
      <rPr>
        <sz val="12"/>
        <color theme="1"/>
        <rFont val="Times New Roman"/>
        <family val="1"/>
      </rPr>
      <t>,</t>
    </r>
    <r>
      <rPr>
        <sz val="12"/>
        <color theme="1"/>
        <rFont val="標楷體"/>
        <family val="4"/>
        <charset val="136"/>
      </rPr>
      <t>若屬非美元資產請換算為美元資產），國內投資免填。</t>
    </r>
    <phoneticPr fontId="32" type="noConversion"/>
  </si>
  <si>
    <r>
      <rPr>
        <sz val="12"/>
        <color theme="1"/>
        <rFont val="標楷體"/>
        <family val="4"/>
        <charset val="136"/>
      </rPr>
      <t>基金規模與管理機構規模及成立年期均以購買時點認計，並得自九十三年一月一日以後新購之標的予以填列，國內投資免填。</t>
    </r>
    <phoneticPr fontId="32"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</si>
  <si>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2"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</si>
  <si>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30" type="noConversion"/>
  </si>
  <si>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0" type="noConversion"/>
  </si>
  <si>
    <r>
      <rPr>
        <sz val="10"/>
        <color theme="1"/>
        <rFont val="標楷體"/>
        <family val="4"/>
        <charset val="136"/>
      </rPr>
      <t>金</t>
    </r>
    <r>
      <rPr>
        <sz val="10"/>
        <color theme="1"/>
        <rFont val="Times New Roman"/>
        <family val="1"/>
      </rPr>
      <t xml:space="preserve"> </t>
    </r>
    <r>
      <rPr>
        <sz val="10"/>
        <color theme="1"/>
        <rFont val="標楷體"/>
        <family val="4"/>
        <charset val="136"/>
      </rPr>
      <t xml:space="preserve">額
</t>
    </r>
    <r>
      <rPr>
        <sz val="10"/>
        <color theme="1"/>
        <rFont val="Times New Roman"/>
        <family val="1"/>
      </rPr>
      <t>(7)</t>
    </r>
    <phoneticPr fontId="32" type="noConversion"/>
  </si>
  <si>
    <r>
      <rPr>
        <sz val="10"/>
        <color theme="1"/>
        <rFont val="標楷體"/>
        <family val="4"/>
        <charset val="136"/>
      </rPr>
      <t>本表第</t>
    </r>
    <r>
      <rPr>
        <sz val="10"/>
        <color theme="1"/>
        <rFont val="Times New Roman"/>
        <family val="1"/>
      </rPr>
      <t>(1)</t>
    </r>
    <r>
      <rPr>
        <sz val="10"/>
        <color theme="1"/>
        <rFont val="標楷體"/>
        <family val="4"/>
        <charset val="136"/>
      </rPr>
      <t>欄第</t>
    </r>
    <r>
      <rPr>
        <sz val="10"/>
        <color theme="1"/>
        <rFont val="Times New Roman"/>
        <family val="1"/>
      </rPr>
      <t>(1)</t>
    </r>
    <r>
      <rPr>
        <sz val="10"/>
        <color theme="1"/>
        <rFont val="標楷體"/>
        <family val="4"/>
        <charset val="136"/>
      </rPr>
      <t>列之金額應與「表</t>
    </r>
    <r>
      <rPr>
        <sz val="10"/>
        <color theme="1"/>
        <rFont val="Times New Roman"/>
        <family val="1"/>
      </rPr>
      <t>25-7</t>
    </r>
    <r>
      <rPr>
        <sz val="10"/>
        <color theme="1"/>
        <rFont val="標楷體"/>
        <family val="4"/>
        <charset val="136"/>
      </rPr>
      <t>：帳列負債之特別準備明細」第</t>
    </r>
    <r>
      <rPr>
        <sz val="10"/>
        <color theme="1"/>
        <rFont val="Times New Roman"/>
        <family val="1"/>
      </rPr>
      <t>(1)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2" type="noConversion"/>
  </si>
  <si>
    <r>
      <rPr>
        <sz val="10"/>
        <color theme="1"/>
        <rFont val="標楷體"/>
        <family val="4"/>
        <charset val="136"/>
      </rPr>
      <t>係依金管保財字第</t>
    </r>
    <r>
      <rPr>
        <sz val="10"/>
        <color theme="1"/>
        <rFont val="Times New Roman"/>
        <family val="1"/>
      </rPr>
      <t>10102515281</t>
    </r>
    <r>
      <rPr>
        <sz val="10"/>
        <color theme="1"/>
        <rFont val="標楷體"/>
        <family val="4"/>
        <charset val="136"/>
      </rPr>
      <t>號函收回第</t>
    </r>
    <r>
      <rPr>
        <sz val="10"/>
        <color theme="1"/>
        <rFont val="Times New Roman"/>
        <family val="1"/>
      </rPr>
      <t>(2)</t>
    </r>
    <r>
      <rPr>
        <sz val="10"/>
        <color theme="1"/>
        <rFont val="標楷體"/>
        <family val="4"/>
        <charset val="136"/>
      </rPr>
      <t>欄並提列於特別盈餘公積之金額</t>
    </r>
    <phoneticPr fontId="32"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</si>
  <si>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(2)</t>
    </r>
    <r>
      <rPr>
        <sz val="10"/>
        <color theme="1"/>
        <rFont val="標楷體"/>
        <family val="4"/>
        <charset val="136"/>
      </rPr>
      <t>列之金額應等於「表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(2+3)</t>
    </r>
    <r>
      <rPr>
        <sz val="10"/>
        <color theme="1"/>
        <rFont val="標楷體"/>
        <family val="4"/>
        <charset val="136"/>
      </rPr>
      <t>列之合計數。</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</si>
  <si>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(3)</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</si>
  <si>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(4)</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</si>
  <si>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(6)</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(11)</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</si>
  <si>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(7)</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(12)</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</si>
  <si>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(9)</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</si>
  <si>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(5)</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(16)</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</si>
  <si>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(11)</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(17)</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</si>
  <si>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(12)</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(18)</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</si>
  <si>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(7)</t>
    </r>
    <r>
      <rPr>
        <sz val="10"/>
        <color theme="1"/>
        <rFont val="標楷體"/>
        <family val="4"/>
        <charset val="136"/>
      </rPr>
      <t>欄第</t>
    </r>
    <r>
      <rPr>
        <sz val="10"/>
        <color theme="1"/>
        <rFont val="Times New Roman"/>
        <family val="1"/>
      </rPr>
      <t>(15)</t>
    </r>
    <r>
      <rPr>
        <sz val="10"/>
        <color theme="1"/>
        <rFont val="標楷體"/>
        <family val="4"/>
        <charset val="136"/>
      </rPr>
      <t>列之金額應等於「表</t>
    </r>
    <r>
      <rPr>
        <sz val="10"/>
        <color theme="1"/>
        <rFont val="Times New Roman"/>
        <family val="1"/>
      </rPr>
      <t>13-1</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(20)</t>
    </r>
    <r>
      <rPr>
        <sz val="10"/>
        <color theme="1"/>
        <rFont val="標楷體"/>
        <family val="4"/>
        <charset val="136"/>
      </rPr>
      <t>欄之合計數。</t>
    </r>
    <phoneticPr fontId="32"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</si>
  <si>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</si>
  <si>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rPr>
        <sz val="10"/>
        <color theme="1"/>
        <rFont val="標楷體"/>
        <family val="4"/>
        <charset val="136"/>
      </rPr>
      <t>前一年度自</t>
    </r>
    <r>
      <rPr>
        <sz val="10"/>
        <color theme="1"/>
        <rFont val="Book Antiqua"/>
        <family val="1"/>
      </rPr>
      <t>7/1</t>
    </r>
    <r>
      <rPr>
        <sz val="10"/>
        <color theme="1"/>
        <rFont val="標楷體"/>
        <family val="4"/>
        <charset val="136"/>
      </rPr>
      <t>至</t>
    </r>
    <r>
      <rPr>
        <sz val="10"/>
        <color theme="1"/>
        <rFont val="Book Antiqua"/>
        <family val="1"/>
      </rPr>
      <t xml:space="preserve">12/31
</t>
    </r>
    <r>
      <rPr>
        <sz val="10"/>
        <color theme="1"/>
        <rFont val="標楷體"/>
        <family val="4"/>
        <charset val="136"/>
      </rPr>
      <t>之金額</t>
    </r>
    <r>
      <rPr>
        <sz val="10"/>
        <color theme="1"/>
        <rFont val="Book Antiqua"/>
        <family val="1"/>
      </rPr>
      <t>(</t>
    </r>
    <r>
      <rPr>
        <sz val="10"/>
        <color theme="1"/>
        <rFont val="標楷體"/>
        <family val="4"/>
        <charset val="136"/>
      </rPr>
      <t>註</t>
    </r>
    <r>
      <rPr>
        <sz val="10"/>
        <color theme="1"/>
        <rFont val="Book Antiqua"/>
        <family val="1"/>
      </rPr>
      <t>1)</t>
    </r>
    <phoneticPr fontId="30"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</si>
  <si>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30"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</si>
  <si>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112/1/1~112/12/31)</t>
    </r>
    <phoneticPr fontId="30" type="noConversion"/>
  </si>
  <si>
    <r>
      <t xml:space="preserve"> </t>
    </r>
    <r>
      <rPr>
        <sz val="12"/>
        <color theme="1"/>
        <rFont val="標楷體"/>
        <family val="4"/>
        <charset val="136"/>
      </rPr>
      <t>元大台灣</t>
    </r>
    <r>
      <rPr>
        <sz val="12"/>
        <color theme="1"/>
        <rFont val="Times New Roman"/>
        <family val="1"/>
      </rPr>
      <t>50</t>
    </r>
  </si>
  <si>
    <r>
      <t xml:space="preserve"> </t>
    </r>
    <r>
      <rPr>
        <sz val="12"/>
        <color theme="1"/>
        <rFont val="標楷體"/>
        <family val="4"/>
        <charset val="136"/>
      </rPr>
      <t>元大中型</t>
    </r>
    <r>
      <rPr>
        <sz val="12"/>
        <color theme="1"/>
        <rFont val="Times New Roman"/>
        <family val="1"/>
      </rPr>
      <t>100</t>
    </r>
  </si>
  <si>
    <r>
      <t xml:space="preserve"> </t>
    </r>
    <r>
      <rPr>
        <sz val="12"/>
        <color theme="1"/>
        <rFont val="標楷體"/>
        <family val="4"/>
        <charset val="136"/>
      </rPr>
      <t>富邦科技</t>
    </r>
  </si>
  <si>
    <r>
      <t xml:space="preserve"> </t>
    </r>
    <r>
      <rPr>
        <sz val="12"/>
        <color theme="1"/>
        <rFont val="標楷體"/>
        <family val="4"/>
        <charset val="136"/>
      </rPr>
      <t>元大電子</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</si>
  <si>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金融</t>
    </r>
  </si>
  <si>
    <r>
      <t xml:space="preserve"> </t>
    </r>
    <r>
      <rPr>
        <sz val="12"/>
        <color theme="1"/>
        <rFont val="標楷體"/>
        <family val="4"/>
        <charset val="136"/>
      </rPr>
      <t>元大高股息</t>
    </r>
  </si>
  <si>
    <r>
      <t xml:space="preserve"> </t>
    </r>
    <r>
      <rPr>
        <sz val="12"/>
        <color theme="1"/>
        <rFont val="標楷體"/>
        <family val="4"/>
        <charset val="136"/>
      </rPr>
      <t>富邦摩台</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</si>
  <si>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台灣</t>
    </r>
  </si>
  <si>
    <r>
      <t xml:space="preserve"> </t>
    </r>
    <r>
      <rPr>
        <sz val="12"/>
        <color theme="1"/>
        <rFont val="標楷體"/>
        <family val="4"/>
        <charset val="136"/>
      </rPr>
      <t>永豐臺灣加權</t>
    </r>
  </si>
  <si>
    <r>
      <t xml:space="preserve"> </t>
    </r>
    <r>
      <rPr>
        <sz val="12"/>
        <color theme="1"/>
        <rFont val="標楷體"/>
        <family val="4"/>
        <charset val="136"/>
      </rPr>
      <t>富邦台</t>
    </r>
    <r>
      <rPr>
        <sz val="12"/>
        <color theme="1"/>
        <rFont val="Times New Roman"/>
        <family val="1"/>
      </rPr>
      <t>50</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</si>
  <si>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正</t>
    </r>
    <r>
      <rPr>
        <sz val="12"/>
        <color theme="1"/>
        <rFont val="Times New Roman"/>
        <family val="1"/>
      </rPr>
      <t>2</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</si>
  <si>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反</t>
    </r>
    <r>
      <rPr>
        <sz val="12"/>
        <color theme="1"/>
        <rFont val="Times New Roman"/>
        <family val="1"/>
      </rPr>
      <t>1</t>
    </r>
  </si>
  <si>
    <r>
      <t xml:space="preserve"> </t>
    </r>
    <r>
      <rPr>
        <sz val="12"/>
        <color theme="1"/>
        <rFont val="標楷體"/>
        <family val="4"/>
        <charset val="136"/>
      </rPr>
      <t>國泰臺灣加權正</t>
    </r>
    <r>
      <rPr>
        <sz val="12"/>
        <color theme="1"/>
        <rFont val="Times New Roman"/>
        <family val="1"/>
      </rPr>
      <t>2</t>
    </r>
  </si>
  <si>
    <r>
      <t xml:space="preserve"> </t>
    </r>
    <r>
      <rPr>
        <sz val="12"/>
        <color theme="1"/>
        <rFont val="標楷體"/>
        <family val="4"/>
        <charset val="136"/>
      </rPr>
      <t>國泰臺灣加權反</t>
    </r>
    <r>
      <rPr>
        <sz val="12"/>
        <color theme="1"/>
        <rFont val="Times New Roman"/>
        <family val="1"/>
      </rPr>
      <t>1</t>
    </r>
  </si>
  <si>
    <r>
      <t xml:space="preserve"> </t>
    </r>
    <r>
      <rPr>
        <sz val="12"/>
        <color theme="1"/>
        <rFont val="標楷體"/>
        <family val="4"/>
        <charset val="136"/>
      </rPr>
      <t>富邦臺灣加權正</t>
    </r>
    <r>
      <rPr>
        <sz val="12"/>
        <color theme="1"/>
        <rFont val="Times New Roman"/>
        <family val="1"/>
      </rPr>
      <t>2</t>
    </r>
  </si>
  <si>
    <r>
      <t xml:space="preserve"> </t>
    </r>
    <r>
      <rPr>
        <sz val="12"/>
        <color theme="1"/>
        <rFont val="標楷體"/>
        <family val="4"/>
        <charset val="136"/>
      </rPr>
      <t>富邦臺灣加權反</t>
    </r>
    <r>
      <rPr>
        <sz val="12"/>
        <color theme="1"/>
        <rFont val="Times New Roman"/>
        <family val="1"/>
      </rPr>
      <t>1</t>
    </r>
  </si>
  <si>
    <r>
      <t xml:space="preserve"> </t>
    </r>
    <r>
      <rPr>
        <sz val="12"/>
        <color theme="1"/>
        <rFont val="標楷體"/>
        <family val="4"/>
        <charset val="136"/>
      </rPr>
      <t>群益臺灣加權正</t>
    </r>
    <r>
      <rPr>
        <sz val="12"/>
        <color theme="1"/>
        <rFont val="Times New Roman"/>
        <family val="1"/>
      </rPr>
      <t>2</t>
    </r>
  </si>
  <si>
    <r>
      <t xml:space="preserve"> </t>
    </r>
    <r>
      <rPr>
        <sz val="12"/>
        <color theme="1"/>
        <rFont val="標楷體"/>
        <family val="4"/>
        <charset val="136"/>
      </rPr>
      <t>群益臺灣加權反</t>
    </r>
    <r>
      <rPr>
        <sz val="12"/>
        <color theme="1"/>
        <rFont val="Times New Roman"/>
        <family val="1"/>
      </rPr>
      <t>1</t>
    </r>
  </si>
  <si>
    <r>
      <t xml:space="preserve"> </t>
    </r>
    <r>
      <rPr>
        <sz val="12"/>
        <color theme="1"/>
        <rFont val="標楷體"/>
        <family val="4"/>
        <charset val="136"/>
      </rPr>
      <t>兆豐臺灣藍籌</t>
    </r>
    <r>
      <rPr>
        <sz val="12"/>
        <color theme="1"/>
        <rFont val="Times New Roman"/>
        <family val="1"/>
      </rPr>
      <t>30</t>
    </r>
  </si>
  <si>
    <r>
      <t xml:space="preserve"> </t>
    </r>
    <r>
      <rPr>
        <sz val="12"/>
        <color theme="1"/>
        <rFont val="標楷體"/>
        <family val="4"/>
        <charset val="136"/>
      </rPr>
      <t>富邦公司治理</t>
    </r>
  </si>
  <si>
    <r>
      <t xml:space="preserve"> </t>
    </r>
    <r>
      <rPr>
        <sz val="12"/>
        <color theme="1"/>
        <rFont val="標楷體"/>
        <family val="4"/>
        <charset val="136"/>
      </rPr>
      <t>國泰股利精選</t>
    </r>
    <r>
      <rPr>
        <sz val="12"/>
        <color theme="1"/>
        <rFont val="Times New Roman"/>
        <family val="1"/>
      </rPr>
      <t>30</t>
    </r>
  </si>
  <si>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</si>
  <si>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t xml:space="preserve"> </t>
    </r>
    <r>
      <rPr>
        <sz val="12"/>
        <color theme="1"/>
        <rFont val="標楷體"/>
        <family val="4"/>
        <charset val="136"/>
      </rPr>
      <t>元大台灣高息低波</t>
    </r>
  </si>
  <si>
    <r>
      <t xml:space="preserve">9.1.1 </t>
    </r>
    <r>
      <rPr>
        <sz val="12"/>
        <color theme="1"/>
        <rFont val="標楷體"/>
        <family val="4"/>
        <charset val="136"/>
      </rPr>
      <t>公共投資</t>
    </r>
    <r>
      <rPr>
        <sz val="12"/>
        <color theme="1"/>
        <rFont val="Times New Roman"/>
        <family val="1"/>
      </rPr>
      <t>100%</t>
    </r>
    <phoneticPr fontId="30" type="noConversion"/>
  </si>
  <si>
    <r>
      <t xml:space="preserve"> </t>
    </r>
    <r>
      <rPr>
        <sz val="12"/>
        <color theme="1"/>
        <rFont val="標楷體"/>
        <family val="4"/>
        <charset val="136"/>
      </rPr>
      <t>第一金工業</t>
    </r>
    <r>
      <rPr>
        <sz val="12"/>
        <color theme="1"/>
        <rFont val="Times New Roman"/>
        <family val="1"/>
      </rPr>
      <t>30</t>
    </r>
  </si>
  <si>
    <r>
      <t xml:space="preserve">9.1.2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</si>
  <si>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t xml:space="preserve"> </t>
    </r>
    <r>
      <rPr>
        <sz val="12"/>
        <color theme="1"/>
        <rFont val="標楷體"/>
        <family val="4"/>
        <charset val="136"/>
      </rPr>
      <t>富邦臺灣優質高息</t>
    </r>
  </si>
  <si>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</si>
  <si>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t xml:space="preserve"> </t>
    </r>
    <r>
      <rPr>
        <sz val="12"/>
        <color theme="1"/>
        <rFont val="標楷體"/>
        <family val="4"/>
        <charset val="136"/>
      </rPr>
      <t>復華富時高息低波</t>
    </r>
  </si>
  <si>
    <r>
      <t xml:space="preserve">9.2.1 </t>
    </r>
    <r>
      <rPr>
        <sz val="12"/>
        <color theme="1"/>
        <rFont val="標楷體"/>
        <family val="4"/>
        <charset val="136"/>
      </rPr>
      <t>公共投資</t>
    </r>
    <r>
      <rPr>
        <sz val="12"/>
        <color theme="1"/>
        <rFont val="Times New Roman"/>
        <family val="1"/>
      </rPr>
      <t>100%</t>
    </r>
    <phoneticPr fontId="30" type="noConversion"/>
  </si>
  <si>
    <r>
      <t xml:space="preserve"> </t>
    </r>
    <r>
      <rPr>
        <sz val="12"/>
        <color theme="1"/>
        <rFont val="標楷體"/>
        <family val="4"/>
        <charset val="136"/>
      </rPr>
      <t>富邦臺灣中小</t>
    </r>
  </si>
  <si>
    <r>
      <t xml:space="preserve">9.2.2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30" type="noConversion"/>
  </si>
  <si>
    <r>
      <t xml:space="preserve"> </t>
    </r>
    <r>
      <rPr>
        <sz val="12"/>
        <color theme="1"/>
        <rFont val="標楷體"/>
        <family val="4"/>
        <charset val="136"/>
      </rPr>
      <t>元大臺灣</t>
    </r>
    <r>
      <rPr>
        <sz val="12"/>
        <color theme="1"/>
        <rFont val="Times New Roman"/>
        <family val="1"/>
      </rPr>
      <t>ESG</t>
    </r>
    <r>
      <rPr>
        <sz val="12"/>
        <color theme="1"/>
        <rFont val="標楷體"/>
        <family val="4"/>
        <charset val="136"/>
      </rPr>
      <t>永續</t>
    </r>
  </si>
  <si>
    <r>
      <t xml:space="preserve"> </t>
    </r>
    <r>
      <rPr>
        <sz val="12"/>
        <color theme="1"/>
        <rFont val="標楷體"/>
        <family val="4"/>
        <charset val="136"/>
      </rPr>
      <t>國泰永續高股息</t>
    </r>
  </si>
  <si>
    <r>
      <t xml:space="preserve"> </t>
    </r>
    <r>
      <rPr>
        <sz val="12"/>
        <color theme="1"/>
        <rFont val="標楷體"/>
        <family val="4"/>
        <charset val="136"/>
      </rPr>
      <t>國泰台灣</t>
    </r>
    <r>
      <rPr>
        <sz val="12"/>
        <color theme="1"/>
        <rFont val="Times New Roman"/>
        <family val="1"/>
      </rPr>
      <t>5G+</t>
    </r>
  </si>
  <si>
    <r>
      <t xml:space="preserve"> </t>
    </r>
    <r>
      <rPr>
        <sz val="12"/>
        <color theme="1"/>
        <rFont val="標楷體"/>
        <family val="4"/>
        <charset val="136"/>
      </rPr>
      <t>中信關鍵半導體</t>
    </r>
  </si>
  <si>
    <r>
      <t xml:space="preserve"> </t>
    </r>
    <r>
      <rPr>
        <sz val="12"/>
        <color theme="1"/>
        <rFont val="標楷體"/>
        <family val="4"/>
        <charset val="136"/>
      </rPr>
      <t>富邦台灣半導體</t>
    </r>
  </si>
  <si>
    <r>
      <t xml:space="preserve"> </t>
    </r>
    <r>
      <rPr>
        <sz val="12"/>
        <color theme="1"/>
        <rFont val="標楷體"/>
        <family val="4"/>
        <charset val="136"/>
      </rPr>
      <t>中信小資高價</t>
    </r>
    <r>
      <rPr>
        <sz val="12"/>
        <color theme="1"/>
        <rFont val="Times New Roman"/>
        <family val="1"/>
      </rPr>
      <t>30</t>
    </r>
  </si>
  <si>
    <r>
      <t xml:space="preserve"> </t>
    </r>
    <r>
      <rPr>
        <sz val="12"/>
        <color theme="1"/>
        <rFont val="標楷體"/>
        <family val="4"/>
        <charset val="136"/>
      </rPr>
      <t>中信綠能及電動車</t>
    </r>
  </si>
  <si>
    <r>
      <t xml:space="preserve"> </t>
    </r>
    <r>
      <rPr>
        <sz val="12"/>
        <color theme="1"/>
        <rFont val="標楷體"/>
        <family val="4"/>
        <charset val="136"/>
      </rPr>
      <t>富邦特選高股息</t>
    </r>
    <r>
      <rPr>
        <sz val="12"/>
        <color theme="1"/>
        <rFont val="Times New Roman"/>
        <family val="1"/>
      </rPr>
      <t>30</t>
    </r>
  </si>
  <si>
    <r>
      <t xml:space="preserve"> </t>
    </r>
    <r>
      <rPr>
        <sz val="12"/>
        <color theme="1"/>
        <rFont val="標楷體"/>
        <family val="4"/>
        <charset val="136"/>
      </rPr>
      <t>永豐智能車供應鏈</t>
    </r>
  </si>
  <si>
    <r>
      <t xml:space="preserve"> </t>
    </r>
    <r>
      <rPr>
        <sz val="12"/>
        <color theme="1"/>
        <rFont val="標楷體"/>
        <family val="4"/>
        <charset val="136"/>
      </rPr>
      <t>新光臺灣半導體</t>
    </r>
    <r>
      <rPr>
        <sz val="12"/>
        <color theme="1"/>
        <rFont val="Times New Roman"/>
        <family val="1"/>
      </rPr>
      <t>30</t>
    </r>
  </si>
  <si>
    <r>
      <t xml:space="preserve"> FT</t>
    </r>
    <r>
      <rPr>
        <sz val="12"/>
        <color theme="1"/>
        <rFont val="標楷體"/>
        <family val="4"/>
        <charset val="136"/>
      </rPr>
      <t>臺灣</t>
    </r>
    <r>
      <rPr>
        <sz val="12"/>
        <color theme="1"/>
        <rFont val="Times New Roman"/>
        <family val="1"/>
      </rPr>
      <t>Smart</t>
    </r>
  </si>
  <si>
    <r>
      <t xml:space="preserve"> </t>
    </r>
    <r>
      <rPr>
        <sz val="12"/>
        <color theme="1"/>
        <rFont val="標楷體"/>
        <family val="4"/>
        <charset val="136"/>
      </rPr>
      <t>永豐優息存股</t>
    </r>
  </si>
  <si>
    <r>
      <t xml:space="preserve"> </t>
    </r>
    <r>
      <rPr>
        <sz val="12"/>
        <color theme="1"/>
        <rFont val="標楷體"/>
        <family val="4"/>
        <charset val="136"/>
      </rPr>
      <t>中信臺灣智慧</t>
    </r>
    <r>
      <rPr>
        <sz val="12"/>
        <color theme="1"/>
        <rFont val="Times New Roman"/>
        <family val="1"/>
      </rPr>
      <t>50</t>
    </r>
  </si>
  <si>
    <r>
      <t xml:space="preserve"> </t>
    </r>
    <r>
      <rPr>
        <sz val="12"/>
        <color theme="1"/>
        <rFont val="標楷體"/>
        <family val="4"/>
        <charset val="136"/>
      </rPr>
      <t>兆豐台灣晶圓製造</t>
    </r>
  </si>
  <si>
    <r>
      <t xml:space="preserve"> </t>
    </r>
    <r>
      <rPr>
        <sz val="12"/>
        <color theme="1"/>
        <rFont val="標楷體"/>
        <family val="4"/>
        <charset val="136"/>
      </rPr>
      <t>凱基優選高股息</t>
    </r>
    <r>
      <rPr>
        <sz val="12"/>
        <color theme="1"/>
        <rFont val="Times New Roman"/>
        <family val="1"/>
      </rPr>
      <t>30</t>
    </r>
  </si>
  <si>
    <r>
      <t xml:space="preserve"> </t>
    </r>
    <r>
      <rPr>
        <sz val="12"/>
        <color theme="1"/>
        <rFont val="標楷體"/>
        <family val="4"/>
        <charset val="136"/>
      </rPr>
      <t>大華銀台灣優選股利高</t>
    </r>
  </si>
  <si>
    <r>
      <t xml:space="preserve"> </t>
    </r>
    <r>
      <rPr>
        <sz val="12"/>
        <color theme="1"/>
        <rFont val="標楷體"/>
        <family val="4"/>
        <charset val="136"/>
      </rPr>
      <t>群益台灣精選高息</t>
    </r>
  </si>
  <si>
    <r>
      <t xml:space="preserve"> </t>
    </r>
    <r>
      <rPr>
        <sz val="12"/>
        <color theme="1"/>
        <rFont val="標楷體"/>
        <family val="4"/>
        <charset val="136"/>
      </rPr>
      <t>兆豐龍頭等權重</t>
    </r>
  </si>
  <si>
    <r>
      <rPr>
        <sz val="12"/>
        <color theme="1"/>
        <rFont val="標楷體"/>
        <family val="4"/>
        <charset val="136"/>
      </rPr>
      <t>成立未滿一年</t>
    </r>
    <r>
      <rPr>
        <sz val="12"/>
        <color theme="1"/>
        <rFont val="Times New Roman"/>
        <family val="1"/>
      </rPr>
      <t>,</t>
    </r>
    <r>
      <rPr>
        <sz val="12"/>
        <color theme="1"/>
        <rFont val="標楷體"/>
        <family val="4"/>
        <charset val="136"/>
      </rPr>
      <t>以中華民國投信投顧公會</t>
    </r>
    <r>
      <rPr>
        <sz val="12"/>
        <color theme="1"/>
        <rFont val="Times New Roman"/>
        <family val="1"/>
      </rPr>
      <t>112</t>
    </r>
    <r>
      <rPr>
        <sz val="12"/>
        <color theme="1"/>
        <rFont val="標楷體"/>
        <family val="4"/>
        <charset val="136"/>
      </rPr>
      <t>年</t>
    </r>
    <r>
      <rPr>
        <sz val="12"/>
        <color theme="1"/>
        <rFont val="Times New Roman"/>
        <family val="1"/>
      </rPr>
      <t>12</t>
    </r>
    <r>
      <rPr>
        <sz val="12"/>
        <color theme="1"/>
        <rFont val="標楷體"/>
        <family val="4"/>
        <charset val="136"/>
      </rPr>
      <t>月公佈之基金績效評比所有股票型基金</t>
    </r>
    <r>
      <rPr>
        <sz val="12"/>
        <color theme="1"/>
        <rFont val="Times New Roman"/>
        <family val="1"/>
      </rPr>
      <t>/</t>
    </r>
    <r>
      <rPr>
        <sz val="12"/>
        <color theme="1"/>
        <rFont val="標楷體"/>
        <family val="4"/>
        <charset val="136"/>
      </rPr>
      <t>投資國內</t>
    </r>
    <r>
      <rPr>
        <sz val="12"/>
        <color theme="1"/>
        <rFont val="Times New Roman"/>
        <family val="1"/>
      </rPr>
      <t>/</t>
    </r>
    <r>
      <rPr>
        <sz val="12"/>
        <color theme="1"/>
        <rFont val="標楷體"/>
        <family val="4"/>
        <charset val="136"/>
      </rPr>
      <t>一般股票型平均</t>
    </r>
    <r>
      <rPr>
        <sz val="12"/>
        <color theme="1"/>
        <rFont val="Times New Roman"/>
        <family val="1"/>
      </rPr>
      <t>beta</t>
    </r>
    <r>
      <rPr>
        <sz val="12"/>
        <color theme="1"/>
        <rFont val="標楷體"/>
        <family val="4"/>
        <charset val="136"/>
      </rPr>
      <t>值</t>
    </r>
    <r>
      <rPr>
        <sz val="12"/>
        <color theme="1"/>
        <rFont val="Times New Roman"/>
        <family val="1"/>
      </rPr>
      <t>(12</t>
    </r>
    <r>
      <rPr>
        <sz val="12"/>
        <color theme="1"/>
        <rFont val="標楷體"/>
        <family val="4"/>
        <charset val="136"/>
      </rPr>
      <t>個月</t>
    </r>
    <r>
      <rPr>
        <sz val="12"/>
        <color theme="1"/>
        <rFont val="Times New Roman"/>
        <family val="1"/>
      </rPr>
      <t>)</t>
    </r>
    <r>
      <rPr>
        <sz val="12"/>
        <color theme="1"/>
        <rFont val="標楷體"/>
        <family val="4"/>
        <charset val="136"/>
      </rPr>
      <t>代替</t>
    </r>
  </si>
  <si>
    <r>
      <t xml:space="preserve"> </t>
    </r>
    <r>
      <rPr>
        <sz val="12"/>
        <color theme="1"/>
        <rFont val="標楷體"/>
        <family val="4"/>
        <charset val="136"/>
      </rPr>
      <t>國泰台灣領袖</t>
    </r>
    <r>
      <rPr>
        <sz val="12"/>
        <color theme="1"/>
        <rFont val="Times New Roman"/>
        <family val="1"/>
      </rPr>
      <t>50 ETF</t>
    </r>
    <r>
      <rPr>
        <sz val="12"/>
        <color theme="1"/>
        <rFont val="標楷體"/>
        <family val="4"/>
        <charset val="136"/>
      </rPr>
      <t>基</t>
    </r>
  </si>
  <si>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</si>
  <si>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t xml:space="preserve"> </t>
    </r>
    <r>
      <rPr>
        <sz val="12"/>
        <color theme="1"/>
        <rFont val="標楷體"/>
        <family val="4"/>
        <charset val="136"/>
      </rPr>
      <t>群益台</t>
    </r>
    <r>
      <rPr>
        <sz val="12"/>
        <color theme="1"/>
        <rFont val="Times New Roman"/>
        <family val="1"/>
      </rPr>
      <t>ESG</t>
    </r>
    <r>
      <rPr>
        <sz val="12"/>
        <color theme="1"/>
        <rFont val="標楷體"/>
        <family val="4"/>
        <charset val="136"/>
      </rPr>
      <t>低碳</t>
    </r>
    <r>
      <rPr>
        <sz val="12"/>
        <color theme="1"/>
        <rFont val="Times New Roman"/>
        <family val="1"/>
      </rPr>
      <t>50</t>
    </r>
  </si>
  <si>
    <r>
      <t xml:space="preserve"> </t>
    </r>
    <r>
      <rPr>
        <sz val="12"/>
        <color theme="1"/>
        <rFont val="標楷體"/>
        <family val="4"/>
        <charset val="136"/>
      </rPr>
      <t>群益半導體收益</t>
    </r>
  </si>
  <si>
    <r>
      <t xml:space="preserve"> </t>
    </r>
    <r>
      <rPr>
        <sz val="12"/>
        <color theme="1"/>
        <rFont val="標楷體"/>
        <family val="4"/>
        <charset val="136"/>
      </rPr>
      <t>復華台灣科技優息</t>
    </r>
  </si>
  <si>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</si>
  <si>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t xml:space="preserve"> </t>
    </r>
    <r>
      <rPr>
        <sz val="12"/>
        <color theme="1"/>
        <rFont val="標楷體"/>
        <family val="4"/>
        <charset val="136"/>
      </rPr>
      <t>永豐</t>
    </r>
    <r>
      <rPr>
        <sz val="12"/>
        <color theme="1"/>
        <rFont val="Times New Roman"/>
        <family val="1"/>
      </rPr>
      <t>ESG</t>
    </r>
    <r>
      <rPr>
        <sz val="12"/>
        <color theme="1"/>
        <rFont val="標楷體"/>
        <family val="4"/>
        <charset val="136"/>
      </rPr>
      <t>低碳高息</t>
    </r>
  </si>
  <si>
    <r>
      <t xml:space="preserve"> </t>
    </r>
    <r>
      <rPr>
        <sz val="12"/>
        <color theme="1"/>
        <rFont val="標楷體"/>
        <family val="4"/>
        <charset val="136"/>
      </rPr>
      <t>兆豐永續高息等權</t>
    </r>
  </si>
  <si>
    <r>
      <t xml:space="preserve"> </t>
    </r>
    <r>
      <rPr>
        <sz val="12"/>
        <color theme="1"/>
        <rFont val="標楷體"/>
        <family val="4"/>
        <charset val="136"/>
      </rPr>
      <t>中信臺灣優選成長高股</t>
    </r>
  </si>
  <si>
    <r>
      <t xml:space="preserve"> </t>
    </r>
    <r>
      <rPr>
        <sz val="12"/>
        <color theme="1"/>
        <rFont val="標楷體"/>
        <family val="4"/>
        <charset val="136"/>
      </rPr>
      <t>野村臺灣新科技</t>
    </r>
    <r>
      <rPr>
        <sz val="12"/>
        <color theme="1"/>
        <rFont val="Times New Roman"/>
        <family val="1"/>
      </rPr>
      <t>50</t>
    </r>
  </si>
  <si>
    <r>
      <t xml:space="preserve"> </t>
    </r>
    <r>
      <rPr>
        <sz val="12"/>
        <color theme="1"/>
        <rFont val="標楷體"/>
        <family val="4"/>
        <charset val="136"/>
      </rPr>
      <t>台新臺灣永續高息中小</t>
    </r>
  </si>
  <si>
    <r>
      <t xml:space="preserve"> </t>
    </r>
    <r>
      <rPr>
        <sz val="12"/>
        <color theme="1"/>
        <rFont val="標楷體"/>
        <family val="4"/>
        <charset val="136"/>
      </rPr>
      <t>台泥</t>
    </r>
  </si>
  <si>
    <r>
      <t xml:space="preserve"> </t>
    </r>
    <r>
      <rPr>
        <sz val="12"/>
        <color theme="1"/>
        <rFont val="標楷體"/>
        <family val="4"/>
        <charset val="136"/>
      </rPr>
      <t>亞泥</t>
    </r>
  </si>
  <si>
    <r>
      <t xml:space="preserve"> </t>
    </r>
    <r>
      <rPr>
        <sz val="12"/>
        <color theme="1"/>
        <rFont val="標楷體"/>
        <family val="4"/>
        <charset val="136"/>
      </rPr>
      <t>嘉泥</t>
    </r>
  </si>
  <si>
    <r>
      <t xml:space="preserve"> </t>
    </r>
    <r>
      <rPr>
        <sz val="12"/>
        <color theme="1"/>
        <rFont val="標楷體"/>
        <family val="4"/>
        <charset val="136"/>
      </rPr>
      <t>環泥</t>
    </r>
  </si>
  <si>
    <r>
      <t xml:space="preserve"> </t>
    </r>
    <r>
      <rPr>
        <sz val="12"/>
        <color theme="1"/>
        <rFont val="標楷體"/>
        <family val="4"/>
        <charset val="136"/>
      </rPr>
      <t>幸福</t>
    </r>
  </si>
  <si>
    <r>
      <t xml:space="preserve"> </t>
    </r>
    <r>
      <rPr>
        <sz val="12"/>
        <color theme="1"/>
        <rFont val="標楷體"/>
        <family val="4"/>
        <charset val="136"/>
      </rPr>
      <t>信大</t>
    </r>
  </si>
  <si>
    <r>
      <t xml:space="preserve"> </t>
    </r>
    <r>
      <rPr>
        <sz val="12"/>
        <color theme="1"/>
        <rFont val="標楷體"/>
        <family val="4"/>
        <charset val="136"/>
      </rPr>
      <t>東泥</t>
    </r>
  </si>
  <si>
    <r>
      <t xml:space="preserve"> </t>
    </r>
    <r>
      <rPr>
        <sz val="12"/>
        <color theme="1"/>
        <rFont val="標楷體"/>
        <family val="4"/>
        <charset val="136"/>
      </rPr>
      <t>味全</t>
    </r>
  </si>
  <si>
    <r>
      <t xml:space="preserve"> </t>
    </r>
    <r>
      <rPr>
        <sz val="12"/>
        <color theme="1"/>
        <rFont val="標楷體"/>
        <family val="4"/>
        <charset val="136"/>
      </rPr>
      <t>味王</t>
    </r>
  </si>
  <si>
    <r>
      <t xml:space="preserve"> </t>
    </r>
    <r>
      <rPr>
        <sz val="12"/>
        <color theme="1"/>
        <rFont val="標楷體"/>
        <family val="4"/>
        <charset val="136"/>
      </rPr>
      <t>大成</t>
    </r>
  </si>
  <si>
    <r>
      <t xml:space="preserve"> </t>
    </r>
    <r>
      <rPr>
        <sz val="12"/>
        <color theme="1"/>
        <rFont val="標楷體"/>
        <family val="4"/>
        <charset val="136"/>
      </rPr>
      <t>大飲</t>
    </r>
  </si>
  <si>
    <r>
      <t xml:space="preserve"> </t>
    </r>
    <r>
      <rPr>
        <sz val="12"/>
        <color theme="1"/>
        <rFont val="標楷體"/>
        <family val="4"/>
        <charset val="136"/>
      </rPr>
      <t>卜蜂</t>
    </r>
  </si>
  <si>
    <r>
      <t xml:space="preserve"> </t>
    </r>
    <r>
      <rPr>
        <sz val="12"/>
        <color theme="1"/>
        <rFont val="標楷體"/>
        <family val="4"/>
        <charset val="136"/>
      </rPr>
      <t>統一</t>
    </r>
  </si>
  <si>
    <r>
      <t xml:space="preserve"> </t>
    </r>
    <r>
      <rPr>
        <sz val="12"/>
        <color theme="1"/>
        <rFont val="標楷體"/>
        <family val="4"/>
        <charset val="136"/>
      </rPr>
      <t>愛之味</t>
    </r>
  </si>
  <si>
    <r>
      <t xml:space="preserve"> </t>
    </r>
    <r>
      <rPr>
        <sz val="12"/>
        <color theme="1"/>
        <rFont val="標楷體"/>
        <family val="4"/>
        <charset val="136"/>
      </rPr>
      <t>泰山</t>
    </r>
  </si>
  <si>
    <r>
      <t xml:space="preserve"> </t>
    </r>
    <r>
      <rPr>
        <sz val="12"/>
        <color theme="1"/>
        <rFont val="標楷體"/>
        <family val="4"/>
        <charset val="136"/>
      </rPr>
      <t>福壽</t>
    </r>
  </si>
  <si>
    <r>
      <t xml:space="preserve"> </t>
    </r>
    <r>
      <rPr>
        <sz val="12"/>
        <color theme="1"/>
        <rFont val="標楷體"/>
        <family val="4"/>
        <charset val="136"/>
      </rPr>
      <t>台榮</t>
    </r>
  </si>
  <si>
    <r>
      <t xml:space="preserve"> </t>
    </r>
    <r>
      <rPr>
        <sz val="12"/>
        <color theme="1"/>
        <rFont val="標楷體"/>
        <family val="4"/>
        <charset val="136"/>
      </rPr>
      <t>福懋油</t>
    </r>
  </si>
  <si>
    <r>
      <t xml:space="preserve"> </t>
    </r>
    <r>
      <rPr>
        <sz val="12"/>
        <color theme="1"/>
        <rFont val="標楷體"/>
        <family val="4"/>
        <charset val="136"/>
      </rPr>
      <t>佳格</t>
    </r>
  </si>
  <si>
    <r>
      <t xml:space="preserve"> </t>
    </r>
    <r>
      <rPr>
        <sz val="12"/>
        <color theme="1"/>
        <rFont val="標楷體"/>
        <family val="4"/>
        <charset val="136"/>
      </rPr>
      <t>聯華</t>
    </r>
  </si>
  <si>
    <r>
      <t xml:space="preserve"> </t>
    </r>
    <r>
      <rPr>
        <sz val="12"/>
        <color theme="1"/>
        <rFont val="標楷體"/>
        <family val="4"/>
        <charset val="136"/>
      </rPr>
      <t>聯華食</t>
    </r>
  </si>
  <si>
    <r>
      <t xml:space="preserve"> </t>
    </r>
    <r>
      <rPr>
        <sz val="12"/>
        <color theme="1"/>
        <rFont val="標楷體"/>
        <family val="4"/>
        <charset val="136"/>
      </rPr>
      <t>大統益</t>
    </r>
  </si>
  <si>
    <r>
      <t xml:space="preserve"> </t>
    </r>
    <r>
      <rPr>
        <sz val="12"/>
        <color theme="1"/>
        <rFont val="標楷體"/>
        <family val="4"/>
        <charset val="136"/>
      </rPr>
      <t>天仁</t>
    </r>
  </si>
  <si>
    <r>
      <t xml:space="preserve"> </t>
    </r>
    <r>
      <rPr>
        <sz val="12"/>
        <color theme="1"/>
        <rFont val="標楷體"/>
        <family val="4"/>
        <charset val="136"/>
      </rPr>
      <t>黑松</t>
    </r>
  </si>
  <si>
    <r>
      <t xml:space="preserve"> </t>
    </r>
    <r>
      <rPr>
        <sz val="12"/>
        <color theme="1"/>
        <rFont val="標楷體"/>
        <family val="4"/>
        <charset val="136"/>
      </rPr>
      <t>興泰</t>
    </r>
  </si>
  <si>
    <r>
      <t xml:space="preserve"> </t>
    </r>
    <r>
      <rPr>
        <sz val="12"/>
        <color theme="1"/>
        <rFont val="標楷體"/>
        <family val="4"/>
        <charset val="136"/>
      </rPr>
      <t>宏亞</t>
    </r>
  </si>
  <si>
    <r>
      <t xml:space="preserve"> </t>
    </r>
    <r>
      <rPr>
        <sz val="12"/>
        <color theme="1"/>
        <rFont val="標楷體"/>
        <family val="4"/>
        <charset val="136"/>
      </rPr>
      <t>鮮活果汁</t>
    </r>
    <r>
      <rPr>
        <sz val="12"/>
        <color theme="1"/>
        <rFont val="Times New Roman"/>
        <family val="1"/>
      </rPr>
      <t>-KY</t>
    </r>
  </si>
  <si>
    <r>
      <t xml:space="preserve"> </t>
    </r>
    <r>
      <rPr>
        <sz val="12"/>
        <color theme="1"/>
        <rFont val="標楷體"/>
        <family val="4"/>
        <charset val="136"/>
      </rPr>
      <t>台塑</t>
    </r>
  </si>
  <si>
    <r>
      <t xml:space="preserve"> </t>
    </r>
    <r>
      <rPr>
        <sz val="12"/>
        <color theme="1"/>
        <rFont val="標楷體"/>
        <family val="4"/>
        <charset val="136"/>
      </rPr>
      <t>南亞</t>
    </r>
  </si>
  <si>
    <r>
      <t xml:space="preserve"> </t>
    </r>
    <r>
      <rPr>
        <sz val="12"/>
        <color theme="1"/>
        <rFont val="標楷體"/>
        <family val="4"/>
        <charset val="136"/>
      </rPr>
      <t>台聚</t>
    </r>
  </si>
  <si>
    <r>
      <t xml:space="preserve"> </t>
    </r>
    <r>
      <rPr>
        <sz val="12"/>
        <color theme="1"/>
        <rFont val="標楷體"/>
        <family val="4"/>
        <charset val="136"/>
      </rPr>
      <t>華夏</t>
    </r>
  </si>
  <si>
    <r>
      <t xml:space="preserve"> </t>
    </r>
    <r>
      <rPr>
        <sz val="12"/>
        <color theme="1"/>
        <rFont val="標楷體"/>
        <family val="4"/>
        <charset val="136"/>
      </rPr>
      <t>三芳</t>
    </r>
  </si>
  <si>
    <r>
      <t xml:space="preserve"> </t>
    </r>
    <r>
      <rPr>
        <sz val="12"/>
        <color theme="1"/>
        <rFont val="標楷體"/>
        <family val="4"/>
        <charset val="136"/>
      </rPr>
      <t>亞聚</t>
    </r>
  </si>
  <si>
    <r>
      <t xml:space="preserve"> </t>
    </r>
    <r>
      <rPr>
        <sz val="12"/>
        <color theme="1"/>
        <rFont val="標楷體"/>
        <family val="4"/>
        <charset val="136"/>
      </rPr>
      <t>台達化</t>
    </r>
  </si>
  <si>
    <r>
      <t xml:space="preserve"> </t>
    </r>
    <r>
      <rPr>
        <sz val="12"/>
        <color theme="1"/>
        <rFont val="標楷體"/>
        <family val="4"/>
        <charset val="136"/>
      </rPr>
      <t>台苯</t>
    </r>
  </si>
  <si>
    <r>
      <t xml:space="preserve"> </t>
    </r>
    <r>
      <rPr>
        <sz val="12"/>
        <color theme="1"/>
        <rFont val="標楷體"/>
        <family val="4"/>
        <charset val="136"/>
      </rPr>
      <t>國喬</t>
    </r>
  </si>
  <si>
    <r>
      <t xml:space="preserve"> </t>
    </r>
    <r>
      <rPr>
        <sz val="12"/>
        <color theme="1"/>
        <rFont val="標楷體"/>
        <family val="4"/>
        <charset val="136"/>
      </rPr>
      <t>聯成</t>
    </r>
  </si>
  <si>
    <r>
      <t xml:space="preserve"> </t>
    </r>
    <r>
      <rPr>
        <sz val="12"/>
        <color theme="1"/>
        <rFont val="標楷體"/>
        <family val="4"/>
        <charset val="136"/>
      </rPr>
      <t>中石化</t>
    </r>
  </si>
  <si>
    <r>
      <t xml:space="preserve"> </t>
    </r>
    <r>
      <rPr>
        <sz val="12"/>
        <color theme="1"/>
        <rFont val="標楷體"/>
        <family val="4"/>
        <charset val="136"/>
      </rPr>
      <t>達新</t>
    </r>
  </si>
  <si>
    <r>
      <t xml:space="preserve"> </t>
    </r>
    <r>
      <rPr>
        <sz val="12"/>
        <color theme="1"/>
        <rFont val="標楷體"/>
        <family val="4"/>
        <charset val="136"/>
      </rPr>
      <t>上曜</t>
    </r>
  </si>
  <si>
    <r>
      <t xml:space="preserve"> </t>
    </r>
    <r>
      <rPr>
        <sz val="12"/>
        <color theme="1"/>
        <rFont val="標楷體"/>
        <family val="4"/>
        <charset val="136"/>
      </rPr>
      <t>東陽</t>
    </r>
  </si>
  <si>
    <r>
      <t xml:space="preserve"> </t>
    </r>
    <r>
      <rPr>
        <sz val="12"/>
        <color theme="1"/>
        <rFont val="標楷體"/>
        <family val="4"/>
        <charset val="136"/>
      </rPr>
      <t>大洋</t>
    </r>
  </si>
  <si>
    <r>
      <t xml:space="preserve"> </t>
    </r>
    <r>
      <rPr>
        <sz val="12"/>
        <color theme="1"/>
        <rFont val="標楷體"/>
        <family val="4"/>
        <charset val="136"/>
      </rPr>
      <t>永裕</t>
    </r>
  </si>
  <si>
    <r>
      <t xml:space="preserve"> </t>
    </r>
    <r>
      <rPr>
        <sz val="12"/>
        <color theme="1"/>
        <rFont val="標楷體"/>
        <family val="4"/>
        <charset val="136"/>
      </rPr>
      <t>地球</t>
    </r>
  </si>
  <si>
    <r>
      <t xml:space="preserve"> </t>
    </r>
    <r>
      <rPr>
        <sz val="12"/>
        <color theme="1"/>
        <rFont val="標楷體"/>
        <family val="4"/>
        <charset val="136"/>
      </rPr>
      <t>恒大</t>
    </r>
  </si>
  <si>
    <r>
      <t xml:space="preserve"> </t>
    </r>
    <r>
      <rPr>
        <sz val="12"/>
        <color theme="1"/>
        <rFont val="標楷體"/>
        <family val="4"/>
        <charset val="136"/>
      </rPr>
      <t>台化</t>
    </r>
  </si>
  <si>
    <r>
      <t xml:space="preserve"> </t>
    </r>
    <r>
      <rPr>
        <sz val="12"/>
        <color theme="1"/>
        <rFont val="標楷體"/>
        <family val="4"/>
        <charset val="136"/>
      </rPr>
      <t>再生</t>
    </r>
    <r>
      <rPr>
        <sz val="12"/>
        <color theme="1"/>
        <rFont val="Times New Roman"/>
        <family val="1"/>
      </rPr>
      <t>-KY</t>
    </r>
  </si>
  <si>
    <r>
      <t xml:space="preserve"> </t>
    </r>
    <r>
      <rPr>
        <sz val="12"/>
        <color theme="1"/>
        <rFont val="標楷體"/>
        <family val="4"/>
        <charset val="136"/>
      </rPr>
      <t>廣華</t>
    </r>
    <r>
      <rPr>
        <sz val="12"/>
        <color theme="1"/>
        <rFont val="Times New Roman"/>
        <family val="1"/>
      </rPr>
      <t>-KY</t>
    </r>
  </si>
  <si>
    <r>
      <t xml:space="preserve"> </t>
    </r>
    <r>
      <rPr>
        <sz val="12"/>
        <color theme="1"/>
        <rFont val="標楷體"/>
        <family val="4"/>
        <charset val="136"/>
      </rPr>
      <t>昭輝</t>
    </r>
  </si>
  <si>
    <r>
      <t xml:space="preserve"> </t>
    </r>
    <r>
      <rPr>
        <sz val="12"/>
        <color theme="1"/>
        <rFont val="標楷體"/>
        <family val="4"/>
        <charset val="136"/>
      </rPr>
      <t>勝悅</t>
    </r>
    <r>
      <rPr>
        <sz val="12"/>
        <color theme="1"/>
        <rFont val="Times New Roman"/>
        <family val="1"/>
      </rPr>
      <t>-KY</t>
    </r>
  </si>
  <si>
    <r>
      <t xml:space="preserve"> </t>
    </r>
    <r>
      <rPr>
        <sz val="12"/>
        <color theme="1"/>
        <rFont val="標楷體"/>
        <family val="4"/>
        <charset val="136"/>
      </rPr>
      <t>富林</t>
    </r>
    <r>
      <rPr>
        <sz val="12"/>
        <color theme="1"/>
        <rFont val="Times New Roman"/>
        <family val="1"/>
      </rPr>
      <t>-KY</t>
    </r>
  </si>
  <si>
    <r>
      <t xml:space="preserve"> </t>
    </r>
    <r>
      <rPr>
        <sz val="12"/>
        <color theme="1"/>
        <rFont val="標楷體"/>
        <family val="4"/>
        <charset val="136"/>
      </rPr>
      <t>八貫</t>
    </r>
  </si>
  <si>
    <r>
      <t xml:space="preserve"> </t>
    </r>
    <r>
      <rPr>
        <sz val="12"/>
        <color theme="1"/>
        <rFont val="標楷體"/>
        <family val="4"/>
        <charset val="136"/>
      </rPr>
      <t>遠東新</t>
    </r>
  </si>
  <si>
    <r>
      <t xml:space="preserve"> </t>
    </r>
    <r>
      <rPr>
        <sz val="12"/>
        <color theme="1"/>
        <rFont val="標楷體"/>
        <family val="4"/>
        <charset val="136"/>
      </rPr>
      <t>新纖</t>
    </r>
  </si>
  <si>
    <r>
      <t xml:space="preserve"> </t>
    </r>
    <r>
      <rPr>
        <sz val="12"/>
        <color theme="1"/>
        <rFont val="標楷體"/>
        <family val="4"/>
        <charset val="136"/>
      </rPr>
      <t>南染</t>
    </r>
  </si>
  <si>
    <r>
      <t xml:space="preserve"> </t>
    </r>
    <r>
      <rPr>
        <sz val="12"/>
        <color theme="1"/>
        <rFont val="標楷體"/>
        <family val="4"/>
        <charset val="136"/>
      </rPr>
      <t>宏洲</t>
    </r>
  </si>
  <si>
    <r>
      <t xml:space="preserve"> </t>
    </r>
    <r>
      <rPr>
        <sz val="12"/>
        <color theme="1"/>
        <rFont val="標楷體"/>
        <family val="4"/>
        <charset val="136"/>
      </rPr>
      <t>東和</t>
    </r>
  </si>
  <si>
    <r>
      <t xml:space="preserve"> </t>
    </r>
    <r>
      <rPr>
        <sz val="12"/>
        <color theme="1"/>
        <rFont val="標楷體"/>
        <family val="4"/>
        <charset val="136"/>
      </rPr>
      <t>廣豐</t>
    </r>
  </si>
  <si>
    <r>
      <t xml:space="preserve"> </t>
    </r>
    <r>
      <rPr>
        <sz val="12"/>
        <color theme="1"/>
        <rFont val="標楷體"/>
        <family val="4"/>
        <charset val="136"/>
      </rPr>
      <t>嘉裕</t>
    </r>
  </si>
  <si>
    <r>
      <t xml:space="preserve"> </t>
    </r>
    <r>
      <rPr>
        <sz val="12"/>
        <color theme="1"/>
        <rFont val="標楷體"/>
        <family val="4"/>
        <charset val="136"/>
      </rPr>
      <t>東華</t>
    </r>
  </si>
  <si>
    <r>
      <t xml:space="preserve"> </t>
    </r>
    <r>
      <rPr>
        <sz val="12"/>
        <color theme="1"/>
        <rFont val="標楷體"/>
        <family val="4"/>
        <charset val="136"/>
      </rPr>
      <t>新紡</t>
    </r>
  </si>
  <si>
    <r>
      <t xml:space="preserve"> </t>
    </r>
    <r>
      <rPr>
        <sz val="12"/>
        <color theme="1"/>
        <rFont val="標楷體"/>
        <family val="4"/>
        <charset val="136"/>
      </rPr>
      <t>利華</t>
    </r>
  </si>
  <si>
    <r>
      <t xml:space="preserve"> </t>
    </r>
    <r>
      <rPr>
        <sz val="12"/>
        <color theme="1"/>
        <rFont val="標楷體"/>
        <family val="4"/>
        <charset val="136"/>
      </rPr>
      <t>大魯閣</t>
    </r>
  </si>
  <si>
    <r>
      <t xml:space="preserve"> </t>
    </r>
    <r>
      <rPr>
        <sz val="12"/>
        <color theme="1"/>
        <rFont val="標楷體"/>
        <family val="4"/>
        <charset val="136"/>
      </rPr>
      <t>福懋</t>
    </r>
  </si>
  <si>
    <r>
      <t xml:space="preserve"> </t>
    </r>
    <r>
      <rPr>
        <sz val="12"/>
        <color theme="1"/>
        <rFont val="標楷體"/>
        <family val="4"/>
        <charset val="136"/>
      </rPr>
      <t>中福</t>
    </r>
  </si>
  <si>
    <r>
      <t xml:space="preserve"> </t>
    </r>
    <r>
      <rPr>
        <sz val="12"/>
        <color theme="1"/>
        <rFont val="標楷體"/>
        <family val="4"/>
        <charset val="136"/>
      </rPr>
      <t>華友聯</t>
    </r>
  </si>
  <si>
    <r>
      <t xml:space="preserve"> </t>
    </r>
    <r>
      <rPr>
        <sz val="12"/>
        <color theme="1"/>
        <rFont val="標楷體"/>
        <family val="4"/>
        <charset val="136"/>
      </rPr>
      <t>勤益控</t>
    </r>
  </si>
  <si>
    <r>
      <t xml:space="preserve"> </t>
    </r>
    <r>
      <rPr>
        <sz val="12"/>
        <color theme="1"/>
        <rFont val="標楷體"/>
        <family val="4"/>
        <charset val="136"/>
      </rPr>
      <t>三地開發</t>
    </r>
  </si>
  <si>
    <r>
      <t xml:space="preserve"> </t>
    </r>
    <r>
      <rPr>
        <sz val="12"/>
        <color theme="1"/>
        <rFont val="標楷體"/>
        <family val="4"/>
        <charset val="136"/>
      </rPr>
      <t>雋揚</t>
    </r>
  </si>
  <si>
    <r>
      <t xml:space="preserve"> </t>
    </r>
    <r>
      <rPr>
        <sz val="12"/>
        <color theme="1"/>
        <rFont val="標楷體"/>
        <family val="4"/>
        <charset val="136"/>
      </rPr>
      <t>南紡</t>
    </r>
  </si>
  <si>
    <r>
      <t xml:space="preserve"> </t>
    </r>
    <r>
      <rPr>
        <sz val="12"/>
        <color theme="1"/>
        <rFont val="標楷體"/>
        <family val="4"/>
        <charset val="136"/>
      </rPr>
      <t>大東</t>
    </r>
  </si>
  <si>
    <r>
      <t xml:space="preserve"> </t>
    </r>
    <r>
      <rPr>
        <sz val="12"/>
        <color theme="1"/>
        <rFont val="標楷體"/>
        <family val="4"/>
        <charset val="136"/>
      </rPr>
      <t>名軒</t>
    </r>
  </si>
  <si>
    <r>
      <t xml:space="preserve"> </t>
    </r>
    <r>
      <rPr>
        <sz val="12"/>
        <color theme="1"/>
        <rFont val="標楷體"/>
        <family val="4"/>
        <charset val="136"/>
      </rPr>
      <t>立益物流</t>
    </r>
  </si>
  <si>
    <r>
      <t xml:space="preserve"> </t>
    </r>
    <r>
      <rPr>
        <sz val="12"/>
        <color theme="1"/>
        <rFont val="標楷體"/>
        <family val="4"/>
        <charset val="136"/>
      </rPr>
      <t>力麗</t>
    </r>
  </si>
  <si>
    <r>
      <t xml:space="preserve"> </t>
    </r>
    <r>
      <rPr>
        <sz val="12"/>
        <color theme="1"/>
        <rFont val="標楷體"/>
        <family val="4"/>
        <charset val="136"/>
      </rPr>
      <t>大宇</t>
    </r>
  </si>
  <si>
    <r>
      <t xml:space="preserve"> </t>
    </r>
    <r>
      <rPr>
        <sz val="12"/>
        <color theme="1"/>
        <rFont val="標楷體"/>
        <family val="4"/>
        <charset val="136"/>
      </rPr>
      <t>宏和</t>
    </r>
  </si>
  <si>
    <r>
      <t xml:space="preserve"> </t>
    </r>
    <r>
      <rPr>
        <sz val="12"/>
        <color theme="1"/>
        <rFont val="標楷體"/>
        <family val="4"/>
        <charset val="136"/>
      </rPr>
      <t>力鵬</t>
    </r>
  </si>
  <si>
    <r>
      <t xml:space="preserve"> </t>
    </r>
    <r>
      <rPr>
        <sz val="12"/>
        <color theme="1"/>
        <rFont val="標楷體"/>
        <family val="4"/>
        <charset val="136"/>
      </rPr>
      <t>佳和</t>
    </r>
  </si>
  <si>
    <r>
      <t xml:space="preserve"> </t>
    </r>
    <r>
      <rPr>
        <sz val="12"/>
        <color theme="1"/>
        <rFont val="標楷體"/>
        <family val="4"/>
        <charset val="136"/>
      </rPr>
      <t>年興</t>
    </r>
  </si>
  <si>
    <r>
      <t xml:space="preserve"> </t>
    </r>
    <r>
      <rPr>
        <sz val="12"/>
        <color theme="1"/>
        <rFont val="標楷體"/>
        <family val="4"/>
        <charset val="136"/>
      </rPr>
      <t>宏益</t>
    </r>
  </si>
  <si>
    <r>
      <t xml:space="preserve"> </t>
    </r>
    <r>
      <rPr>
        <sz val="12"/>
        <color theme="1"/>
        <rFont val="標楷體"/>
        <family val="4"/>
        <charset val="136"/>
      </rPr>
      <t>大將</t>
    </r>
  </si>
  <si>
    <r>
      <t xml:space="preserve"> </t>
    </r>
    <r>
      <rPr>
        <sz val="12"/>
        <color theme="1"/>
        <rFont val="標楷體"/>
        <family val="4"/>
        <charset val="136"/>
      </rPr>
      <t>台富</t>
    </r>
  </si>
  <si>
    <r>
      <t xml:space="preserve"> </t>
    </r>
    <r>
      <rPr>
        <sz val="12"/>
        <color theme="1"/>
        <rFont val="標楷體"/>
        <family val="4"/>
        <charset val="136"/>
      </rPr>
      <t>集盛</t>
    </r>
  </si>
  <si>
    <r>
      <t xml:space="preserve"> </t>
    </r>
    <r>
      <rPr>
        <sz val="12"/>
        <color theme="1"/>
        <rFont val="標楷體"/>
        <family val="4"/>
        <charset val="136"/>
      </rPr>
      <t>怡華</t>
    </r>
  </si>
  <si>
    <r>
      <t xml:space="preserve"> </t>
    </r>
    <r>
      <rPr>
        <sz val="12"/>
        <color theme="1"/>
        <rFont val="標楷體"/>
        <family val="4"/>
        <charset val="136"/>
      </rPr>
      <t>宜進</t>
    </r>
  </si>
  <si>
    <r>
      <t xml:space="preserve"> </t>
    </r>
    <r>
      <rPr>
        <sz val="12"/>
        <color theme="1"/>
        <rFont val="標楷體"/>
        <family val="4"/>
        <charset val="136"/>
      </rPr>
      <t>聯發</t>
    </r>
  </si>
  <si>
    <r>
      <t xml:space="preserve"> </t>
    </r>
    <r>
      <rPr>
        <sz val="12"/>
        <color theme="1"/>
        <rFont val="標楷體"/>
        <family val="4"/>
        <charset val="136"/>
      </rPr>
      <t>宏遠</t>
    </r>
  </si>
  <si>
    <r>
      <t xml:space="preserve"> </t>
    </r>
    <r>
      <rPr>
        <sz val="12"/>
        <color theme="1"/>
        <rFont val="標楷體"/>
        <family val="4"/>
        <charset val="136"/>
      </rPr>
      <t>強盛</t>
    </r>
  </si>
  <si>
    <r>
      <t xml:space="preserve"> </t>
    </r>
    <r>
      <rPr>
        <sz val="12"/>
        <color theme="1"/>
        <rFont val="標楷體"/>
        <family val="4"/>
        <charset val="136"/>
      </rPr>
      <t>得力</t>
    </r>
  </si>
  <si>
    <r>
      <t xml:space="preserve"> </t>
    </r>
    <r>
      <rPr>
        <sz val="12"/>
        <color theme="1"/>
        <rFont val="標楷體"/>
        <family val="4"/>
        <charset val="136"/>
      </rPr>
      <t>偉全</t>
    </r>
  </si>
  <si>
    <r>
      <t xml:space="preserve"> </t>
    </r>
    <r>
      <rPr>
        <sz val="12"/>
        <color theme="1"/>
        <rFont val="標楷體"/>
        <family val="4"/>
        <charset val="136"/>
      </rPr>
      <t>聚隆</t>
    </r>
  </si>
  <si>
    <r>
      <t xml:space="preserve"> </t>
    </r>
    <r>
      <rPr>
        <sz val="12"/>
        <color theme="1"/>
        <rFont val="標楷體"/>
        <family val="4"/>
        <charset val="136"/>
      </rPr>
      <t>南緯</t>
    </r>
  </si>
  <si>
    <r>
      <t xml:space="preserve"> </t>
    </r>
    <r>
      <rPr>
        <sz val="12"/>
        <color theme="1"/>
        <rFont val="標楷體"/>
        <family val="4"/>
        <charset val="136"/>
      </rPr>
      <t>昶和</t>
    </r>
  </si>
  <si>
    <r>
      <t xml:space="preserve"> </t>
    </r>
    <r>
      <rPr>
        <sz val="12"/>
        <color theme="1"/>
        <rFont val="標楷體"/>
        <family val="4"/>
        <charset val="136"/>
      </rPr>
      <t>大統新創</t>
    </r>
  </si>
  <si>
    <r>
      <t xml:space="preserve"> </t>
    </r>
    <r>
      <rPr>
        <sz val="12"/>
        <color theme="1"/>
        <rFont val="標楷體"/>
        <family val="4"/>
        <charset val="136"/>
      </rPr>
      <t>首利</t>
    </r>
  </si>
  <si>
    <r>
      <t xml:space="preserve"> </t>
    </r>
    <r>
      <rPr>
        <sz val="12"/>
        <color theme="1"/>
        <rFont val="標楷體"/>
        <family val="4"/>
        <charset val="136"/>
      </rPr>
      <t>三洋實業</t>
    </r>
  </si>
  <si>
    <r>
      <t xml:space="preserve"> </t>
    </r>
    <r>
      <rPr>
        <sz val="12"/>
        <color theme="1"/>
        <rFont val="標楷體"/>
        <family val="4"/>
        <charset val="136"/>
      </rPr>
      <t>台南</t>
    </r>
  </si>
  <si>
    <r>
      <t xml:space="preserve"> </t>
    </r>
    <r>
      <rPr>
        <sz val="12"/>
        <color theme="1"/>
        <rFont val="標楷體"/>
        <family val="4"/>
        <charset val="136"/>
      </rPr>
      <t>弘裕</t>
    </r>
  </si>
  <si>
    <r>
      <t xml:space="preserve"> </t>
    </r>
    <r>
      <rPr>
        <sz val="12"/>
        <color theme="1"/>
        <rFont val="標楷體"/>
        <family val="4"/>
        <charset val="136"/>
      </rPr>
      <t>業旺</t>
    </r>
  </si>
  <si>
    <r>
      <t xml:space="preserve"> </t>
    </r>
    <r>
      <rPr>
        <sz val="12"/>
        <color theme="1"/>
        <rFont val="標楷體"/>
        <family val="4"/>
        <charset val="136"/>
      </rPr>
      <t>儒鴻</t>
    </r>
  </si>
  <si>
    <r>
      <t xml:space="preserve"> </t>
    </r>
    <r>
      <rPr>
        <sz val="12"/>
        <color theme="1"/>
        <rFont val="標楷體"/>
        <family val="4"/>
        <charset val="136"/>
      </rPr>
      <t>聚陽</t>
    </r>
  </si>
  <si>
    <r>
      <t xml:space="preserve"> </t>
    </r>
    <r>
      <rPr>
        <sz val="12"/>
        <color theme="1"/>
        <rFont val="標楷體"/>
        <family val="4"/>
        <charset val="136"/>
      </rPr>
      <t>士電</t>
    </r>
  </si>
  <si>
    <r>
      <t xml:space="preserve"> </t>
    </r>
    <r>
      <rPr>
        <sz val="12"/>
        <color theme="1"/>
        <rFont val="標楷體"/>
        <family val="4"/>
        <charset val="136"/>
      </rPr>
      <t>東元</t>
    </r>
  </si>
  <si>
    <r>
      <t xml:space="preserve"> </t>
    </r>
    <r>
      <rPr>
        <sz val="12"/>
        <color theme="1"/>
        <rFont val="標楷體"/>
        <family val="4"/>
        <charset val="136"/>
      </rPr>
      <t>正道</t>
    </r>
  </si>
  <si>
    <r>
      <t xml:space="preserve"> </t>
    </r>
    <r>
      <rPr>
        <sz val="12"/>
        <color theme="1"/>
        <rFont val="標楷體"/>
        <family val="4"/>
        <charset val="136"/>
      </rPr>
      <t>瑞利</t>
    </r>
  </si>
  <si>
    <r>
      <t xml:space="preserve"> </t>
    </r>
    <r>
      <rPr>
        <sz val="12"/>
        <color theme="1"/>
        <rFont val="標楷體"/>
        <family val="4"/>
        <charset val="136"/>
      </rPr>
      <t>中興電</t>
    </r>
  </si>
  <si>
    <r>
      <t xml:space="preserve"> </t>
    </r>
    <r>
      <rPr>
        <sz val="12"/>
        <color theme="1"/>
        <rFont val="標楷體"/>
        <family val="4"/>
        <charset val="136"/>
      </rPr>
      <t>亞力</t>
    </r>
  </si>
  <si>
    <r>
      <t xml:space="preserve"> </t>
    </r>
    <r>
      <rPr>
        <sz val="12"/>
        <color theme="1"/>
        <rFont val="標楷體"/>
        <family val="4"/>
        <charset val="136"/>
      </rPr>
      <t>力山</t>
    </r>
  </si>
  <si>
    <r>
      <t xml:space="preserve"> </t>
    </r>
    <r>
      <rPr>
        <sz val="12"/>
        <color theme="1"/>
        <rFont val="標楷體"/>
        <family val="4"/>
        <charset val="136"/>
      </rPr>
      <t>川飛</t>
    </r>
  </si>
  <si>
    <r>
      <t xml:space="preserve"> </t>
    </r>
    <r>
      <rPr>
        <sz val="12"/>
        <color theme="1"/>
        <rFont val="標楷體"/>
        <family val="4"/>
        <charset val="136"/>
      </rPr>
      <t>利奇</t>
    </r>
  </si>
  <si>
    <r>
      <t xml:space="preserve"> </t>
    </r>
    <r>
      <rPr>
        <sz val="12"/>
        <color theme="1"/>
        <rFont val="標楷體"/>
        <family val="4"/>
        <charset val="136"/>
      </rPr>
      <t>華城</t>
    </r>
  </si>
  <si>
    <r>
      <t xml:space="preserve"> </t>
    </r>
    <r>
      <rPr>
        <sz val="12"/>
        <color theme="1"/>
        <rFont val="標楷體"/>
        <family val="4"/>
        <charset val="136"/>
      </rPr>
      <t>大億</t>
    </r>
  </si>
  <si>
    <r>
      <t xml:space="preserve"> </t>
    </r>
    <r>
      <rPr>
        <sz val="12"/>
        <color theme="1"/>
        <rFont val="標楷體"/>
        <family val="4"/>
        <charset val="136"/>
      </rPr>
      <t>堤維西</t>
    </r>
  </si>
  <si>
    <r>
      <t xml:space="preserve"> </t>
    </r>
    <r>
      <rPr>
        <sz val="12"/>
        <color theme="1"/>
        <rFont val="標楷體"/>
        <family val="4"/>
        <charset val="136"/>
      </rPr>
      <t>耿鼎</t>
    </r>
  </si>
  <si>
    <r>
      <t xml:space="preserve"> </t>
    </r>
    <r>
      <rPr>
        <sz val="12"/>
        <color theme="1"/>
        <rFont val="標楷體"/>
        <family val="4"/>
        <charset val="136"/>
      </rPr>
      <t>江申</t>
    </r>
  </si>
  <si>
    <r>
      <t xml:space="preserve"> </t>
    </r>
    <r>
      <rPr>
        <sz val="12"/>
        <color theme="1"/>
        <rFont val="標楷體"/>
        <family val="4"/>
        <charset val="136"/>
      </rPr>
      <t>日馳</t>
    </r>
  </si>
  <si>
    <r>
      <t xml:space="preserve"> </t>
    </r>
    <r>
      <rPr>
        <sz val="12"/>
        <color theme="1"/>
        <rFont val="標楷體"/>
        <family val="4"/>
        <charset val="136"/>
      </rPr>
      <t>鑽全</t>
    </r>
  </si>
  <si>
    <r>
      <t xml:space="preserve"> </t>
    </r>
    <r>
      <rPr>
        <sz val="12"/>
        <color theme="1"/>
        <rFont val="標楷體"/>
        <family val="4"/>
        <charset val="136"/>
      </rPr>
      <t>恩德</t>
    </r>
  </si>
  <si>
    <r>
      <t xml:space="preserve"> </t>
    </r>
    <r>
      <rPr>
        <sz val="12"/>
        <color theme="1"/>
        <rFont val="標楷體"/>
        <family val="4"/>
        <charset val="136"/>
      </rPr>
      <t>樂事綠能</t>
    </r>
  </si>
  <si>
    <r>
      <t xml:space="preserve"> </t>
    </r>
    <r>
      <rPr>
        <sz val="12"/>
        <color theme="1"/>
        <rFont val="標楷體"/>
        <family val="4"/>
        <charset val="136"/>
      </rPr>
      <t>亞崴</t>
    </r>
  </si>
  <si>
    <r>
      <t xml:space="preserve"> </t>
    </r>
    <r>
      <rPr>
        <sz val="12"/>
        <color theme="1"/>
        <rFont val="標楷體"/>
        <family val="4"/>
        <charset val="136"/>
      </rPr>
      <t>高林股</t>
    </r>
  </si>
  <si>
    <r>
      <t xml:space="preserve"> </t>
    </r>
    <r>
      <rPr>
        <sz val="12"/>
        <color theme="1"/>
        <rFont val="標楷體"/>
        <family val="4"/>
        <charset val="136"/>
      </rPr>
      <t>勤美</t>
    </r>
  </si>
  <si>
    <r>
      <t xml:space="preserve"> </t>
    </r>
    <r>
      <rPr>
        <sz val="12"/>
        <color theme="1"/>
        <rFont val="標楷體"/>
        <family val="4"/>
        <charset val="136"/>
      </rPr>
      <t>車王電</t>
    </r>
  </si>
  <si>
    <r>
      <t xml:space="preserve"> </t>
    </r>
    <r>
      <rPr>
        <sz val="12"/>
        <color theme="1"/>
        <rFont val="標楷體"/>
        <family val="4"/>
        <charset val="136"/>
      </rPr>
      <t>中宇</t>
    </r>
  </si>
  <si>
    <r>
      <t xml:space="preserve"> </t>
    </r>
    <r>
      <rPr>
        <sz val="12"/>
        <color theme="1"/>
        <rFont val="標楷體"/>
        <family val="4"/>
        <charset val="136"/>
      </rPr>
      <t>和大</t>
    </r>
  </si>
  <si>
    <r>
      <t xml:space="preserve"> </t>
    </r>
    <r>
      <rPr>
        <sz val="12"/>
        <color theme="1"/>
        <rFont val="標楷體"/>
        <family val="4"/>
        <charset val="136"/>
      </rPr>
      <t>廣隆</t>
    </r>
  </si>
  <si>
    <r>
      <t xml:space="preserve"> </t>
    </r>
    <r>
      <rPr>
        <sz val="12"/>
        <color theme="1"/>
        <rFont val="標楷體"/>
        <family val="4"/>
        <charset val="136"/>
      </rPr>
      <t>正峰</t>
    </r>
  </si>
  <si>
    <r>
      <t xml:space="preserve"> </t>
    </r>
    <r>
      <rPr>
        <sz val="12"/>
        <color theme="1"/>
        <rFont val="標楷體"/>
        <family val="4"/>
        <charset val="136"/>
      </rPr>
      <t>巨庭</t>
    </r>
  </si>
  <si>
    <r>
      <t xml:space="preserve"> </t>
    </r>
    <r>
      <rPr>
        <sz val="12"/>
        <color theme="1"/>
        <rFont val="標楷體"/>
        <family val="4"/>
        <charset val="136"/>
      </rPr>
      <t>喬福</t>
    </r>
  </si>
  <si>
    <r>
      <t xml:space="preserve"> </t>
    </r>
    <r>
      <rPr>
        <sz val="12"/>
        <color theme="1"/>
        <rFont val="標楷體"/>
        <family val="4"/>
        <charset val="136"/>
      </rPr>
      <t>錩泰</t>
    </r>
  </si>
  <si>
    <r>
      <t xml:space="preserve"> </t>
    </r>
    <r>
      <rPr>
        <sz val="12"/>
        <color theme="1"/>
        <rFont val="標楷體"/>
        <family val="4"/>
        <charset val="136"/>
      </rPr>
      <t>伸興</t>
    </r>
  </si>
  <si>
    <r>
      <t xml:space="preserve"> </t>
    </r>
    <r>
      <rPr>
        <sz val="12"/>
        <color theme="1"/>
        <rFont val="標楷體"/>
        <family val="4"/>
        <charset val="136"/>
      </rPr>
      <t>中砂</t>
    </r>
  </si>
  <si>
    <r>
      <t xml:space="preserve"> </t>
    </r>
    <r>
      <rPr>
        <sz val="12"/>
        <color theme="1"/>
        <rFont val="標楷體"/>
        <family val="4"/>
        <charset val="136"/>
      </rPr>
      <t>倉佑</t>
    </r>
  </si>
  <si>
    <r>
      <t xml:space="preserve"> </t>
    </r>
    <r>
      <rPr>
        <sz val="12"/>
        <color theme="1"/>
        <rFont val="標楷體"/>
        <family val="4"/>
        <charset val="136"/>
      </rPr>
      <t>信錦</t>
    </r>
  </si>
  <si>
    <r>
      <t xml:space="preserve"> </t>
    </r>
    <r>
      <rPr>
        <sz val="12"/>
        <color theme="1"/>
        <rFont val="標楷體"/>
        <family val="4"/>
        <charset val="136"/>
      </rPr>
      <t>程泰</t>
    </r>
  </si>
  <si>
    <r>
      <t xml:space="preserve"> </t>
    </r>
    <r>
      <rPr>
        <sz val="12"/>
        <color theme="1"/>
        <rFont val="標楷體"/>
        <family val="4"/>
        <charset val="136"/>
      </rPr>
      <t>吉茂</t>
    </r>
  </si>
  <si>
    <r>
      <t xml:space="preserve"> </t>
    </r>
    <r>
      <rPr>
        <sz val="12"/>
        <color theme="1"/>
        <rFont val="標楷體"/>
        <family val="4"/>
        <charset val="136"/>
      </rPr>
      <t>永冠</t>
    </r>
    <r>
      <rPr>
        <sz val="12"/>
        <color theme="1"/>
        <rFont val="Times New Roman"/>
        <family val="1"/>
      </rPr>
      <t>-KY</t>
    </r>
  </si>
  <si>
    <r>
      <t xml:space="preserve"> </t>
    </r>
    <r>
      <rPr>
        <sz val="12"/>
        <color theme="1"/>
        <rFont val="標楷體"/>
        <family val="4"/>
        <charset val="136"/>
      </rPr>
      <t>亞德客</t>
    </r>
    <r>
      <rPr>
        <sz val="12"/>
        <color theme="1"/>
        <rFont val="Times New Roman"/>
        <family val="1"/>
      </rPr>
      <t>-KY</t>
    </r>
  </si>
  <si>
    <r>
      <t xml:space="preserve"> </t>
    </r>
    <r>
      <rPr>
        <sz val="12"/>
        <color theme="1"/>
        <rFont val="標楷體"/>
        <family val="4"/>
        <charset val="136"/>
      </rPr>
      <t>直得</t>
    </r>
  </si>
  <si>
    <r>
      <t xml:space="preserve"> </t>
    </r>
    <r>
      <rPr>
        <sz val="12"/>
        <color theme="1"/>
        <rFont val="標楷體"/>
        <family val="4"/>
        <charset val="136"/>
      </rPr>
      <t>岱宇</t>
    </r>
  </si>
  <si>
    <r>
      <t xml:space="preserve"> </t>
    </r>
    <r>
      <rPr>
        <sz val="12"/>
        <color theme="1"/>
        <rFont val="標楷體"/>
        <family val="4"/>
        <charset val="136"/>
      </rPr>
      <t>華電</t>
    </r>
  </si>
  <si>
    <r>
      <t xml:space="preserve"> </t>
    </r>
    <r>
      <rPr>
        <sz val="12"/>
        <color theme="1"/>
        <rFont val="標楷體"/>
        <family val="4"/>
        <charset val="136"/>
      </rPr>
      <t>聲寶</t>
    </r>
  </si>
  <si>
    <r>
      <t xml:space="preserve"> </t>
    </r>
    <r>
      <rPr>
        <sz val="12"/>
        <color theme="1"/>
        <rFont val="標楷體"/>
        <family val="4"/>
        <charset val="136"/>
      </rPr>
      <t>華新</t>
    </r>
  </si>
  <si>
    <r>
      <t xml:space="preserve"> </t>
    </r>
    <r>
      <rPr>
        <sz val="12"/>
        <color theme="1"/>
        <rFont val="標楷體"/>
        <family val="4"/>
        <charset val="136"/>
      </rPr>
      <t>華榮</t>
    </r>
  </si>
  <si>
    <r>
      <t xml:space="preserve"> </t>
    </r>
    <r>
      <rPr>
        <sz val="12"/>
        <color theme="1"/>
        <rFont val="標楷體"/>
        <family val="4"/>
        <charset val="136"/>
      </rPr>
      <t>大亞</t>
    </r>
  </si>
  <si>
    <r>
      <t xml:space="preserve"> </t>
    </r>
    <r>
      <rPr>
        <sz val="12"/>
        <color theme="1"/>
        <rFont val="標楷體"/>
        <family val="4"/>
        <charset val="136"/>
      </rPr>
      <t>中電</t>
    </r>
  </si>
  <si>
    <r>
      <t xml:space="preserve"> </t>
    </r>
    <r>
      <rPr>
        <sz val="12"/>
        <color theme="1"/>
        <rFont val="標楷體"/>
        <family val="4"/>
        <charset val="136"/>
      </rPr>
      <t>宏泰</t>
    </r>
  </si>
  <si>
    <r>
      <t xml:space="preserve"> </t>
    </r>
    <r>
      <rPr>
        <sz val="12"/>
        <color theme="1"/>
        <rFont val="標楷體"/>
        <family val="4"/>
        <charset val="136"/>
      </rPr>
      <t>三洋電</t>
    </r>
  </si>
  <si>
    <r>
      <t xml:space="preserve"> </t>
    </r>
    <r>
      <rPr>
        <sz val="12"/>
        <color theme="1"/>
        <rFont val="標楷體"/>
        <family val="4"/>
        <charset val="136"/>
      </rPr>
      <t>大山</t>
    </r>
  </si>
  <si>
    <r>
      <t xml:space="preserve"> </t>
    </r>
    <r>
      <rPr>
        <sz val="12"/>
        <color theme="1"/>
        <rFont val="標楷體"/>
        <family val="4"/>
        <charset val="136"/>
      </rPr>
      <t>億泰</t>
    </r>
  </si>
  <si>
    <r>
      <t xml:space="preserve"> </t>
    </r>
    <r>
      <rPr>
        <sz val="12"/>
        <color theme="1"/>
        <rFont val="標楷體"/>
        <family val="4"/>
        <charset val="136"/>
      </rPr>
      <t>榮星</t>
    </r>
  </si>
  <si>
    <r>
      <t xml:space="preserve"> </t>
    </r>
    <r>
      <rPr>
        <sz val="12"/>
        <color theme="1"/>
        <rFont val="標楷體"/>
        <family val="4"/>
        <charset val="136"/>
      </rPr>
      <t>合機</t>
    </r>
  </si>
  <si>
    <r>
      <t xml:space="preserve"> </t>
    </r>
    <r>
      <rPr>
        <sz val="12"/>
        <color theme="1"/>
        <rFont val="標楷體"/>
        <family val="4"/>
        <charset val="136"/>
      </rPr>
      <t>艾美特</t>
    </r>
    <r>
      <rPr>
        <sz val="12"/>
        <color theme="1"/>
        <rFont val="Times New Roman"/>
        <family val="1"/>
      </rPr>
      <t>-KY</t>
    </r>
  </si>
  <si>
    <r>
      <t xml:space="preserve"> </t>
    </r>
    <r>
      <rPr>
        <sz val="12"/>
        <color theme="1"/>
        <rFont val="標楷體"/>
        <family val="4"/>
        <charset val="136"/>
      </rPr>
      <t>中化</t>
    </r>
  </si>
  <si>
    <r>
      <t xml:space="preserve"> </t>
    </r>
    <r>
      <rPr>
        <sz val="12"/>
        <color theme="1"/>
        <rFont val="標楷體"/>
        <family val="4"/>
        <charset val="136"/>
      </rPr>
      <t>南僑</t>
    </r>
  </si>
  <si>
    <r>
      <t xml:space="preserve"> </t>
    </r>
    <r>
      <rPr>
        <sz val="12"/>
        <color theme="1"/>
        <rFont val="標楷體"/>
        <family val="4"/>
        <charset val="136"/>
      </rPr>
      <t>葡萄王</t>
    </r>
  </si>
  <si>
    <r>
      <t xml:space="preserve"> </t>
    </r>
    <r>
      <rPr>
        <sz val="12"/>
        <color theme="1"/>
        <rFont val="標楷體"/>
        <family val="4"/>
        <charset val="136"/>
      </rPr>
      <t>東鹼</t>
    </r>
  </si>
  <si>
    <r>
      <t xml:space="preserve"> </t>
    </r>
    <r>
      <rPr>
        <sz val="12"/>
        <color theme="1"/>
        <rFont val="標楷體"/>
        <family val="4"/>
        <charset val="136"/>
      </rPr>
      <t>和益</t>
    </r>
  </si>
  <si>
    <r>
      <t xml:space="preserve"> </t>
    </r>
    <r>
      <rPr>
        <sz val="12"/>
        <color theme="1"/>
        <rFont val="標楷體"/>
        <family val="4"/>
        <charset val="136"/>
      </rPr>
      <t>東聯</t>
    </r>
  </si>
  <si>
    <r>
      <t xml:space="preserve"> </t>
    </r>
    <r>
      <rPr>
        <sz val="12"/>
        <color theme="1"/>
        <rFont val="標楷體"/>
        <family val="4"/>
        <charset val="136"/>
      </rPr>
      <t>永光</t>
    </r>
  </si>
  <si>
    <r>
      <t xml:space="preserve"> </t>
    </r>
    <r>
      <rPr>
        <sz val="12"/>
        <color theme="1"/>
        <rFont val="標楷體"/>
        <family val="4"/>
        <charset val="136"/>
      </rPr>
      <t>興農</t>
    </r>
  </si>
  <si>
    <r>
      <t xml:space="preserve"> </t>
    </r>
    <r>
      <rPr>
        <sz val="12"/>
        <color theme="1"/>
        <rFont val="標楷體"/>
        <family val="4"/>
        <charset val="136"/>
      </rPr>
      <t>國化</t>
    </r>
  </si>
  <si>
    <r>
      <t xml:space="preserve"> </t>
    </r>
    <r>
      <rPr>
        <sz val="12"/>
        <color theme="1"/>
        <rFont val="標楷體"/>
        <family val="4"/>
        <charset val="136"/>
      </rPr>
      <t>和桐</t>
    </r>
  </si>
  <si>
    <r>
      <t xml:space="preserve"> </t>
    </r>
    <r>
      <rPr>
        <sz val="12"/>
        <color theme="1"/>
        <rFont val="標楷體"/>
        <family val="4"/>
        <charset val="136"/>
      </rPr>
      <t>長興</t>
    </r>
  </si>
  <si>
    <r>
      <t xml:space="preserve"> </t>
    </r>
    <r>
      <rPr>
        <sz val="12"/>
        <color theme="1"/>
        <rFont val="標楷體"/>
        <family val="4"/>
        <charset val="136"/>
      </rPr>
      <t>中纖</t>
    </r>
  </si>
  <si>
    <r>
      <t xml:space="preserve"> </t>
    </r>
    <r>
      <rPr>
        <sz val="12"/>
        <color theme="1"/>
        <rFont val="標楷體"/>
        <family val="4"/>
        <charset val="136"/>
      </rPr>
      <t>生達</t>
    </r>
  </si>
  <si>
    <r>
      <t xml:space="preserve"> </t>
    </r>
    <r>
      <rPr>
        <sz val="12"/>
        <color theme="1"/>
        <rFont val="標楷體"/>
        <family val="4"/>
        <charset val="136"/>
      </rPr>
      <t>三晃</t>
    </r>
  </si>
  <si>
    <r>
      <t xml:space="preserve"> </t>
    </r>
    <r>
      <rPr>
        <sz val="12"/>
        <color theme="1"/>
        <rFont val="標楷體"/>
        <family val="4"/>
        <charset val="136"/>
      </rPr>
      <t>台肥</t>
    </r>
  </si>
  <si>
    <r>
      <t xml:space="preserve"> </t>
    </r>
    <r>
      <rPr>
        <sz val="12"/>
        <color theme="1"/>
        <rFont val="標楷體"/>
        <family val="4"/>
        <charset val="136"/>
      </rPr>
      <t>中碳</t>
    </r>
  </si>
  <si>
    <r>
      <t xml:space="preserve"> </t>
    </r>
    <r>
      <rPr>
        <sz val="12"/>
        <color theme="1"/>
        <rFont val="標楷體"/>
        <family val="4"/>
        <charset val="136"/>
      </rPr>
      <t>元禎</t>
    </r>
  </si>
  <si>
    <r>
      <t xml:space="preserve"> </t>
    </r>
    <r>
      <rPr>
        <sz val="12"/>
        <color theme="1"/>
        <rFont val="標楷體"/>
        <family val="4"/>
        <charset val="136"/>
      </rPr>
      <t>永記</t>
    </r>
  </si>
  <si>
    <r>
      <t xml:space="preserve"> </t>
    </r>
    <r>
      <rPr>
        <sz val="12"/>
        <color theme="1"/>
        <rFont val="標楷體"/>
        <family val="4"/>
        <charset val="136"/>
      </rPr>
      <t>中華化</t>
    </r>
  </si>
  <si>
    <r>
      <t xml:space="preserve"> </t>
    </r>
    <r>
      <rPr>
        <sz val="12"/>
        <color theme="1"/>
        <rFont val="標楷體"/>
        <family val="4"/>
        <charset val="136"/>
      </rPr>
      <t>花仙子</t>
    </r>
  </si>
  <si>
    <r>
      <t xml:space="preserve"> </t>
    </r>
    <r>
      <rPr>
        <sz val="12"/>
        <color theme="1"/>
        <rFont val="標楷體"/>
        <family val="4"/>
        <charset val="136"/>
      </rPr>
      <t>美吾華</t>
    </r>
  </si>
  <si>
    <r>
      <t xml:space="preserve"> </t>
    </r>
    <r>
      <rPr>
        <sz val="12"/>
        <color theme="1"/>
        <rFont val="標楷體"/>
        <family val="4"/>
        <charset val="136"/>
      </rPr>
      <t>毛寶</t>
    </r>
  </si>
  <si>
    <r>
      <t xml:space="preserve"> </t>
    </r>
    <r>
      <rPr>
        <sz val="12"/>
        <color theme="1"/>
        <rFont val="標楷體"/>
        <family val="4"/>
        <charset val="136"/>
      </rPr>
      <t>五鼎</t>
    </r>
  </si>
  <si>
    <r>
      <t xml:space="preserve"> </t>
    </r>
    <r>
      <rPr>
        <sz val="12"/>
        <color theme="1"/>
        <rFont val="標楷體"/>
        <family val="4"/>
        <charset val="136"/>
      </rPr>
      <t>杏輝</t>
    </r>
  </si>
  <si>
    <r>
      <t xml:space="preserve"> </t>
    </r>
    <r>
      <rPr>
        <sz val="12"/>
        <color theme="1"/>
        <rFont val="標楷體"/>
        <family val="4"/>
        <charset val="136"/>
      </rPr>
      <t>日勝化</t>
    </r>
  </si>
  <si>
    <r>
      <t xml:space="preserve"> </t>
    </r>
    <r>
      <rPr>
        <sz val="12"/>
        <color theme="1"/>
        <rFont val="標楷體"/>
        <family val="4"/>
        <charset val="136"/>
      </rPr>
      <t>喬山</t>
    </r>
  </si>
  <si>
    <r>
      <t xml:space="preserve"> </t>
    </r>
    <r>
      <rPr>
        <sz val="12"/>
        <color theme="1"/>
        <rFont val="標楷體"/>
        <family val="4"/>
        <charset val="136"/>
      </rPr>
      <t>臺鹽</t>
    </r>
  </si>
  <si>
    <r>
      <t xml:space="preserve"> </t>
    </r>
    <r>
      <rPr>
        <sz val="12"/>
        <color theme="1"/>
        <rFont val="標楷體"/>
        <family val="4"/>
        <charset val="136"/>
      </rPr>
      <t>南光</t>
    </r>
  </si>
  <si>
    <r>
      <t xml:space="preserve"> </t>
    </r>
    <r>
      <rPr>
        <sz val="12"/>
        <color theme="1"/>
        <rFont val="標楷體"/>
        <family val="4"/>
        <charset val="136"/>
      </rPr>
      <t>寶齡富錦</t>
    </r>
  </si>
  <si>
    <r>
      <t xml:space="preserve"> </t>
    </r>
    <r>
      <rPr>
        <sz val="12"/>
        <color theme="1"/>
        <rFont val="標楷體"/>
        <family val="4"/>
        <charset val="136"/>
      </rPr>
      <t>中化生</t>
    </r>
  </si>
  <si>
    <r>
      <t xml:space="preserve"> </t>
    </r>
    <r>
      <rPr>
        <sz val="12"/>
        <color theme="1"/>
        <rFont val="標楷體"/>
        <family val="4"/>
        <charset val="136"/>
      </rPr>
      <t>勝一</t>
    </r>
  </si>
  <si>
    <r>
      <t xml:space="preserve"> </t>
    </r>
    <r>
      <rPr>
        <sz val="12"/>
        <color theme="1"/>
        <rFont val="標楷體"/>
        <family val="4"/>
        <charset val="136"/>
      </rPr>
      <t>展宇</t>
    </r>
  </si>
  <si>
    <r>
      <t xml:space="preserve"> </t>
    </r>
    <r>
      <rPr>
        <sz val="12"/>
        <color theme="1"/>
        <rFont val="標楷體"/>
        <family val="4"/>
        <charset val="136"/>
      </rPr>
      <t>和康生</t>
    </r>
  </si>
  <si>
    <r>
      <t xml:space="preserve"> </t>
    </r>
    <r>
      <rPr>
        <sz val="12"/>
        <color theme="1"/>
        <rFont val="標楷體"/>
        <family val="4"/>
        <charset val="136"/>
      </rPr>
      <t>科妍</t>
    </r>
  </si>
  <si>
    <r>
      <t xml:space="preserve"> </t>
    </r>
    <r>
      <rPr>
        <sz val="12"/>
        <color theme="1"/>
        <rFont val="標楷體"/>
        <family val="4"/>
        <charset val="136"/>
      </rPr>
      <t>神隆</t>
    </r>
  </si>
  <si>
    <r>
      <t xml:space="preserve"> </t>
    </r>
    <r>
      <rPr>
        <sz val="12"/>
        <color theme="1"/>
        <rFont val="標楷體"/>
        <family val="4"/>
        <charset val="136"/>
      </rPr>
      <t>美時</t>
    </r>
  </si>
  <si>
    <r>
      <t xml:space="preserve"> </t>
    </r>
    <r>
      <rPr>
        <sz val="12"/>
        <color theme="1"/>
        <rFont val="標楷體"/>
        <family val="4"/>
        <charset val="136"/>
      </rPr>
      <t>台玻</t>
    </r>
  </si>
  <si>
    <r>
      <t xml:space="preserve"> </t>
    </r>
    <r>
      <rPr>
        <sz val="12"/>
        <color theme="1"/>
        <rFont val="標楷體"/>
        <family val="4"/>
        <charset val="136"/>
      </rPr>
      <t>寶徠</t>
    </r>
  </si>
  <si>
    <r>
      <t xml:space="preserve"> </t>
    </r>
    <r>
      <rPr>
        <sz val="12"/>
        <color theme="1"/>
        <rFont val="標楷體"/>
        <family val="4"/>
        <charset val="136"/>
      </rPr>
      <t>冠軍</t>
    </r>
  </si>
  <si>
    <r>
      <t xml:space="preserve"> </t>
    </r>
    <r>
      <rPr>
        <sz val="12"/>
        <color theme="1"/>
        <rFont val="標楷體"/>
        <family val="4"/>
        <charset val="136"/>
      </rPr>
      <t>潤隆</t>
    </r>
  </si>
  <si>
    <r>
      <t xml:space="preserve"> </t>
    </r>
    <r>
      <rPr>
        <sz val="12"/>
        <color theme="1"/>
        <rFont val="標楷體"/>
        <family val="4"/>
        <charset val="136"/>
      </rPr>
      <t>中釉</t>
    </r>
  </si>
  <si>
    <r>
      <t xml:space="preserve"> </t>
    </r>
    <r>
      <rPr>
        <sz val="12"/>
        <color theme="1"/>
        <rFont val="標楷體"/>
        <family val="4"/>
        <charset val="136"/>
      </rPr>
      <t>和成</t>
    </r>
  </si>
  <si>
    <r>
      <t xml:space="preserve"> </t>
    </r>
    <r>
      <rPr>
        <sz val="12"/>
        <color theme="1"/>
        <rFont val="標楷體"/>
        <family val="4"/>
        <charset val="136"/>
      </rPr>
      <t>凱撒衛</t>
    </r>
  </si>
  <si>
    <r>
      <t xml:space="preserve"> </t>
    </r>
    <r>
      <rPr>
        <sz val="12"/>
        <color theme="1"/>
        <rFont val="標楷體"/>
        <family val="4"/>
        <charset val="136"/>
      </rPr>
      <t>士紙</t>
    </r>
  </si>
  <si>
    <r>
      <t xml:space="preserve"> </t>
    </r>
    <r>
      <rPr>
        <sz val="12"/>
        <color theme="1"/>
        <rFont val="標楷體"/>
        <family val="4"/>
        <charset val="136"/>
      </rPr>
      <t>正隆</t>
    </r>
  </si>
  <si>
    <r>
      <t xml:space="preserve"> </t>
    </r>
    <r>
      <rPr>
        <sz val="12"/>
        <color theme="1"/>
        <rFont val="標楷體"/>
        <family val="4"/>
        <charset val="136"/>
      </rPr>
      <t>華紙</t>
    </r>
  </si>
  <si>
    <r>
      <t xml:space="preserve"> </t>
    </r>
    <r>
      <rPr>
        <sz val="12"/>
        <color theme="1"/>
        <rFont val="標楷體"/>
        <family val="4"/>
        <charset val="136"/>
      </rPr>
      <t>寶隆</t>
    </r>
  </si>
  <si>
    <r>
      <t xml:space="preserve"> </t>
    </r>
    <r>
      <rPr>
        <sz val="12"/>
        <color theme="1"/>
        <rFont val="標楷體"/>
        <family val="4"/>
        <charset val="136"/>
      </rPr>
      <t>永豐餘</t>
    </r>
  </si>
  <si>
    <r>
      <t xml:space="preserve"> </t>
    </r>
    <r>
      <rPr>
        <sz val="12"/>
        <color theme="1"/>
        <rFont val="標楷體"/>
        <family val="4"/>
        <charset val="136"/>
      </rPr>
      <t>榮成</t>
    </r>
  </si>
  <si>
    <r>
      <t xml:space="preserve"> </t>
    </r>
    <r>
      <rPr>
        <sz val="12"/>
        <color theme="1"/>
        <rFont val="標楷體"/>
        <family val="4"/>
        <charset val="136"/>
      </rPr>
      <t>中鋼</t>
    </r>
  </si>
  <si>
    <r>
      <t xml:space="preserve"> </t>
    </r>
    <r>
      <rPr>
        <sz val="12"/>
        <color theme="1"/>
        <rFont val="標楷體"/>
        <family val="4"/>
        <charset val="136"/>
      </rPr>
      <t>東和鋼鐵</t>
    </r>
  </si>
  <si>
    <r>
      <t xml:space="preserve"> </t>
    </r>
    <r>
      <rPr>
        <sz val="12"/>
        <color theme="1"/>
        <rFont val="標楷體"/>
        <family val="4"/>
        <charset val="136"/>
      </rPr>
      <t>燁興</t>
    </r>
  </si>
  <si>
    <r>
      <t xml:space="preserve"> </t>
    </r>
    <r>
      <rPr>
        <sz val="12"/>
        <color theme="1"/>
        <rFont val="標楷體"/>
        <family val="4"/>
        <charset val="136"/>
      </rPr>
      <t>高興昌</t>
    </r>
  </si>
  <si>
    <r>
      <t xml:space="preserve"> </t>
    </r>
    <r>
      <rPr>
        <sz val="12"/>
        <color theme="1"/>
        <rFont val="標楷體"/>
        <family val="4"/>
        <charset val="136"/>
      </rPr>
      <t>第一銅</t>
    </r>
  </si>
  <si>
    <r>
      <t xml:space="preserve"> </t>
    </r>
    <r>
      <rPr>
        <sz val="12"/>
        <color theme="1"/>
        <rFont val="標楷體"/>
        <family val="4"/>
        <charset val="136"/>
      </rPr>
      <t>春源</t>
    </r>
  </si>
  <si>
    <r>
      <t xml:space="preserve"> </t>
    </r>
    <r>
      <rPr>
        <sz val="12"/>
        <color theme="1"/>
        <rFont val="標楷體"/>
        <family val="4"/>
        <charset val="136"/>
      </rPr>
      <t>春雨</t>
    </r>
  </si>
  <si>
    <r>
      <t xml:space="preserve"> </t>
    </r>
    <r>
      <rPr>
        <sz val="12"/>
        <color theme="1"/>
        <rFont val="標楷體"/>
        <family val="4"/>
        <charset val="136"/>
      </rPr>
      <t>中鋼構</t>
    </r>
  </si>
  <si>
    <r>
      <t xml:space="preserve"> </t>
    </r>
    <r>
      <rPr>
        <sz val="12"/>
        <color theme="1"/>
        <rFont val="標楷體"/>
        <family val="4"/>
        <charset val="136"/>
      </rPr>
      <t>中鴻</t>
    </r>
  </si>
  <si>
    <r>
      <t xml:space="preserve"> </t>
    </r>
    <r>
      <rPr>
        <sz val="12"/>
        <color theme="1"/>
        <rFont val="標楷體"/>
        <family val="4"/>
        <charset val="136"/>
      </rPr>
      <t>豐興</t>
    </r>
  </si>
  <si>
    <r>
      <t xml:space="preserve"> </t>
    </r>
    <r>
      <rPr>
        <sz val="12"/>
        <color theme="1"/>
        <rFont val="標楷體"/>
        <family val="4"/>
        <charset val="136"/>
      </rPr>
      <t>官田鋼</t>
    </r>
  </si>
  <si>
    <r>
      <t xml:space="preserve"> </t>
    </r>
    <r>
      <rPr>
        <sz val="12"/>
        <color theme="1"/>
        <rFont val="標楷體"/>
        <family val="4"/>
        <charset val="136"/>
      </rPr>
      <t>美亞</t>
    </r>
  </si>
  <si>
    <r>
      <t xml:space="preserve"> </t>
    </r>
    <r>
      <rPr>
        <sz val="12"/>
        <color theme="1"/>
        <rFont val="標楷體"/>
        <family val="4"/>
        <charset val="136"/>
      </rPr>
      <t>聚亨</t>
    </r>
  </si>
  <si>
    <r>
      <t xml:space="preserve"> </t>
    </r>
    <r>
      <rPr>
        <sz val="12"/>
        <color theme="1"/>
        <rFont val="標楷體"/>
        <family val="4"/>
        <charset val="136"/>
      </rPr>
      <t>燁輝</t>
    </r>
  </si>
  <si>
    <r>
      <t xml:space="preserve"> </t>
    </r>
    <r>
      <rPr>
        <sz val="12"/>
        <color theme="1"/>
        <rFont val="標楷體"/>
        <family val="4"/>
        <charset val="136"/>
      </rPr>
      <t>志聯</t>
    </r>
  </si>
  <si>
    <r>
      <t xml:space="preserve"> </t>
    </r>
    <r>
      <rPr>
        <sz val="12"/>
        <color theme="1"/>
        <rFont val="標楷體"/>
        <family val="4"/>
        <charset val="136"/>
      </rPr>
      <t>千興</t>
    </r>
  </si>
  <si>
    <r>
      <t xml:space="preserve"> </t>
    </r>
    <r>
      <rPr>
        <sz val="12"/>
        <color theme="1"/>
        <rFont val="標楷體"/>
        <family val="4"/>
        <charset val="136"/>
      </rPr>
      <t>大成鋼</t>
    </r>
  </si>
  <si>
    <r>
      <t xml:space="preserve"> </t>
    </r>
    <r>
      <rPr>
        <sz val="12"/>
        <color theme="1"/>
        <rFont val="標楷體"/>
        <family val="4"/>
        <charset val="136"/>
      </rPr>
      <t>威致</t>
    </r>
  </si>
  <si>
    <r>
      <t xml:space="preserve"> </t>
    </r>
    <r>
      <rPr>
        <sz val="12"/>
        <color theme="1"/>
        <rFont val="標楷體"/>
        <family val="4"/>
        <charset val="136"/>
      </rPr>
      <t>盛餘</t>
    </r>
  </si>
  <si>
    <r>
      <t xml:space="preserve"> </t>
    </r>
    <r>
      <rPr>
        <sz val="12"/>
        <color theme="1"/>
        <rFont val="標楷體"/>
        <family val="4"/>
        <charset val="136"/>
      </rPr>
      <t>彰源</t>
    </r>
  </si>
  <si>
    <r>
      <t xml:space="preserve"> </t>
    </r>
    <r>
      <rPr>
        <sz val="12"/>
        <color theme="1"/>
        <rFont val="標楷體"/>
        <family val="4"/>
        <charset val="136"/>
      </rPr>
      <t>新光鋼</t>
    </r>
  </si>
  <si>
    <r>
      <t xml:space="preserve"> </t>
    </r>
    <r>
      <rPr>
        <sz val="12"/>
        <color theme="1"/>
        <rFont val="標楷體"/>
        <family val="4"/>
        <charset val="136"/>
      </rPr>
      <t>新鋼</t>
    </r>
  </si>
  <si>
    <r>
      <t xml:space="preserve"> </t>
    </r>
    <r>
      <rPr>
        <sz val="12"/>
        <color theme="1"/>
        <rFont val="標楷體"/>
        <family val="4"/>
        <charset val="136"/>
      </rPr>
      <t>佳大</t>
    </r>
  </si>
  <si>
    <r>
      <t xml:space="preserve"> </t>
    </r>
    <r>
      <rPr>
        <sz val="12"/>
        <color theme="1"/>
        <rFont val="標楷體"/>
        <family val="4"/>
        <charset val="136"/>
      </rPr>
      <t>允強</t>
    </r>
  </si>
  <si>
    <r>
      <t xml:space="preserve"> </t>
    </r>
    <r>
      <rPr>
        <sz val="12"/>
        <color theme="1"/>
        <rFont val="標楷體"/>
        <family val="4"/>
        <charset val="136"/>
      </rPr>
      <t>海光</t>
    </r>
  </si>
  <si>
    <r>
      <t xml:space="preserve"> </t>
    </r>
    <r>
      <rPr>
        <sz val="12"/>
        <color theme="1"/>
        <rFont val="標楷體"/>
        <family val="4"/>
        <charset val="136"/>
      </rPr>
      <t>上銀</t>
    </r>
  </si>
  <si>
    <r>
      <t xml:space="preserve"> </t>
    </r>
    <r>
      <rPr>
        <sz val="12"/>
        <color theme="1"/>
        <rFont val="標楷體"/>
        <family val="4"/>
        <charset val="136"/>
      </rPr>
      <t>川湖</t>
    </r>
  </si>
  <si>
    <r>
      <t xml:space="preserve"> </t>
    </r>
    <r>
      <rPr>
        <sz val="12"/>
        <color theme="1"/>
        <rFont val="標楷體"/>
        <family val="4"/>
        <charset val="136"/>
      </rPr>
      <t>橋椿</t>
    </r>
  </si>
  <si>
    <r>
      <t xml:space="preserve"> </t>
    </r>
    <r>
      <rPr>
        <sz val="12"/>
        <color theme="1"/>
        <rFont val="標楷體"/>
        <family val="4"/>
        <charset val="136"/>
      </rPr>
      <t>運錩</t>
    </r>
  </si>
  <si>
    <r>
      <t xml:space="preserve"> </t>
    </r>
    <r>
      <rPr>
        <sz val="12"/>
        <color theme="1"/>
        <rFont val="標楷體"/>
        <family val="4"/>
        <charset val="136"/>
      </rPr>
      <t>南港</t>
    </r>
  </si>
  <si>
    <r>
      <t xml:space="preserve"> </t>
    </r>
    <r>
      <rPr>
        <sz val="12"/>
        <color theme="1"/>
        <rFont val="標楷體"/>
        <family val="4"/>
        <charset val="136"/>
      </rPr>
      <t>泰豐</t>
    </r>
  </si>
  <si>
    <r>
      <t xml:space="preserve"> </t>
    </r>
    <r>
      <rPr>
        <sz val="12"/>
        <color theme="1"/>
        <rFont val="標楷體"/>
        <family val="4"/>
        <charset val="136"/>
      </rPr>
      <t>台橡</t>
    </r>
  </si>
  <si>
    <r>
      <t xml:space="preserve"> </t>
    </r>
    <r>
      <rPr>
        <sz val="12"/>
        <color theme="1"/>
        <rFont val="標楷體"/>
        <family val="4"/>
        <charset val="136"/>
      </rPr>
      <t>國際中橡</t>
    </r>
  </si>
  <si>
    <r>
      <t xml:space="preserve"> </t>
    </r>
    <r>
      <rPr>
        <sz val="12"/>
        <color theme="1"/>
        <rFont val="標楷體"/>
        <family val="4"/>
        <charset val="136"/>
      </rPr>
      <t>正新</t>
    </r>
  </si>
  <si>
    <r>
      <t xml:space="preserve"> </t>
    </r>
    <r>
      <rPr>
        <sz val="12"/>
        <color theme="1"/>
        <rFont val="標楷體"/>
        <family val="4"/>
        <charset val="136"/>
      </rPr>
      <t>建大</t>
    </r>
  </si>
  <si>
    <r>
      <t xml:space="preserve"> </t>
    </r>
    <r>
      <rPr>
        <sz val="12"/>
        <color theme="1"/>
        <rFont val="標楷體"/>
        <family val="4"/>
        <charset val="136"/>
      </rPr>
      <t>厚生</t>
    </r>
  </si>
  <si>
    <r>
      <t xml:space="preserve"> </t>
    </r>
    <r>
      <rPr>
        <sz val="12"/>
        <color theme="1"/>
        <rFont val="標楷體"/>
        <family val="4"/>
        <charset val="136"/>
      </rPr>
      <t>南帝</t>
    </r>
  </si>
  <si>
    <r>
      <t xml:space="preserve"> </t>
    </r>
    <r>
      <rPr>
        <sz val="12"/>
        <color theme="1"/>
        <rFont val="標楷體"/>
        <family val="4"/>
        <charset val="136"/>
      </rPr>
      <t>華豐</t>
    </r>
  </si>
  <si>
    <r>
      <t xml:space="preserve"> </t>
    </r>
    <r>
      <rPr>
        <sz val="12"/>
        <color theme="1"/>
        <rFont val="標楷體"/>
        <family val="4"/>
        <charset val="136"/>
      </rPr>
      <t>鑫永銓</t>
    </r>
  </si>
  <si>
    <r>
      <t xml:space="preserve"> </t>
    </r>
    <r>
      <rPr>
        <sz val="12"/>
        <color theme="1"/>
        <rFont val="標楷體"/>
        <family val="4"/>
        <charset val="136"/>
      </rPr>
      <t>六暉</t>
    </r>
    <r>
      <rPr>
        <sz val="12"/>
        <color theme="1"/>
        <rFont val="Times New Roman"/>
        <family val="1"/>
      </rPr>
      <t>-KY</t>
    </r>
  </si>
  <si>
    <r>
      <t xml:space="preserve"> </t>
    </r>
    <r>
      <rPr>
        <sz val="12"/>
        <color theme="1"/>
        <rFont val="標楷體"/>
        <family val="4"/>
        <charset val="136"/>
      </rPr>
      <t>裕隆</t>
    </r>
  </si>
  <si>
    <r>
      <t xml:space="preserve"> </t>
    </r>
    <r>
      <rPr>
        <sz val="12"/>
        <color theme="1"/>
        <rFont val="標楷體"/>
        <family val="4"/>
        <charset val="136"/>
      </rPr>
      <t>中華</t>
    </r>
  </si>
  <si>
    <r>
      <t xml:space="preserve"> </t>
    </r>
    <r>
      <rPr>
        <sz val="12"/>
        <color theme="1"/>
        <rFont val="標楷體"/>
        <family val="4"/>
        <charset val="136"/>
      </rPr>
      <t>三陽工業</t>
    </r>
  </si>
  <si>
    <r>
      <t xml:space="preserve"> </t>
    </r>
    <r>
      <rPr>
        <sz val="12"/>
        <color theme="1"/>
        <rFont val="標楷體"/>
        <family val="4"/>
        <charset val="136"/>
      </rPr>
      <t>和泰車</t>
    </r>
  </si>
  <si>
    <r>
      <t xml:space="preserve"> </t>
    </r>
    <r>
      <rPr>
        <sz val="12"/>
        <color theme="1"/>
        <rFont val="標楷體"/>
        <family val="4"/>
        <charset val="136"/>
      </rPr>
      <t>台船</t>
    </r>
  </si>
  <si>
    <r>
      <t xml:space="preserve"> </t>
    </r>
    <r>
      <rPr>
        <sz val="12"/>
        <color theme="1"/>
        <rFont val="標楷體"/>
        <family val="4"/>
        <charset val="136"/>
      </rPr>
      <t>長榮鋼</t>
    </r>
  </si>
  <si>
    <r>
      <t xml:space="preserve"> </t>
    </r>
    <r>
      <rPr>
        <sz val="12"/>
        <color theme="1"/>
        <rFont val="標楷體"/>
        <family val="4"/>
        <charset val="136"/>
      </rPr>
      <t>裕日車</t>
    </r>
  </si>
  <si>
    <r>
      <t xml:space="preserve"> </t>
    </r>
    <r>
      <rPr>
        <sz val="12"/>
        <color theme="1"/>
        <rFont val="標楷體"/>
        <family val="4"/>
        <charset val="136"/>
      </rPr>
      <t>劍麟</t>
    </r>
  </si>
  <si>
    <r>
      <t xml:space="preserve"> </t>
    </r>
    <r>
      <rPr>
        <sz val="12"/>
        <color theme="1"/>
        <rFont val="標楷體"/>
        <family val="4"/>
        <charset val="136"/>
      </rPr>
      <t>為升</t>
    </r>
  </si>
  <si>
    <r>
      <t xml:space="preserve"> </t>
    </r>
    <r>
      <rPr>
        <sz val="12"/>
        <color theme="1"/>
        <rFont val="標楷體"/>
        <family val="4"/>
        <charset val="136"/>
      </rPr>
      <t>宇隆</t>
    </r>
  </si>
  <si>
    <r>
      <t xml:space="preserve"> </t>
    </r>
    <r>
      <rPr>
        <sz val="12"/>
        <color theme="1"/>
        <rFont val="標楷體"/>
        <family val="4"/>
        <charset val="136"/>
      </rPr>
      <t>百達</t>
    </r>
    <r>
      <rPr>
        <sz val="12"/>
        <color theme="1"/>
        <rFont val="Times New Roman"/>
        <family val="1"/>
      </rPr>
      <t>-KY</t>
    </r>
  </si>
  <si>
    <r>
      <t xml:space="preserve"> </t>
    </r>
    <r>
      <rPr>
        <sz val="12"/>
        <color theme="1"/>
        <rFont val="標楷體"/>
        <family val="4"/>
        <charset val="136"/>
      </rPr>
      <t>英利</t>
    </r>
    <r>
      <rPr>
        <sz val="12"/>
        <color theme="1"/>
        <rFont val="Times New Roman"/>
        <family val="1"/>
      </rPr>
      <t>-KY</t>
    </r>
  </si>
  <si>
    <r>
      <t xml:space="preserve"> </t>
    </r>
    <r>
      <rPr>
        <sz val="12"/>
        <color theme="1"/>
        <rFont val="標楷體"/>
        <family val="4"/>
        <charset val="136"/>
      </rPr>
      <t>艾姆勒</t>
    </r>
  </si>
  <si>
    <r>
      <t xml:space="preserve"> </t>
    </r>
    <r>
      <rPr>
        <sz val="12"/>
        <color theme="1"/>
        <rFont val="標楷體"/>
        <family val="4"/>
        <charset val="136"/>
      </rPr>
      <t>宏旭</t>
    </r>
    <r>
      <rPr>
        <sz val="12"/>
        <color theme="1"/>
        <rFont val="Times New Roman"/>
        <family val="1"/>
      </rPr>
      <t>-KY</t>
    </r>
  </si>
  <si>
    <r>
      <t xml:space="preserve"> </t>
    </r>
    <r>
      <rPr>
        <sz val="12"/>
        <color theme="1"/>
        <rFont val="標楷體"/>
        <family val="4"/>
        <charset val="136"/>
      </rPr>
      <t>汎德永業</t>
    </r>
  </si>
  <si>
    <r>
      <t xml:space="preserve"> </t>
    </r>
    <r>
      <rPr>
        <sz val="12"/>
        <color theme="1"/>
        <rFont val="標楷體"/>
        <family val="4"/>
        <charset val="136"/>
      </rPr>
      <t>光寶科</t>
    </r>
  </si>
  <si>
    <r>
      <t xml:space="preserve"> </t>
    </r>
    <r>
      <rPr>
        <sz val="12"/>
        <color theme="1"/>
        <rFont val="標楷體"/>
        <family val="4"/>
        <charset val="136"/>
      </rPr>
      <t>麗正</t>
    </r>
  </si>
  <si>
    <r>
      <t xml:space="preserve"> </t>
    </r>
    <r>
      <rPr>
        <sz val="12"/>
        <color theme="1"/>
        <rFont val="標楷體"/>
        <family val="4"/>
        <charset val="136"/>
      </rPr>
      <t>聯電</t>
    </r>
  </si>
  <si>
    <r>
      <t xml:space="preserve"> </t>
    </r>
    <r>
      <rPr>
        <sz val="12"/>
        <color theme="1"/>
        <rFont val="標楷體"/>
        <family val="4"/>
        <charset val="136"/>
      </rPr>
      <t>全友</t>
    </r>
  </si>
  <si>
    <r>
      <t xml:space="preserve"> </t>
    </r>
    <r>
      <rPr>
        <sz val="12"/>
        <color theme="1"/>
        <rFont val="標楷體"/>
        <family val="4"/>
        <charset val="136"/>
      </rPr>
      <t>台達電</t>
    </r>
  </si>
  <si>
    <r>
      <t xml:space="preserve"> </t>
    </r>
    <r>
      <rPr>
        <sz val="12"/>
        <color theme="1"/>
        <rFont val="標楷體"/>
        <family val="4"/>
        <charset val="136"/>
      </rPr>
      <t>金寶</t>
    </r>
  </si>
  <si>
    <r>
      <t xml:space="preserve"> </t>
    </r>
    <r>
      <rPr>
        <sz val="12"/>
        <color theme="1"/>
        <rFont val="標楷體"/>
        <family val="4"/>
        <charset val="136"/>
      </rPr>
      <t>華通</t>
    </r>
  </si>
  <si>
    <r>
      <t xml:space="preserve"> </t>
    </r>
    <r>
      <rPr>
        <sz val="12"/>
        <color theme="1"/>
        <rFont val="標楷體"/>
        <family val="4"/>
        <charset val="136"/>
      </rPr>
      <t>台揚</t>
    </r>
  </si>
  <si>
    <r>
      <t xml:space="preserve"> </t>
    </r>
    <r>
      <rPr>
        <sz val="12"/>
        <color theme="1"/>
        <rFont val="標楷體"/>
        <family val="4"/>
        <charset val="136"/>
      </rPr>
      <t>楠梓電</t>
    </r>
  </si>
  <si>
    <r>
      <t xml:space="preserve"> </t>
    </r>
    <r>
      <rPr>
        <sz val="12"/>
        <color theme="1"/>
        <rFont val="標楷體"/>
        <family val="4"/>
        <charset val="136"/>
      </rPr>
      <t>鴻海</t>
    </r>
  </si>
  <si>
    <r>
      <t xml:space="preserve"> </t>
    </r>
    <r>
      <rPr>
        <sz val="12"/>
        <color theme="1"/>
        <rFont val="標楷體"/>
        <family val="4"/>
        <charset val="136"/>
      </rPr>
      <t>東訊</t>
    </r>
  </si>
  <si>
    <r>
      <t xml:space="preserve"> </t>
    </r>
    <r>
      <rPr>
        <sz val="12"/>
        <color theme="1"/>
        <rFont val="標楷體"/>
        <family val="4"/>
        <charset val="136"/>
      </rPr>
      <t>中環</t>
    </r>
  </si>
  <si>
    <r>
      <t xml:space="preserve"> </t>
    </r>
    <r>
      <rPr>
        <sz val="12"/>
        <color theme="1"/>
        <rFont val="標楷體"/>
        <family val="4"/>
        <charset val="136"/>
      </rPr>
      <t>仁寶</t>
    </r>
  </si>
  <si>
    <r>
      <t xml:space="preserve"> </t>
    </r>
    <r>
      <rPr>
        <sz val="12"/>
        <color theme="1"/>
        <rFont val="標楷體"/>
        <family val="4"/>
        <charset val="136"/>
      </rPr>
      <t>國巨</t>
    </r>
  </si>
  <si>
    <r>
      <t xml:space="preserve"> </t>
    </r>
    <r>
      <rPr>
        <sz val="12"/>
        <color theme="1"/>
        <rFont val="標楷體"/>
        <family val="4"/>
        <charset val="136"/>
      </rPr>
      <t>廣宇</t>
    </r>
  </si>
  <si>
    <r>
      <t xml:space="preserve"> </t>
    </r>
    <r>
      <rPr>
        <sz val="12"/>
        <color theme="1"/>
        <rFont val="標楷體"/>
        <family val="4"/>
        <charset val="136"/>
      </rPr>
      <t>華泰</t>
    </r>
  </si>
  <si>
    <r>
      <t xml:space="preserve"> </t>
    </r>
    <r>
      <rPr>
        <sz val="12"/>
        <color theme="1"/>
        <rFont val="標楷體"/>
        <family val="4"/>
        <charset val="136"/>
      </rPr>
      <t>台積電</t>
    </r>
  </si>
  <si>
    <r>
      <t xml:space="preserve"> </t>
    </r>
    <r>
      <rPr>
        <sz val="12"/>
        <color theme="1"/>
        <rFont val="標楷體"/>
        <family val="4"/>
        <charset val="136"/>
      </rPr>
      <t>精英</t>
    </r>
  </si>
  <si>
    <r>
      <t xml:space="preserve"> </t>
    </r>
    <r>
      <rPr>
        <sz val="12"/>
        <color theme="1"/>
        <rFont val="標楷體"/>
        <family val="4"/>
        <charset val="136"/>
      </rPr>
      <t>友訊</t>
    </r>
  </si>
  <si>
    <r>
      <t xml:space="preserve"> </t>
    </r>
    <r>
      <rPr>
        <sz val="12"/>
        <color theme="1"/>
        <rFont val="標楷體"/>
        <family val="4"/>
        <charset val="136"/>
      </rPr>
      <t>旺宏</t>
    </r>
  </si>
  <si>
    <r>
      <t xml:space="preserve"> </t>
    </r>
    <r>
      <rPr>
        <sz val="12"/>
        <color theme="1"/>
        <rFont val="標楷體"/>
        <family val="4"/>
        <charset val="136"/>
      </rPr>
      <t>光罩</t>
    </r>
  </si>
  <si>
    <r>
      <t xml:space="preserve"> </t>
    </r>
    <r>
      <rPr>
        <sz val="12"/>
        <color theme="1"/>
        <rFont val="標楷體"/>
        <family val="4"/>
        <charset val="136"/>
      </rPr>
      <t>台亞</t>
    </r>
  </si>
  <si>
    <r>
      <t xml:space="preserve"> </t>
    </r>
    <r>
      <rPr>
        <sz val="12"/>
        <color theme="1"/>
        <rFont val="標楷體"/>
        <family val="4"/>
        <charset val="136"/>
      </rPr>
      <t>茂矽</t>
    </r>
  </si>
  <si>
    <r>
      <t xml:space="preserve"> </t>
    </r>
    <r>
      <rPr>
        <sz val="12"/>
        <color theme="1"/>
        <rFont val="標楷體"/>
        <family val="4"/>
        <charset val="136"/>
      </rPr>
      <t>華邦電</t>
    </r>
  </si>
  <si>
    <r>
      <t xml:space="preserve"> </t>
    </r>
    <r>
      <rPr>
        <sz val="12"/>
        <color theme="1"/>
        <rFont val="標楷體"/>
        <family val="4"/>
        <charset val="136"/>
      </rPr>
      <t>智邦</t>
    </r>
  </si>
  <si>
    <r>
      <t xml:space="preserve"> </t>
    </r>
    <r>
      <rPr>
        <sz val="12"/>
        <color theme="1"/>
        <rFont val="標楷體"/>
        <family val="4"/>
        <charset val="136"/>
      </rPr>
      <t>聯強</t>
    </r>
  </si>
  <si>
    <r>
      <t xml:space="preserve"> </t>
    </r>
    <r>
      <rPr>
        <sz val="12"/>
        <color theme="1"/>
        <rFont val="標楷體"/>
        <family val="4"/>
        <charset val="136"/>
      </rPr>
      <t>海悅</t>
    </r>
  </si>
  <si>
    <r>
      <t xml:space="preserve"> </t>
    </r>
    <r>
      <rPr>
        <sz val="12"/>
        <color theme="1"/>
        <rFont val="標楷體"/>
        <family val="4"/>
        <charset val="136"/>
      </rPr>
      <t>錸德</t>
    </r>
  </si>
  <si>
    <r>
      <t xml:space="preserve"> </t>
    </r>
    <r>
      <rPr>
        <sz val="12"/>
        <color theme="1"/>
        <rFont val="標楷體"/>
        <family val="4"/>
        <charset val="136"/>
      </rPr>
      <t>順德</t>
    </r>
  </si>
  <si>
    <r>
      <t xml:space="preserve"> </t>
    </r>
    <r>
      <rPr>
        <sz val="12"/>
        <color theme="1"/>
        <rFont val="標楷體"/>
        <family val="4"/>
        <charset val="136"/>
      </rPr>
      <t>佳世達</t>
    </r>
  </si>
  <si>
    <r>
      <t xml:space="preserve"> </t>
    </r>
    <r>
      <rPr>
        <sz val="12"/>
        <color theme="1"/>
        <rFont val="標楷體"/>
        <family val="4"/>
        <charset val="136"/>
      </rPr>
      <t>宏碁</t>
    </r>
  </si>
  <si>
    <r>
      <t xml:space="preserve"> </t>
    </r>
    <r>
      <rPr>
        <sz val="12"/>
        <color theme="1"/>
        <rFont val="標楷體"/>
        <family val="4"/>
        <charset val="136"/>
      </rPr>
      <t>鴻準</t>
    </r>
  </si>
  <si>
    <r>
      <t xml:space="preserve"> </t>
    </r>
    <r>
      <rPr>
        <sz val="12"/>
        <color theme="1"/>
        <rFont val="標楷體"/>
        <family val="4"/>
        <charset val="136"/>
      </rPr>
      <t>敬鵬</t>
    </r>
  </si>
  <si>
    <r>
      <t xml:space="preserve"> </t>
    </r>
    <r>
      <rPr>
        <sz val="12"/>
        <color theme="1"/>
        <rFont val="標楷體"/>
        <family val="4"/>
        <charset val="136"/>
      </rPr>
      <t>英業達</t>
    </r>
  </si>
  <si>
    <r>
      <t xml:space="preserve"> </t>
    </r>
    <r>
      <rPr>
        <sz val="12"/>
        <color theme="1"/>
        <rFont val="標楷體"/>
        <family val="4"/>
        <charset val="136"/>
      </rPr>
      <t>華碩</t>
    </r>
  </si>
  <si>
    <r>
      <t xml:space="preserve"> </t>
    </r>
    <r>
      <rPr>
        <sz val="12"/>
        <color theme="1"/>
        <rFont val="標楷體"/>
        <family val="4"/>
        <charset val="136"/>
      </rPr>
      <t>廷鑫</t>
    </r>
  </si>
  <si>
    <r>
      <t xml:space="preserve"> </t>
    </r>
    <r>
      <rPr>
        <sz val="12"/>
        <color theme="1"/>
        <rFont val="標楷體"/>
        <family val="4"/>
        <charset val="136"/>
      </rPr>
      <t>所羅門</t>
    </r>
  </si>
  <si>
    <r>
      <t xml:space="preserve"> </t>
    </r>
    <r>
      <rPr>
        <sz val="12"/>
        <color theme="1"/>
        <rFont val="標楷體"/>
        <family val="4"/>
        <charset val="136"/>
      </rPr>
      <t>致茂</t>
    </r>
  </si>
  <si>
    <r>
      <t xml:space="preserve"> </t>
    </r>
    <r>
      <rPr>
        <sz val="12"/>
        <color theme="1"/>
        <rFont val="標楷體"/>
        <family val="4"/>
        <charset val="136"/>
      </rPr>
      <t>藍天</t>
    </r>
  </si>
  <si>
    <r>
      <t xml:space="preserve"> </t>
    </r>
    <r>
      <rPr>
        <sz val="12"/>
        <color theme="1"/>
        <rFont val="標楷體"/>
        <family val="4"/>
        <charset val="136"/>
      </rPr>
      <t>矽統</t>
    </r>
  </si>
  <si>
    <r>
      <t xml:space="preserve"> </t>
    </r>
    <r>
      <rPr>
        <sz val="12"/>
        <color theme="1"/>
        <rFont val="標楷體"/>
        <family val="4"/>
        <charset val="136"/>
      </rPr>
      <t>倫飛</t>
    </r>
  </si>
  <si>
    <r>
      <t xml:space="preserve"> </t>
    </r>
    <r>
      <rPr>
        <sz val="12"/>
        <color theme="1"/>
        <rFont val="標楷體"/>
        <family val="4"/>
        <charset val="136"/>
      </rPr>
      <t>昆盈</t>
    </r>
  </si>
  <si>
    <r>
      <t xml:space="preserve"> </t>
    </r>
    <r>
      <rPr>
        <sz val="12"/>
        <color theme="1"/>
        <rFont val="標楷體"/>
        <family val="4"/>
        <charset val="136"/>
      </rPr>
      <t>燿華</t>
    </r>
  </si>
  <si>
    <r>
      <t xml:space="preserve"> </t>
    </r>
    <r>
      <rPr>
        <sz val="12"/>
        <color theme="1"/>
        <rFont val="標楷體"/>
        <family val="4"/>
        <charset val="136"/>
      </rPr>
      <t>金像電</t>
    </r>
  </si>
  <si>
    <r>
      <t xml:space="preserve"> </t>
    </r>
    <r>
      <rPr>
        <sz val="12"/>
        <color theme="1"/>
        <rFont val="標楷體"/>
        <family val="4"/>
        <charset val="136"/>
      </rPr>
      <t>菱生</t>
    </r>
  </si>
  <si>
    <r>
      <t xml:space="preserve"> </t>
    </r>
    <r>
      <rPr>
        <sz val="12"/>
        <color theme="1"/>
        <rFont val="標楷體"/>
        <family val="4"/>
        <charset val="136"/>
      </rPr>
      <t>大同</t>
    </r>
  </si>
  <si>
    <r>
      <t xml:space="preserve"> </t>
    </r>
    <r>
      <rPr>
        <sz val="12"/>
        <color theme="1"/>
        <rFont val="標楷體"/>
        <family val="4"/>
        <charset val="136"/>
      </rPr>
      <t>震旦行</t>
    </r>
  </si>
  <si>
    <r>
      <t xml:space="preserve"> </t>
    </r>
    <r>
      <rPr>
        <sz val="12"/>
        <color theme="1"/>
        <rFont val="標楷體"/>
        <family val="4"/>
        <charset val="136"/>
      </rPr>
      <t>佳能</t>
    </r>
  </si>
  <si>
    <r>
      <t xml:space="preserve"> </t>
    </r>
    <r>
      <rPr>
        <sz val="12"/>
        <color theme="1"/>
        <rFont val="標楷體"/>
        <family val="4"/>
        <charset val="136"/>
      </rPr>
      <t>凱美</t>
    </r>
  </si>
  <si>
    <r>
      <t xml:space="preserve"> </t>
    </r>
    <r>
      <rPr>
        <sz val="12"/>
        <color theme="1"/>
        <rFont val="標楷體"/>
        <family val="4"/>
        <charset val="136"/>
      </rPr>
      <t>技嘉</t>
    </r>
  </si>
  <si>
    <r>
      <t xml:space="preserve"> </t>
    </r>
    <r>
      <rPr>
        <sz val="12"/>
        <color theme="1"/>
        <rFont val="標楷體"/>
        <family val="4"/>
        <charset val="136"/>
      </rPr>
      <t>微星</t>
    </r>
  </si>
  <si>
    <r>
      <t xml:space="preserve"> </t>
    </r>
    <r>
      <rPr>
        <sz val="12"/>
        <color theme="1"/>
        <rFont val="標楷體"/>
        <family val="4"/>
        <charset val="136"/>
      </rPr>
      <t>瑞昱</t>
    </r>
  </si>
  <si>
    <r>
      <t xml:space="preserve"> </t>
    </r>
    <r>
      <rPr>
        <sz val="12"/>
        <color theme="1"/>
        <rFont val="標楷體"/>
        <family val="4"/>
        <charset val="136"/>
      </rPr>
      <t>虹光</t>
    </r>
  </si>
  <si>
    <r>
      <t xml:space="preserve"> </t>
    </r>
    <r>
      <rPr>
        <sz val="12"/>
        <color theme="1"/>
        <rFont val="標楷體"/>
        <family val="4"/>
        <charset val="136"/>
      </rPr>
      <t>廣達</t>
    </r>
  </si>
  <si>
    <r>
      <t xml:space="preserve"> </t>
    </r>
    <r>
      <rPr>
        <sz val="12"/>
        <color theme="1"/>
        <rFont val="標楷體"/>
        <family val="4"/>
        <charset val="136"/>
      </rPr>
      <t>台光電</t>
    </r>
  </si>
  <si>
    <r>
      <t xml:space="preserve"> </t>
    </r>
    <r>
      <rPr>
        <sz val="12"/>
        <color theme="1"/>
        <rFont val="標楷體"/>
        <family val="4"/>
        <charset val="136"/>
      </rPr>
      <t>群光</t>
    </r>
  </si>
  <si>
    <r>
      <t xml:space="preserve"> </t>
    </r>
    <r>
      <rPr>
        <sz val="12"/>
        <color theme="1"/>
        <rFont val="標楷體"/>
        <family val="4"/>
        <charset val="136"/>
      </rPr>
      <t>精元</t>
    </r>
  </si>
  <si>
    <r>
      <t xml:space="preserve"> </t>
    </r>
    <r>
      <rPr>
        <sz val="12"/>
        <color theme="1"/>
        <rFont val="標楷體"/>
        <family val="4"/>
        <charset val="136"/>
      </rPr>
      <t>威盛</t>
    </r>
  </si>
  <si>
    <r>
      <t xml:space="preserve"> </t>
    </r>
    <r>
      <rPr>
        <sz val="12"/>
        <color theme="1"/>
        <rFont val="標楷體"/>
        <family val="4"/>
        <charset val="136"/>
      </rPr>
      <t>云辰</t>
    </r>
  </si>
  <si>
    <r>
      <t xml:space="preserve"> </t>
    </r>
    <r>
      <rPr>
        <sz val="12"/>
        <color theme="1"/>
        <rFont val="標楷體"/>
        <family val="4"/>
        <charset val="136"/>
      </rPr>
      <t>正崴</t>
    </r>
  </si>
  <si>
    <r>
      <t xml:space="preserve"> </t>
    </r>
    <r>
      <rPr>
        <sz val="12"/>
        <color theme="1"/>
        <rFont val="標楷體"/>
        <family val="4"/>
        <charset val="136"/>
      </rPr>
      <t>億光</t>
    </r>
  </si>
  <si>
    <r>
      <t xml:space="preserve"> </t>
    </r>
    <r>
      <rPr>
        <sz val="12"/>
        <color theme="1"/>
        <rFont val="標楷體"/>
        <family val="4"/>
        <charset val="136"/>
      </rPr>
      <t>研華</t>
    </r>
  </si>
  <si>
    <r>
      <t xml:space="preserve"> </t>
    </r>
    <r>
      <rPr>
        <sz val="12"/>
        <color theme="1"/>
        <rFont val="標楷體"/>
        <family val="4"/>
        <charset val="136"/>
      </rPr>
      <t>友通</t>
    </r>
  </si>
  <si>
    <r>
      <t xml:space="preserve"> </t>
    </r>
    <r>
      <rPr>
        <sz val="12"/>
        <color theme="1"/>
        <rFont val="標楷體"/>
        <family val="4"/>
        <charset val="136"/>
      </rPr>
      <t>映泰</t>
    </r>
  </si>
  <si>
    <r>
      <t xml:space="preserve"> </t>
    </r>
    <r>
      <rPr>
        <sz val="12"/>
        <color theme="1"/>
        <rFont val="標楷體"/>
        <family val="4"/>
        <charset val="136"/>
      </rPr>
      <t>凌陽</t>
    </r>
  </si>
  <si>
    <r>
      <t xml:space="preserve"> </t>
    </r>
    <r>
      <rPr>
        <sz val="12"/>
        <color theme="1"/>
        <rFont val="標楷體"/>
        <family val="4"/>
        <charset val="136"/>
      </rPr>
      <t>毅嘉</t>
    </r>
  </si>
  <si>
    <r>
      <t xml:space="preserve"> </t>
    </r>
    <r>
      <rPr>
        <sz val="12"/>
        <color theme="1"/>
        <rFont val="標楷體"/>
        <family val="4"/>
        <charset val="136"/>
      </rPr>
      <t>漢唐</t>
    </r>
  </si>
  <si>
    <r>
      <t xml:space="preserve"> </t>
    </r>
    <r>
      <rPr>
        <sz val="12"/>
        <color theme="1"/>
        <rFont val="標楷體"/>
        <family val="4"/>
        <charset val="136"/>
      </rPr>
      <t>輔信</t>
    </r>
  </si>
  <si>
    <r>
      <t xml:space="preserve"> </t>
    </r>
    <r>
      <rPr>
        <sz val="12"/>
        <color theme="1"/>
        <rFont val="標楷體"/>
        <family val="4"/>
        <charset val="136"/>
      </rPr>
      <t>國碩</t>
    </r>
  </si>
  <si>
    <r>
      <t xml:space="preserve"> </t>
    </r>
    <r>
      <rPr>
        <sz val="12"/>
        <color theme="1"/>
        <rFont val="標楷體"/>
        <family val="4"/>
        <charset val="136"/>
      </rPr>
      <t>南亞科</t>
    </r>
  </si>
  <si>
    <r>
      <t xml:space="preserve"> </t>
    </r>
    <r>
      <rPr>
        <sz val="12"/>
        <color theme="1"/>
        <rFont val="標楷體"/>
        <family val="4"/>
        <charset val="136"/>
      </rPr>
      <t>友達</t>
    </r>
  </si>
  <si>
    <r>
      <t xml:space="preserve"> </t>
    </r>
    <r>
      <rPr>
        <sz val="12"/>
        <color theme="1"/>
        <rFont val="標楷體"/>
        <family val="4"/>
        <charset val="136"/>
      </rPr>
      <t>中華電</t>
    </r>
  </si>
  <si>
    <r>
      <t xml:space="preserve"> </t>
    </r>
    <r>
      <rPr>
        <sz val="12"/>
        <color theme="1"/>
        <rFont val="標楷體"/>
        <family val="4"/>
        <charset val="136"/>
      </rPr>
      <t>環科</t>
    </r>
  </si>
  <si>
    <r>
      <t xml:space="preserve"> </t>
    </r>
    <r>
      <rPr>
        <sz val="12"/>
        <color theme="1"/>
        <rFont val="標楷體"/>
        <family val="4"/>
        <charset val="136"/>
      </rPr>
      <t>精技</t>
    </r>
  </si>
  <si>
    <r>
      <t xml:space="preserve"> </t>
    </r>
    <r>
      <rPr>
        <sz val="12"/>
        <color theme="1"/>
        <rFont val="標楷體"/>
        <family val="4"/>
        <charset val="136"/>
      </rPr>
      <t>錩新</t>
    </r>
  </si>
  <si>
    <r>
      <t xml:space="preserve"> </t>
    </r>
    <r>
      <rPr>
        <sz val="12"/>
        <color theme="1"/>
        <rFont val="標楷體"/>
        <family val="4"/>
        <charset val="136"/>
      </rPr>
      <t>圓剛</t>
    </r>
  </si>
  <si>
    <r>
      <t xml:space="preserve"> </t>
    </r>
    <r>
      <rPr>
        <sz val="12"/>
        <color theme="1"/>
        <rFont val="標楷體"/>
        <family val="4"/>
        <charset val="136"/>
      </rPr>
      <t>仲琦</t>
    </r>
  </si>
  <si>
    <r>
      <t xml:space="preserve"> </t>
    </r>
    <r>
      <rPr>
        <sz val="12"/>
        <color theme="1"/>
        <rFont val="標楷體"/>
        <family val="4"/>
        <charset val="136"/>
      </rPr>
      <t>新巨</t>
    </r>
  </si>
  <si>
    <r>
      <t xml:space="preserve"> </t>
    </r>
    <r>
      <rPr>
        <sz val="12"/>
        <color theme="1"/>
        <rFont val="標楷體"/>
        <family val="4"/>
        <charset val="136"/>
      </rPr>
      <t>建準</t>
    </r>
  </si>
  <si>
    <r>
      <t xml:space="preserve"> </t>
    </r>
    <r>
      <rPr>
        <sz val="12"/>
        <color theme="1"/>
        <rFont val="標楷體"/>
        <family val="4"/>
        <charset val="136"/>
      </rPr>
      <t>固緯</t>
    </r>
  </si>
  <si>
    <r>
      <t xml:space="preserve"> </t>
    </r>
    <r>
      <rPr>
        <sz val="12"/>
        <color theme="1"/>
        <rFont val="標楷體"/>
        <family val="4"/>
        <charset val="136"/>
      </rPr>
      <t>隴華</t>
    </r>
  </si>
  <si>
    <r>
      <t xml:space="preserve"> </t>
    </r>
    <r>
      <rPr>
        <sz val="12"/>
        <color theme="1"/>
        <rFont val="標楷體"/>
        <family val="4"/>
        <charset val="136"/>
      </rPr>
      <t>承啟</t>
    </r>
  </si>
  <si>
    <r>
      <t xml:space="preserve"> </t>
    </r>
    <r>
      <rPr>
        <sz val="12"/>
        <color theme="1"/>
        <rFont val="標楷體"/>
        <family val="4"/>
        <charset val="136"/>
      </rPr>
      <t>鼎元</t>
    </r>
  </si>
  <si>
    <r>
      <t xml:space="preserve"> </t>
    </r>
    <r>
      <rPr>
        <sz val="12"/>
        <color theme="1"/>
        <rFont val="標楷體"/>
        <family val="4"/>
        <charset val="136"/>
      </rPr>
      <t>三商電</t>
    </r>
  </si>
  <si>
    <r>
      <t xml:space="preserve"> </t>
    </r>
    <r>
      <rPr>
        <sz val="12"/>
        <color theme="1"/>
        <rFont val="標楷體"/>
        <family val="4"/>
        <charset val="136"/>
      </rPr>
      <t>興勤</t>
    </r>
  </si>
  <si>
    <r>
      <t xml:space="preserve"> </t>
    </r>
    <r>
      <rPr>
        <sz val="12"/>
        <color theme="1"/>
        <rFont val="標楷體"/>
        <family val="4"/>
        <charset val="136"/>
      </rPr>
      <t>銘旺科</t>
    </r>
  </si>
  <si>
    <r>
      <t xml:space="preserve"> </t>
    </r>
    <r>
      <rPr>
        <sz val="12"/>
        <color theme="1"/>
        <rFont val="標楷體"/>
        <family val="4"/>
        <charset val="136"/>
      </rPr>
      <t>燦坤</t>
    </r>
  </si>
  <si>
    <r>
      <t xml:space="preserve"> </t>
    </r>
    <r>
      <rPr>
        <sz val="12"/>
        <color theme="1"/>
        <rFont val="標楷體"/>
        <family val="4"/>
        <charset val="136"/>
      </rPr>
      <t>聯昌</t>
    </r>
  </si>
  <si>
    <r>
      <t xml:space="preserve"> </t>
    </r>
    <r>
      <rPr>
        <sz val="12"/>
        <color theme="1"/>
        <rFont val="標楷體"/>
        <family val="4"/>
        <charset val="136"/>
      </rPr>
      <t>互盛電</t>
    </r>
  </si>
  <si>
    <r>
      <t xml:space="preserve"> </t>
    </r>
    <r>
      <rPr>
        <sz val="12"/>
        <color theme="1"/>
        <rFont val="標楷體"/>
        <family val="4"/>
        <charset val="136"/>
      </rPr>
      <t>統懋</t>
    </r>
  </si>
  <si>
    <r>
      <t xml:space="preserve"> </t>
    </r>
    <r>
      <rPr>
        <sz val="12"/>
        <color theme="1"/>
        <rFont val="標楷體"/>
        <family val="4"/>
        <charset val="136"/>
      </rPr>
      <t>偉詮電</t>
    </r>
  </si>
  <si>
    <r>
      <t xml:space="preserve"> </t>
    </r>
    <r>
      <rPr>
        <sz val="12"/>
        <color theme="1"/>
        <rFont val="標楷體"/>
        <family val="4"/>
        <charset val="136"/>
      </rPr>
      <t>翔耀</t>
    </r>
  </si>
  <si>
    <r>
      <t xml:space="preserve"> </t>
    </r>
    <r>
      <rPr>
        <sz val="12"/>
        <color theme="1"/>
        <rFont val="標楷體"/>
        <family val="4"/>
        <charset val="136"/>
      </rPr>
      <t>美律</t>
    </r>
  </si>
  <si>
    <r>
      <t xml:space="preserve"> </t>
    </r>
    <r>
      <rPr>
        <sz val="12"/>
        <color theme="1"/>
        <rFont val="標楷體"/>
        <family val="4"/>
        <charset val="136"/>
      </rPr>
      <t>太空梭</t>
    </r>
  </si>
  <si>
    <r>
      <t xml:space="preserve"> </t>
    </r>
    <r>
      <rPr>
        <sz val="12"/>
        <color theme="1"/>
        <rFont val="標楷體"/>
        <family val="4"/>
        <charset val="136"/>
      </rPr>
      <t>超豐</t>
    </r>
  </si>
  <si>
    <r>
      <t xml:space="preserve"> </t>
    </r>
    <r>
      <rPr>
        <sz val="12"/>
        <color theme="1"/>
        <rFont val="標楷體"/>
        <family val="4"/>
        <charset val="136"/>
      </rPr>
      <t>新美齊</t>
    </r>
  </si>
  <si>
    <r>
      <t xml:space="preserve"> </t>
    </r>
    <r>
      <rPr>
        <sz val="12"/>
        <color theme="1"/>
        <rFont val="標楷體"/>
        <family val="4"/>
        <charset val="136"/>
      </rPr>
      <t>昶虹</t>
    </r>
  </si>
  <si>
    <r>
      <t xml:space="preserve"> </t>
    </r>
    <r>
      <rPr>
        <sz val="12"/>
        <color theme="1"/>
        <rFont val="標楷體"/>
        <family val="4"/>
        <charset val="136"/>
      </rPr>
      <t>兆勁</t>
    </r>
  </si>
  <si>
    <r>
      <t xml:space="preserve"> </t>
    </r>
    <r>
      <rPr>
        <sz val="12"/>
        <color theme="1"/>
        <rFont val="標楷體"/>
        <family val="4"/>
        <charset val="136"/>
      </rPr>
      <t>京元電子</t>
    </r>
  </si>
  <si>
    <r>
      <t xml:space="preserve"> </t>
    </r>
    <r>
      <rPr>
        <sz val="12"/>
        <color theme="1"/>
        <rFont val="標楷體"/>
        <family val="4"/>
        <charset val="136"/>
      </rPr>
      <t>神腦</t>
    </r>
  </si>
  <si>
    <r>
      <t xml:space="preserve"> </t>
    </r>
    <r>
      <rPr>
        <sz val="12"/>
        <color theme="1"/>
        <rFont val="標楷體"/>
        <family val="4"/>
        <charset val="136"/>
      </rPr>
      <t>創見</t>
    </r>
  </si>
  <si>
    <r>
      <t xml:space="preserve"> </t>
    </r>
    <r>
      <rPr>
        <sz val="12"/>
        <color theme="1"/>
        <rFont val="標楷體"/>
        <family val="4"/>
        <charset val="136"/>
      </rPr>
      <t>凌群</t>
    </r>
  </si>
  <si>
    <r>
      <t xml:space="preserve"> </t>
    </r>
    <r>
      <rPr>
        <sz val="12"/>
        <color theme="1"/>
        <rFont val="標楷體"/>
        <family val="4"/>
        <charset val="136"/>
      </rPr>
      <t>聯發科</t>
    </r>
  </si>
  <si>
    <r>
      <t xml:space="preserve"> </t>
    </r>
    <r>
      <rPr>
        <sz val="12"/>
        <color theme="1"/>
        <rFont val="標楷體"/>
        <family val="4"/>
        <charset val="136"/>
      </rPr>
      <t>全新</t>
    </r>
  </si>
  <si>
    <r>
      <t xml:space="preserve"> </t>
    </r>
    <r>
      <rPr>
        <sz val="12"/>
        <color theme="1"/>
        <rFont val="標楷體"/>
        <family val="4"/>
        <charset val="136"/>
      </rPr>
      <t>飛宏</t>
    </r>
  </si>
  <si>
    <r>
      <t xml:space="preserve"> </t>
    </r>
    <r>
      <rPr>
        <sz val="12"/>
        <color theme="1"/>
        <rFont val="標楷體"/>
        <family val="4"/>
        <charset val="136"/>
      </rPr>
      <t>義隆</t>
    </r>
  </si>
  <si>
    <r>
      <t xml:space="preserve"> </t>
    </r>
    <r>
      <rPr>
        <sz val="12"/>
        <color theme="1"/>
        <rFont val="標楷體"/>
        <family val="4"/>
        <charset val="136"/>
      </rPr>
      <t>敦吉</t>
    </r>
  </si>
  <si>
    <r>
      <t xml:space="preserve"> </t>
    </r>
    <r>
      <rPr>
        <sz val="12"/>
        <color theme="1"/>
        <rFont val="標楷體"/>
        <family val="4"/>
        <charset val="136"/>
      </rPr>
      <t>建通</t>
    </r>
  </si>
  <si>
    <r>
      <t xml:space="preserve"> </t>
    </r>
    <r>
      <rPr>
        <sz val="12"/>
        <color theme="1"/>
        <rFont val="標楷體"/>
        <family val="4"/>
        <charset val="136"/>
      </rPr>
      <t>光群雷</t>
    </r>
  </si>
  <si>
    <r>
      <t xml:space="preserve"> </t>
    </r>
    <r>
      <rPr>
        <sz val="12"/>
        <color theme="1"/>
        <rFont val="標楷體"/>
        <family val="4"/>
        <charset val="136"/>
      </rPr>
      <t>良得電</t>
    </r>
  </si>
  <si>
    <r>
      <t xml:space="preserve"> </t>
    </r>
    <r>
      <rPr>
        <sz val="12"/>
        <color theme="1"/>
        <rFont val="標楷體"/>
        <family val="4"/>
        <charset val="136"/>
      </rPr>
      <t>盟立</t>
    </r>
  </si>
  <si>
    <r>
      <t xml:space="preserve"> </t>
    </r>
    <r>
      <rPr>
        <sz val="12"/>
        <color theme="1"/>
        <rFont val="標楷體"/>
        <family val="4"/>
        <charset val="136"/>
      </rPr>
      <t>麗臺</t>
    </r>
  </si>
  <si>
    <r>
      <t xml:space="preserve"> </t>
    </r>
    <r>
      <rPr>
        <sz val="12"/>
        <color theme="1"/>
        <rFont val="標楷體"/>
        <family val="4"/>
        <charset val="136"/>
      </rPr>
      <t>冠西電</t>
    </r>
  </si>
  <si>
    <r>
      <t xml:space="preserve"> </t>
    </r>
    <r>
      <rPr>
        <sz val="12"/>
        <color theme="1"/>
        <rFont val="標楷體"/>
        <family val="4"/>
        <charset val="136"/>
      </rPr>
      <t>志聖</t>
    </r>
  </si>
  <si>
    <r>
      <t xml:space="preserve"> </t>
    </r>
    <r>
      <rPr>
        <sz val="12"/>
        <color theme="1"/>
        <rFont val="標楷體"/>
        <family val="4"/>
        <charset val="136"/>
      </rPr>
      <t>華經</t>
    </r>
  </si>
  <si>
    <r>
      <t xml:space="preserve"> </t>
    </r>
    <r>
      <rPr>
        <sz val="12"/>
        <color theme="1"/>
        <rFont val="標楷體"/>
        <family val="4"/>
        <charset val="136"/>
      </rPr>
      <t>資通</t>
    </r>
  </si>
  <si>
    <r>
      <t xml:space="preserve"> </t>
    </r>
    <r>
      <rPr>
        <sz val="12"/>
        <color theme="1"/>
        <rFont val="標楷體"/>
        <family val="4"/>
        <charset val="136"/>
      </rPr>
      <t>立隆電</t>
    </r>
  </si>
  <si>
    <r>
      <t xml:space="preserve"> </t>
    </r>
    <r>
      <rPr>
        <sz val="12"/>
        <color theme="1"/>
        <rFont val="標楷體"/>
        <family val="4"/>
        <charset val="136"/>
      </rPr>
      <t>可成</t>
    </r>
  </si>
  <si>
    <r>
      <t xml:space="preserve"> </t>
    </r>
    <r>
      <rPr>
        <sz val="12"/>
        <color theme="1"/>
        <rFont val="標楷體"/>
        <family val="4"/>
        <charset val="136"/>
      </rPr>
      <t>鉅祥</t>
    </r>
  </si>
  <si>
    <r>
      <t xml:space="preserve"> </t>
    </r>
    <r>
      <rPr>
        <sz val="12"/>
        <color theme="1"/>
        <rFont val="標楷體"/>
        <family val="4"/>
        <charset val="136"/>
      </rPr>
      <t>美隆電</t>
    </r>
  </si>
  <si>
    <r>
      <t xml:space="preserve"> </t>
    </r>
    <r>
      <rPr>
        <sz val="12"/>
        <color theme="1"/>
        <rFont val="標楷體"/>
        <family val="4"/>
        <charset val="136"/>
      </rPr>
      <t>大毅</t>
    </r>
  </si>
  <si>
    <r>
      <t xml:space="preserve"> </t>
    </r>
    <r>
      <rPr>
        <sz val="12"/>
        <color theme="1"/>
        <rFont val="標楷體"/>
        <family val="4"/>
        <charset val="136"/>
      </rPr>
      <t>敦陽科</t>
    </r>
  </si>
  <si>
    <r>
      <t xml:space="preserve"> </t>
    </r>
    <r>
      <rPr>
        <sz val="12"/>
        <color theme="1"/>
        <rFont val="標楷體"/>
        <family val="4"/>
        <charset val="136"/>
      </rPr>
      <t>強茂</t>
    </r>
  </si>
  <si>
    <r>
      <t xml:space="preserve"> </t>
    </r>
    <r>
      <rPr>
        <sz val="12"/>
        <color theme="1"/>
        <rFont val="標楷體"/>
        <family val="4"/>
        <charset val="136"/>
      </rPr>
      <t>連宇</t>
    </r>
  </si>
  <si>
    <r>
      <t xml:space="preserve"> </t>
    </r>
    <r>
      <rPr>
        <sz val="12"/>
        <color theme="1"/>
        <rFont val="標楷體"/>
        <family val="4"/>
        <charset val="136"/>
      </rPr>
      <t>百容</t>
    </r>
  </si>
  <si>
    <r>
      <t xml:space="preserve"> </t>
    </r>
    <r>
      <rPr>
        <sz val="12"/>
        <color theme="1"/>
        <rFont val="標楷體"/>
        <family val="4"/>
        <charset val="136"/>
      </rPr>
      <t>希華</t>
    </r>
  </si>
  <si>
    <r>
      <t xml:space="preserve"> </t>
    </r>
    <r>
      <rPr>
        <sz val="12"/>
        <color theme="1"/>
        <rFont val="標楷體"/>
        <family val="4"/>
        <charset val="136"/>
      </rPr>
      <t>兆赫</t>
    </r>
  </si>
  <si>
    <r>
      <t xml:space="preserve"> </t>
    </r>
    <r>
      <rPr>
        <sz val="12"/>
        <color theme="1"/>
        <rFont val="標楷體"/>
        <family val="4"/>
        <charset val="136"/>
      </rPr>
      <t>一詮</t>
    </r>
  </si>
  <si>
    <r>
      <t xml:space="preserve"> </t>
    </r>
    <r>
      <rPr>
        <sz val="12"/>
        <color theme="1"/>
        <rFont val="標楷體"/>
        <family val="4"/>
        <charset val="136"/>
      </rPr>
      <t>漢平</t>
    </r>
  </si>
  <si>
    <r>
      <t xml:space="preserve"> </t>
    </r>
    <r>
      <rPr>
        <sz val="12"/>
        <color theme="1"/>
        <rFont val="標楷體"/>
        <family val="4"/>
        <charset val="136"/>
      </rPr>
      <t>瑞軒</t>
    </r>
  </si>
  <si>
    <r>
      <t xml:space="preserve"> </t>
    </r>
    <r>
      <rPr>
        <sz val="12"/>
        <color theme="1"/>
        <rFont val="標楷體"/>
        <family val="4"/>
        <charset val="136"/>
      </rPr>
      <t>吉祥全</t>
    </r>
  </si>
  <si>
    <r>
      <t xml:space="preserve"> </t>
    </r>
    <r>
      <rPr>
        <sz val="12"/>
        <color theme="1"/>
        <rFont val="標楷體"/>
        <family val="4"/>
        <charset val="136"/>
      </rPr>
      <t>華新科</t>
    </r>
  </si>
  <si>
    <r>
      <t xml:space="preserve"> </t>
    </r>
    <r>
      <rPr>
        <sz val="12"/>
        <color theme="1"/>
        <rFont val="標楷體"/>
        <family val="4"/>
        <charset val="136"/>
      </rPr>
      <t>揚博</t>
    </r>
  </si>
  <si>
    <r>
      <t xml:space="preserve"> </t>
    </r>
    <r>
      <rPr>
        <sz val="12"/>
        <color theme="1"/>
        <rFont val="標楷體"/>
        <family val="4"/>
        <charset val="136"/>
      </rPr>
      <t>普安</t>
    </r>
  </si>
  <si>
    <r>
      <t xml:space="preserve"> </t>
    </r>
    <r>
      <rPr>
        <sz val="12"/>
        <color theme="1"/>
        <rFont val="標楷體"/>
        <family val="4"/>
        <charset val="136"/>
      </rPr>
      <t>卓越</t>
    </r>
  </si>
  <si>
    <r>
      <t xml:space="preserve"> </t>
    </r>
    <r>
      <rPr>
        <sz val="12"/>
        <color theme="1"/>
        <rFont val="標楷體"/>
        <family val="4"/>
        <charset val="136"/>
      </rPr>
      <t>怡利電</t>
    </r>
  </si>
  <si>
    <r>
      <t xml:space="preserve"> </t>
    </r>
    <r>
      <rPr>
        <sz val="12"/>
        <color theme="1"/>
        <rFont val="標楷體"/>
        <family val="4"/>
        <charset val="136"/>
      </rPr>
      <t>宏達電</t>
    </r>
  </si>
  <si>
    <r>
      <t xml:space="preserve"> </t>
    </r>
    <r>
      <rPr>
        <sz val="12"/>
        <color theme="1"/>
        <rFont val="標楷體"/>
        <family val="4"/>
        <charset val="136"/>
      </rPr>
      <t>國建</t>
    </r>
  </si>
  <si>
    <r>
      <t xml:space="preserve"> </t>
    </r>
    <r>
      <rPr>
        <sz val="12"/>
        <color theme="1"/>
        <rFont val="標楷體"/>
        <family val="4"/>
        <charset val="136"/>
      </rPr>
      <t>國產</t>
    </r>
  </si>
  <si>
    <r>
      <t xml:space="preserve"> </t>
    </r>
    <r>
      <rPr>
        <sz val="12"/>
        <color theme="1"/>
        <rFont val="標楷體"/>
        <family val="4"/>
        <charset val="136"/>
      </rPr>
      <t>國揚</t>
    </r>
  </si>
  <si>
    <r>
      <t xml:space="preserve"> </t>
    </r>
    <r>
      <rPr>
        <sz val="12"/>
        <color theme="1"/>
        <rFont val="標楷體"/>
        <family val="4"/>
        <charset val="136"/>
      </rPr>
      <t>太設</t>
    </r>
  </si>
  <si>
    <r>
      <t xml:space="preserve"> </t>
    </r>
    <r>
      <rPr>
        <sz val="12"/>
        <color theme="1"/>
        <rFont val="標楷體"/>
        <family val="4"/>
        <charset val="136"/>
      </rPr>
      <t>全坤建</t>
    </r>
  </si>
  <si>
    <r>
      <t xml:space="preserve"> </t>
    </r>
    <r>
      <rPr>
        <sz val="12"/>
        <color theme="1"/>
        <rFont val="標楷體"/>
        <family val="4"/>
        <charset val="136"/>
      </rPr>
      <t>太子</t>
    </r>
  </si>
  <si>
    <r>
      <t xml:space="preserve"> </t>
    </r>
    <r>
      <rPr>
        <sz val="12"/>
        <color theme="1"/>
        <rFont val="標楷體"/>
        <family val="4"/>
        <charset val="136"/>
      </rPr>
      <t>龍邦</t>
    </r>
  </si>
  <si>
    <r>
      <t xml:space="preserve"> </t>
    </r>
    <r>
      <rPr>
        <sz val="12"/>
        <color theme="1"/>
        <rFont val="標楷體"/>
        <family val="4"/>
        <charset val="136"/>
      </rPr>
      <t>中工</t>
    </r>
  </si>
  <si>
    <r>
      <t xml:space="preserve"> </t>
    </r>
    <r>
      <rPr>
        <sz val="12"/>
        <color theme="1"/>
        <rFont val="標楷體"/>
        <family val="4"/>
        <charset val="136"/>
      </rPr>
      <t>新建</t>
    </r>
  </si>
  <si>
    <r>
      <t xml:space="preserve"> </t>
    </r>
    <r>
      <rPr>
        <sz val="12"/>
        <color theme="1"/>
        <rFont val="標楷體"/>
        <family val="4"/>
        <charset val="136"/>
      </rPr>
      <t>冠德</t>
    </r>
  </si>
  <si>
    <r>
      <t xml:space="preserve"> </t>
    </r>
    <r>
      <rPr>
        <sz val="12"/>
        <color theme="1"/>
        <rFont val="標楷體"/>
        <family val="4"/>
        <charset val="136"/>
      </rPr>
      <t>京城</t>
    </r>
  </si>
  <si>
    <r>
      <t xml:space="preserve"> </t>
    </r>
    <r>
      <rPr>
        <sz val="12"/>
        <color theme="1"/>
        <rFont val="標楷體"/>
        <family val="4"/>
        <charset val="136"/>
      </rPr>
      <t>宏璟</t>
    </r>
  </si>
  <si>
    <r>
      <t xml:space="preserve"> </t>
    </r>
    <r>
      <rPr>
        <sz val="12"/>
        <color theme="1"/>
        <rFont val="標楷體"/>
        <family val="4"/>
        <charset val="136"/>
      </rPr>
      <t>皇普</t>
    </r>
  </si>
  <si>
    <r>
      <t xml:space="preserve"> </t>
    </r>
    <r>
      <rPr>
        <sz val="12"/>
        <color theme="1"/>
        <rFont val="標楷體"/>
        <family val="4"/>
        <charset val="136"/>
      </rPr>
      <t>華建</t>
    </r>
  </si>
  <si>
    <r>
      <t xml:space="preserve"> </t>
    </r>
    <r>
      <rPr>
        <sz val="12"/>
        <color theme="1"/>
        <rFont val="標楷體"/>
        <family val="4"/>
        <charset val="136"/>
      </rPr>
      <t>宏盛</t>
    </r>
  </si>
  <si>
    <r>
      <t xml:space="preserve"> </t>
    </r>
    <r>
      <rPr>
        <sz val="12"/>
        <color theme="1"/>
        <rFont val="標楷體"/>
        <family val="4"/>
        <charset val="136"/>
      </rPr>
      <t>達欣工</t>
    </r>
  </si>
  <si>
    <r>
      <t xml:space="preserve"> </t>
    </r>
    <r>
      <rPr>
        <sz val="12"/>
        <color theme="1"/>
        <rFont val="標楷體"/>
        <family val="4"/>
        <charset val="136"/>
      </rPr>
      <t>宏普</t>
    </r>
  </si>
  <si>
    <r>
      <t xml:space="preserve"> </t>
    </r>
    <r>
      <rPr>
        <sz val="12"/>
        <color theme="1"/>
        <rFont val="標楷體"/>
        <family val="4"/>
        <charset val="136"/>
      </rPr>
      <t>聯上發</t>
    </r>
  </si>
  <si>
    <r>
      <t xml:space="preserve"> </t>
    </r>
    <r>
      <rPr>
        <sz val="12"/>
        <color theme="1"/>
        <rFont val="標楷體"/>
        <family val="4"/>
        <charset val="136"/>
      </rPr>
      <t>基泰</t>
    </r>
  </si>
  <si>
    <r>
      <t xml:space="preserve"> </t>
    </r>
    <r>
      <rPr>
        <sz val="12"/>
        <color theme="1"/>
        <rFont val="標楷體"/>
        <family val="4"/>
        <charset val="136"/>
      </rPr>
      <t>櫻花建</t>
    </r>
  </si>
  <si>
    <r>
      <t xml:space="preserve"> </t>
    </r>
    <r>
      <rPr>
        <sz val="12"/>
        <color theme="1"/>
        <rFont val="標楷體"/>
        <family val="4"/>
        <charset val="136"/>
      </rPr>
      <t>愛山林</t>
    </r>
  </si>
  <si>
    <r>
      <t xml:space="preserve"> </t>
    </r>
    <r>
      <rPr>
        <sz val="12"/>
        <color theme="1"/>
        <rFont val="標楷體"/>
        <family val="4"/>
        <charset val="136"/>
      </rPr>
      <t>興富發</t>
    </r>
  </si>
  <si>
    <r>
      <t xml:space="preserve"> </t>
    </r>
    <r>
      <rPr>
        <sz val="12"/>
        <color theme="1"/>
        <rFont val="標楷體"/>
        <family val="4"/>
        <charset val="136"/>
      </rPr>
      <t>皇昌</t>
    </r>
  </si>
  <si>
    <r>
      <t xml:space="preserve"> </t>
    </r>
    <r>
      <rPr>
        <sz val="12"/>
        <color theme="1"/>
        <rFont val="標楷體"/>
        <family val="4"/>
        <charset val="136"/>
      </rPr>
      <t>皇翔</t>
    </r>
  </si>
  <si>
    <r>
      <t xml:space="preserve"> </t>
    </r>
    <r>
      <rPr>
        <sz val="12"/>
        <color theme="1"/>
        <rFont val="標楷體"/>
        <family val="4"/>
        <charset val="136"/>
      </rPr>
      <t>根基</t>
    </r>
  </si>
  <si>
    <r>
      <t xml:space="preserve"> </t>
    </r>
    <r>
      <rPr>
        <sz val="12"/>
        <color theme="1"/>
        <rFont val="標楷體"/>
        <family val="4"/>
        <charset val="136"/>
      </rPr>
      <t>日勝生</t>
    </r>
  </si>
  <si>
    <r>
      <t xml:space="preserve"> </t>
    </r>
    <r>
      <rPr>
        <sz val="12"/>
        <color theme="1"/>
        <rFont val="標楷體"/>
        <family val="4"/>
        <charset val="136"/>
      </rPr>
      <t>華固</t>
    </r>
  </si>
  <si>
    <r>
      <t xml:space="preserve"> </t>
    </r>
    <r>
      <rPr>
        <sz val="12"/>
        <color theme="1"/>
        <rFont val="標楷體"/>
        <family val="4"/>
        <charset val="136"/>
      </rPr>
      <t>潤弘</t>
    </r>
  </si>
  <si>
    <r>
      <t xml:space="preserve"> </t>
    </r>
    <r>
      <rPr>
        <sz val="12"/>
        <color theme="1"/>
        <rFont val="標楷體"/>
        <family val="4"/>
        <charset val="136"/>
      </rPr>
      <t>益航</t>
    </r>
  </si>
  <si>
    <r>
      <t xml:space="preserve"> </t>
    </r>
    <r>
      <rPr>
        <sz val="12"/>
        <color theme="1"/>
        <rFont val="標楷體"/>
        <family val="4"/>
        <charset val="136"/>
      </rPr>
      <t>長榮</t>
    </r>
  </si>
  <si>
    <r>
      <t xml:space="preserve"> </t>
    </r>
    <r>
      <rPr>
        <sz val="12"/>
        <color theme="1"/>
        <rFont val="標楷體"/>
        <family val="4"/>
        <charset val="136"/>
      </rPr>
      <t>新興</t>
    </r>
  </si>
  <si>
    <r>
      <t xml:space="preserve"> </t>
    </r>
    <r>
      <rPr>
        <sz val="12"/>
        <color theme="1"/>
        <rFont val="標楷體"/>
        <family val="4"/>
        <charset val="136"/>
      </rPr>
      <t>裕民</t>
    </r>
  </si>
  <si>
    <r>
      <t xml:space="preserve"> </t>
    </r>
    <r>
      <rPr>
        <sz val="12"/>
        <color theme="1"/>
        <rFont val="標楷體"/>
        <family val="4"/>
        <charset val="136"/>
      </rPr>
      <t>榮運</t>
    </r>
  </si>
  <si>
    <r>
      <t xml:space="preserve"> </t>
    </r>
    <r>
      <rPr>
        <sz val="12"/>
        <color theme="1"/>
        <rFont val="標楷體"/>
        <family val="4"/>
        <charset val="136"/>
      </rPr>
      <t>嘉里大榮</t>
    </r>
  </si>
  <si>
    <r>
      <t xml:space="preserve"> </t>
    </r>
    <r>
      <rPr>
        <sz val="12"/>
        <color theme="1"/>
        <rFont val="標楷體"/>
        <family val="4"/>
        <charset val="136"/>
      </rPr>
      <t>陽明</t>
    </r>
  </si>
  <si>
    <r>
      <t xml:space="preserve"> </t>
    </r>
    <r>
      <rPr>
        <sz val="12"/>
        <color theme="1"/>
        <rFont val="標楷體"/>
        <family val="4"/>
        <charset val="136"/>
      </rPr>
      <t>華航</t>
    </r>
  </si>
  <si>
    <r>
      <t xml:space="preserve"> </t>
    </r>
    <r>
      <rPr>
        <sz val="12"/>
        <color theme="1"/>
        <rFont val="標楷體"/>
        <family val="4"/>
        <charset val="136"/>
      </rPr>
      <t>志信</t>
    </r>
  </si>
  <si>
    <r>
      <t xml:space="preserve"> </t>
    </r>
    <r>
      <rPr>
        <sz val="12"/>
        <color theme="1"/>
        <rFont val="標楷體"/>
        <family val="4"/>
        <charset val="136"/>
      </rPr>
      <t>中航</t>
    </r>
  </si>
  <si>
    <r>
      <t xml:space="preserve"> </t>
    </r>
    <r>
      <rPr>
        <sz val="12"/>
        <color theme="1"/>
        <rFont val="標楷體"/>
        <family val="4"/>
        <charset val="136"/>
      </rPr>
      <t>中櫃</t>
    </r>
  </si>
  <si>
    <r>
      <t xml:space="preserve"> </t>
    </r>
    <r>
      <rPr>
        <sz val="12"/>
        <color theme="1"/>
        <rFont val="標楷體"/>
        <family val="4"/>
        <charset val="136"/>
      </rPr>
      <t>東森</t>
    </r>
  </si>
  <si>
    <r>
      <t xml:space="preserve"> </t>
    </r>
    <r>
      <rPr>
        <sz val="12"/>
        <color theme="1"/>
        <rFont val="標楷體"/>
        <family val="4"/>
        <charset val="136"/>
      </rPr>
      <t>萬海</t>
    </r>
  </si>
  <si>
    <r>
      <t xml:space="preserve"> </t>
    </r>
    <r>
      <rPr>
        <sz val="12"/>
        <color theme="1"/>
        <rFont val="標楷體"/>
        <family val="4"/>
        <charset val="136"/>
      </rPr>
      <t>山隆</t>
    </r>
  </si>
  <si>
    <r>
      <t xml:space="preserve"> </t>
    </r>
    <r>
      <rPr>
        <sz val="12"/>
        <color theme="1"/>
        <rFont val="標楷體"/>
        <family val="4"/>
        <charset val="136"/>
      </rPr>
      <t>台航</t>
    </r>
  </si>
  <si>
    <r>
      <t xml:space="preserve"> </t>
    </r>
    <r>
      <rPr>
        <sz val="12"/>
        <color theme="1"/>
        <rFont val="標楷體"/>
        <family val="4"/>
        <charset val="136"/>
      </rPr>
      <t>長榮航</t>
    </r>
  </si>
  <si>
    <r>
      <t xml:space="preserve"> </t>
    </r>
    <r>
      <rPr>
        <sz val="12"/>
        <color theme="1"/>
        <rFont val="標楷體"/>
        <family val="4"/>
        <charset val="136"/>
      </rPr>
      <t>亞航</t>
    </r>
  </si>
  <si>
    <r>
      <t xml:space="preserve"> </t>
    </r>
    <r>
      <rPr>
        <sz val="12"/>
        <color theme="1"/>
        <rFont val="標楷體"/>
        <family val="4"/>
        <charset val="136"/>
      </rPr>
      <t>台灣高鐵</t>
    </r>
  </si>
  <si>
    <r>
      <t xml:space="preserve"> </t>
    </r>
    <r>
      <rPr>
        <sz val="12"/>
        <color theme="1"/>
        <rFont val="標楷體"/>
        <family val="4"/>
        <charset val="136"/>
      </rPr>
      <t>漢翔</t>
    </r>
  </si>
  <si>
    <r>
      <t xml:space="preserve"> </t>
    </r>
    <r>
      <rPr>
        <sz val="12"/>
        <color theme="1"/>
        <rFont val="標楷體"/>
        <family val="4"/>
        <charset val="136"/>
      </rPr>
      <t>台驊投控</t>
    </r>
  </si>
  <si>
    <r>
      <t xml:space="preserve"> </t>
    </r>
    <r>
      <rPr>
        <sz val="12"/>
        <color theme="1"/>
        <rFont val="標楷體"/>
        <family val="4"/>
        <charset val="136"/>
      </rPr>
      <t>慧洋</t>
    </r>
    <r>
      <rPr>
        <sz val="12"/>
        <color theme="1"/>
        <rFont val="Times New Roman"/>
        <family val="1"/>
      </rPr>
      <t>-KY</t>
    </r>
  </si>
  <si>
    <r>
      <t xml:space="preserve"> </t>
    </r>
    <r>
      <rPr>
        <sz val="12"/>
        <color theme="1"/>
        <rFont val="標楷體"/>
        <family val="4"/>
        <charset val="136"/>
      </rPr>
      <t>宅配通</t>
    </r>
  </si>
  <si>
    <r>
      <t xml:space="preserve"> </t>
    </r>
    <r>
      <rPr>
        <sz val="12"/>
        <color theme="1"/>
        <rFont val="標楷體"/>
        <family val="4"/>
        <charset val="136"/>
      </rPr>
      <t>長榮航太</t>
    </r>
  </si>
  <si>
    <r>
      <rPr>
        <sz val="12"/>
        <color theme="1"/>
        <rFont val="標楷體"/>
        <family val="4"/>
        <charset val="136"/>
      </rPr>
      <t>上市未滿一年。</t>
    </r>
  </si>
  <si>
    <r>
      <t xml:space="preserve"> </t>
    </r>
    <r>
      <rPr>
        <sz val="12"/>
        <color theme="1"/>
        <rFont val="標楷體"/>
        <family val="4"/>
        <charset val="136"/>
      </rPr>
      <t>萬企</t>
    </r>
  </si>
  <si>
    <r>
      <t xml:space="preserve"> </t>
    </r>
    <r>
      <rPr>
        <sz val="12"/>
        <color theme="1"/>
        <rFont val="標楷體"/>
        <family val="4"/>
        <charset val="136"/>
      </rPr>
      <t>華園</t>
    </r>
  </si>
  <si>
    <r>
      <t xml:space="preserve"> </t>
    </r>
    <r>
      <rPr>
        <sz val="12"/>
        <color theme="1"/>
        <rFont val="標楷體"/>
        <family val="4"/>
        <charset val="136"/>
      </rPr>
      <t>國賓</t>
    </r>
  </si>
  <si>
    <r>
      <t xml:space="preserve"> </t>
    </r>
    <r>
      <rPr>
        <sz val="12"/>
        <color theme="1"/>
        <rFont val="標楷體"/>
        <family val="4"/>
        <charset val="136"/>
      </rPr>
      <t>六福</t>
    </r>
  </si>
  <si>
    <r>
      <t xml:space="preserve"> </t>
    </r>
    <r>
      <rPr>
        <sz val="12"/>
        <color theme="1"/>
        <rFont val="標楷體"/>
        <family val="4"/>
        <charset val="136"/>
      </rPr>
      <t>第一店</t>
    </r>
  </si>
  <si>
    <r>
      <t xml:space="preserve"> </t>
    </r>
    <r>
      <rPr>
        <sz val="12"/>
        <color theme="1"/>
        <rFont val="標楷體"/>
        <family val="4"/>
        <charset val="136"/>
      </rPr>
      <t>晶華</t>
    </r>
  </si>
  <si>
    <r>
      <t xml:space="preserve"> </t>
    </r>
    <r>
      <rPr>
        <sz val="12"/>
        <color theme="1"/>
        <rFont val="標楷體"/>
        <family val="4"/>
        <charset val="136"/>
      </rPr>
      <t>遠雄來</t>
    </r>
  </si>
  <si>
    <r>
      <t xml:space="preserve"> </t>
    </r>
    <r>
      <rPr>
        <sz val="12"/>
        <color theme="1"/>
        <rFont val="標楷體"/>
        <family val="4"/>
        <charset val="136"/>
      </rPr>
      <t>夏都</t>
    </r>
  </si>
  <si>
    <r>
      <t xml:space="preserve"> </t>
    </r>
    <r>
      <rPr>
        <sz val="12"/>
        <color theme="1"/>
        <rFont val="標楷體"/>
        <family val="4"/>
        <charset val="136"/>
      </rPr>
      <t>美食</t>
    </r>
    <r>
      <rPr>
        <sz val="12"/>
        <color theme="1"/>
        <rFont val="Times New Roman"/>
        <family val="1"/>
      </rPr>
      <t>-KY</t>
    </r>
  </si>
  <si>
    <r>
      <t xml:space="preserve"> </t>
    </r>
    <r>
      <rPr>
        <sz val="12"/>
        <color theme="1"/>
        <rFont val="標楷體"/>
        <family val="4"/>
        <charset val="136"/>
      </rPr>
      <t>王品</t>
    </r>
  </si>
  <si>
    <r>
      <t xml:space="preserve"> </t>
    </r>
    <r>
      <rPr>
        <sz val="12"/>
        <color theme="1"/>
        <rFont val="標楷體"/>
        <family val="4"/>
        <charset val="136"/>
      </rPr>
      <t>雄獅</t>
    </r>
  </si>
  <si>
    <r>
      <t xml:space="preserve"> </t>
    </r>
    <r>
      <rPr>
        <sz val="12"/>
        <color theme="1"/>
        <rFont val="標楷體"/>
        <family val="4"/>
        <charset val="136"/>
      </rPr>
      <t>寒舍</t>
    </r>
  </si>
  <si>
    <r>
      <t xml:space="preserve"> </t>
    </r>
    <r>
      <rPr>
        <sz val="12"/>
        <color theme="1"/>
        <rFont val="標楷體"/>
        <family val="4"/>
        <charset val="136"/>
      </rPr>
      <t>雲品</t>
    </r>
  </si>
  <si>
    <r>
      <t xml:space="preserve"> </t>
    </r>
    <r>
      <rPr>
        <sz val="12"/>
        <color theme="1"/>
        <rFont val="標楷體"/>
        <family val="4"/>
        <charset val="136"/>
      </rPr>
      <t>八方雲集</t>
    </r>
  </si>
  <si>
    <r>
      <t xml:space="preserve"> </t>
    </r>
    <r>
      <rPr>
        <sz val="12"/>
        <color theme="1"/>
        <rFont val="標楷體"/>
        <family val="4"/>
        <charset val="136"/>
      </rPr>
      <t>彰銀</t>
    </r>
  </si>
  <si>
    <r>
      <t xml:space="preserve"> </t>
    </r>
    <r>
      <rPr>
        <sz val="12"/>
        <color theme="1"/>
        <rFont val="標楷體"/>
        <family val="4"/>
        <charset val="136"/>
      </rPr>
      <t>京城銀</t>
    </r>
  </si>
  <si>
    <r>
      <t xml:space="preserve"> </t>
    </r>
    <r>
      <rPr>
        <sz val="12"/>
        <color theme="1"/>
        <rFont val="標楷體"/>
        <family val="4"/>
        <charset val="136"/>
      </rPr>
      <t>台中銀</t>
    </r>
  </si>
  <si>
    <r>
      <t xml:space="preserve"> </t>
    </r>
    <r>
      <rPr>
        <sz val="12"/>
        <color theme="1"/>
        <rFont val="標楷體"/>
        <family val="4"/>
        <charset val="136"/>
      </rPr>
      <t>旺旺保</t>
    </r>
  </si>
  <si>
    <r>
      <t xml:space="preserve"> </t>
    </r>
    <r>
      <rPr>
        <sz val="12"/>
        <color theme="1"/>
        <rFont val="標楷體"/>
        <family val="4"/>
        <charset val="136"/>
      </rPr>
      <t>華票</t>
    </r>
  </si>
  <si>
    <r>
      <t xml:space="preserve"> </t>
    </r>
    <r>
      <rPr>
        <sz val="12"/>
        <color theme="1"/>
        <rFont val="標楷體"/>
        <family val="4"/>
        <charset val="136"/>
      </rPr>
      <t>台產</t>
    </r>
  </si>
  <si>
    <r>
      <t xml:space="preserve"> </t>
    </r>
    <r>
      <rPr>
        <sz val="12"/>
        <color theme="1"/>
        <rFont val="標楷體"/>
        <family val="4"/>
        <charset val="136"/>
      </rPr>
      <t>臺企銀</t>
    </r>
  </si>
  <si>
    <r>
      <t xml:space="preserve"> </t>
    </r>
    <r>
      <rPr>
        <sz val="12"/>
        <color theme="1"/>
        <rFont val="標楷體"/>
        <family val="4"/>
        <charset val="136"/>
      </rPr>
      <t>高雄銀</t>
    </r>
  </si>
  <si>
    <r>
      <t xml:space="preserve"> </t>
    </r>
    <r>
      <rPr>
        <sz val="12"/>
        <color theme="1"/>
        <rFont val="標楷體"/>
        <family val="4"/>
        <charset val="136"/>
      </rPr>
      <t>聯邦銀</t>
    </r>
  </si>
  <si>
    <r>
      <t xml:space="preserve"> </t>
    </r>
    <r>
      <rPr>
        <sz val="12"/>
        <color theme="1"/>
        <rFont val="標楷體"/>
        <family val="4"/>
        <charset val="136"/>
      </rPr>
      <t>遠東銀</t>
    </r>
  </si>
  <si>
    <r>
      <t xml:space="preserve"> </t>
    </r>
    <r>
      <rPr>
        <sz val="12"/>
        <color theme="1"/>
        <rFont val="標楷體"/>
        <family val="4"/>
        <charset val="136"/>
      </rPr>
      <t>安泰銀</t>
    </r>
  </si>
  <si>
    <r>
      <t xml:space="preserve"> </t>
    </r>
    <r>
      <rPr>
        <sz val="12"/>
        <color theme="1"/>
        <rFont val="標楷體"/>
        <family val="4"/>
        <charset val="136"/>
      </rPr>
      <t>新產</t>
    </r>
  </si>
  <si>
    <r>
      <t xml:space="preserve"> </t>
    </r>
    <r>
      <rPr>
        <sz val="12"/>
        <color theme="1"/>
        <rFont val="標楷體"/>
        <family val="4"/>
        <charset val="136"/>
      </rPr>
      <t>中再保</t>
    </r>
  </si>
  <si>
    <r>
      <t xml:space="preserve"> </t>
    </r>
    <r>
      <rPr>
        <sz val="12"/>
        <color theme="1"/>
        <rFont val="標楷體"/>
        <family val="4"/>
        <charset val="136"/>
      </rPr>
      <t>第一保</t>
    </r>
  </si>
  <si>
    <r>
      <t xml:space="preserve"> </t>
    </r>
    <r>
      <rPr>
        <sz val="12"/>
        <color theme="1"/>
        <rFont val="標楷體"/>
        <family val="4"/>
        <charset val="136"/>
      </rPr>
      <t>統一證</t>
    </r>
  </si>
  <si>
    <r>
      <t xml:space="preserve"> </t>
    </r>
    <r>
      <rPr>
        <sz val="12"/>
        <color theme="1"/>
        <rFont val="標楷體"/>
        <family val="4"/>
        <charset val="136"/>
      </rPr>
      <t>三商壽</t>
    </r>
  </si>
  <si>
    <r>
      <t xml:space="preserve"> </t>
    </r>
    <r>
      <rPr>
        <sz val="12"/>
        <color theme="1"/>
        <rFont val="標楷體"/>
        <family val="4"/>
        <charset val="136"/>
      </rPr>
      <t>華南金</t>
    </r>
  </si>
  <si>
    <r>
      <t xml:space="preserve"> </t>
    </r>
    <r>
      <rPr>
        <sz val="12"/>
        <color theme="1"/>
        <rFont val="標楷體"/>
        <family val="4"/>
        <charset val="136"/>
      </rPr>
      <t>富邦金</t>
    </r>
  </si>
  <si>
    <r>
      <t xml:space="preserve"> </t>
    </r>
    <r>
      <rPr>
        <sz val="12"/>
        <color theme="1"/>
        <rFont val="標楷體"/>
        <family val="4"/>
        <charset val="136"/>
      </rPr>
      <t>國泰金</t>
    </r>
  </si>
  <si>
    <r>
      <t xml:space="preserve"> </t>
    </r>
    <r>
      <rPr>
        <sz val="12"/>
        <color theme="1"/>
        <rFont val="標楷體"/>
        <family val="4"/>
        <charset val="136"/>
      </rPr>
      <t>開發金</t>
    </r>
  </si>
  <si>
    <r>
      <t xml:space="preserve"> </t>
    </r>
    <r>
      <rPr>
        <sz val="12"/>
        <color theme="1"/>
        <rFont val="標楷體"/>
        <family val="4"/>
        <charset val="136"/>
      </rPr>
      <t>玉山金</t>
    </r>
  </si>
  <si>
    <r>
      <t xml:space="preserve"> </t>
    </r>
    <r>
      <rPr>
        <sz val="12"/>
        <color theme="1"/>
        <rFont val="標楷體"/>
        <family val="4"/>
        <charset val="136"/>
      </rPr>
      <t>元大金</t>
    </r>
  </si>
  <si>
    <r>
      <t xml:space="preserve"> </t>
    </r>
    <r>
      <rPr>
        <sz val="12"/>
        <color theme="1"/>
        <rFont val="標楷體"/>
        <family val="4"/>
        <charset val="136"/>
      </rPr>
      <t>兆豐金</t>
    </r>
  </si>
  <si>
    <r>
      <t xml:space="preserve"> </t>
    </r>
    <r>
      <rPr>
        <sz val="12"/>
        <color theme="1"/>
        <rFont val="標楷體"/>
        <family val="4"/>
        <charset val="136"/>
      </rPr>
      <t>台新金</t>
    </r>
  </si>
  <si>
    <r>
      <t xml:space="preserve"> </t>
    </r>
    <r>
      <rPr>
        <sz val="12"/>
        <color theme="1"/>
        <rFont val="標楷體"/>
        <family val="4"/>
        <charset val="136"/>
      </rPr>
      <t>新光金</t>
    </r>
  </si>
  <si>
    <r>
      <t xml:space="preserve"> </t>
    </r>
    <r>
      <rPr>
        <sz val="12"/>
        <color theme="1"/>
        <rFont val="標楷體"/>
        <family val="4"/>
        <charset val="136"/>
      </rPr>
      <t>國票金</t>
    </r>
  </si>
  <si>
    <r>
      <t xml:space="preserve"> </t>
    </r>
    <r>
      <rPr>
        <sz val="12"/>
        <color theme="1"/>
        <rFont val="標楷體"/>
        <family val="4"/>
        <charset val="136"/>
      </rPr>
      <t>永豐金</t>
    </r>
  </si>
  <si>
    <r>
      <t xml:space="preserve"> </t>
    </r>
    <r>
      <rPr>
        <sz val="12"/>
        <color theme="1"/>
        <rFont val="標楷體"/>
        <family val="4"/>
        <charset val="136"/>
      </rPr>
      <t>中信金</t>
    </r>
  </si>
  <si>
    <r>
      <t xml:space="preserve"> </t>
    </r>
    <r>
      <rPr>
        <sz val="12"/>
        <color theme="1"/>
        <rFont val="標楷體"/>
        <family val="4"/>
        <charset val="136"/>
      </rPr>
      <t>第一金</t>
    </r>
  </si>
  <si>
    <r>
      <t xml:space="preserve"> </t>
    </r>
    <r>
      <rPr>
        <sz val="12"/>
        <color theme="1"/>
        <rFont val="標楷體"/>
        <family val="4"/>
        <charset val="136"/>
      </rPr>
      <t>王道銀行</t>
    </r>
  </si>
  <si>
    <r>
      <t xml:space="preserve"> </t>
    </r>
    <r>
      <rPr>
        <sz val="12"/>
        <color theme="1"/>
        <rFont val="標楷體"/>
        <family val="4"/>
        <charset val="136"/>
      </rPr>
      <t>欣欣</t>
    </r>
  </si>
  <si>
    <r>
      <t xml:space="preserve"> </t>
    </r>
    <r>
      <rPr>
        <sz val="12"/>
        <color theme="1"/>
        <rFont val="標楷體"/>
        <family val="4"/>
        <charset val="136"/>
      </rPr>
      <t>遠百</t>
    </r>
  </si>
  <si>
    <r>
      <t xml:space="preserve"> </t>
    </r>
    <r>
      <rPr>
        <sz val="12"/>
        <color theme="1"/>
        <rFont val="標楷體"/>
        <family val="4"/>
        <charset val="136"/>
      </rPr>
      <t>匯僑</t>
    </r>
  </si>
  <si>
    <r>
      <t xml:space="preserve"> </t>
    </r>
    <r>
      <rPr>
        <sz val="12"/>
        <color theme="1"/>
        <rFont val="標楷體"/>
        <family val="4"/>
        <charset val="136"/>
      </rPr>
      <t>三商</t>
    </r>
  </si>
  <si>
    <r>
      <t xml:space="preserve"> </t>
    </r>
    <r>
      <rPr>
        <sz val="12"/>
        <color theme="1"/>
        <rFont val="標楷體"/>
        <family val="4"/>
        <charset val="136"/>
      </rPr>
      <t>高林</t>
    </r>
  </si>
  <si>
    <r>
      <t xml:space="preserve"> </t>
    </r>
    <r>
      <rPr>
        <sz val="12"/>
        <color theme="1"/>
        <rFont val="標楷體"/>
        <family val="4"/>
        <charset val="136"/>
      </rPr>
      <t>特力</t>
    </r>
  </si>
  <si>
    <r>
      <t xml:space="preserve"> </t>
    </r>
    <r>
      <rPr>
        <sz val="12"/>
        <color theme="1"/>
        <rFont val="標楷體"/>
        <family val="4"/>
        <charset val="136"/>
      </rPr>
      <t>統領</t>
    </r>
  </si>
  <si>
    <r>
      <t xml:space="preserve"> </t>
    </r>
    <r>
      <rPr>
        <sz val="12"/>
        <color theme="1"/>
        <rFont val="標楷體"/>
        <family val="4"/>
        <charset val="136"/>
      </rPr>
      <t>麗嬰房</t>
    </r>
  </si>
  <si>
    <r>
      <t xml:space="preserve"> </t>
    </r>
    <r>
      <rPr>
        <sz val="12"/>
        <color theme="1"/>
        <rFont val="標楷體"/>
        <family val="4"/>
        <charset val="136"/>
      </rPr>
      <t>統一超</t>
    </r>
  </si>
  <si>
    <r>
      <t xml:space="preserve"> </t>
    </r>
    <r>
      <rPr>
        <sz val="12"/>
        <color theme="1"/>
        <rFont val="標楷體"/>
        <family val="4"/>
        <charset val="136"/>
      </rPr>
      <t>農林</t>
    </r>
  </si>
  <si>
    <r>
      <t xml:space="preserve"> </t>
    </r>
    <r>
      <rPr>
        <sz val="12"/>
        <color theme="1"/>
        <rFont val="標楷體"/>
        <family val="4"/>
        <charset val="136"/>
      </rPr>
      <t>潤泰全</t>
    </r>
  </si>
  <si>
    <r>
      <t xml:space="preserve"> </t>
    </r>
    <r>
      <rPr>
        <sz val="12"/>
        <color theme="1"/>
        <rFont val="標楷體"/>
        <family val="4"/>
        <charset val="136"/>
      </rPr>
      <t>鼎固</t>
    </r>
    <r>
      <rPr>
        <sz val="12"/>
        <color theme="1"/>
        <rFont val="Times New Roman"/>
        <family val="1"/>
      </rPr>
      <t>-KY</t>
    </r>
  </si>
  <si>
    <r>
      <t xml:space="preserve"> </t>
    </r>
    <r>
      <rPr>
        <sz val="12"/>
        <color theme="1"/>
        <rFont val="標楷體"/>
        <family val="4"/>
        <charset val="136"/>
      </rPr>
      <t>淘帝</t>
    </r>
    <r>
      <rPr>
        <sz val="12"/>
        <color theme="1"/>
        <rFont val="Times New Roman"/>
        <family val="1"/>
      </rPr>
      <t>-KY</t>
    </r>
  </si>
  <si>
    <r>
      <t xml:space="preserve"> </t>
    </r>
    <r>
      <rPr>
        <sz val="12"/>
        <color theme="1"/>
        <rFont val="標楷體"/>
        <family val="4"/>
        <charset val="136"/>
      </rPr>
      <t>凱羿</t>
    </r>
    <r>
      <rPr>
        <sz val="12"/>
        <color theme="1"/>
        <rFont val="Times New Roman"/>
        <family val="1"/>
      </rPr>
      <t>-KY</t>
    </r>
  </si>
  <si>
    <r>
      <t xml:space="preserve"> </t>
    </r>
    <r>
      <rPr>
        <sz val="12"/>
        <color theme="1"/>
        <rFont val="標楷體"/>
        <family val="4"/>
        <charset val="136"/>
      </rPr>
      <t>三商家購</t>
    </r>
  </si>
  <si>
    <r>
      <t xml:space="preserve"> </t>
    </r>
    <r>
      <rPr>
        <sz val="12"/>
        <color theme="1"/>
        <rFont val="標楷體"/>
        <family val="4"/>
        <charset val="136"/>
      </rPr>
      <t>歐格</t>
    </r>
  </si>
  <si>
    <r>
      <t xml:space="preserve"> </t>
    </r>
    <r>
      <rPr>
        <sz val="12"/>
        <color theme="1"/>
        <rFont val="標楷體"/>
        <family val="4"/>
        <charset val="136"/>
      </rPr>
      <t>健和興</t>
    </r>
  </si>
  <si>
    <r>
      <t xml:space="preserve"> </t>
    </r>
    <r>
      <rPr>
        <sz val="12"/>
        <color theme="1"/>
        <rFont val="標楷體"/>
        <family val="4"/>
        <charset val="136"/>
      </rPr>
      <t>豐達科</t>
    </r>
  </si>
  <si>
    <r>
      <t xml:space="preserve"> </t>
    </r>
    <r>
      <rPr>
        <sz val="12"/>
        <color theme="1"/>
        <rFont val="標楷體"/>
        <family val="4"/>
        <charset val="136"/>
      </rPr>
      <t>神基</t>
    </r>
  </si>
  <si>
    <r>
      <t xml:space="preserve"> </t>
    </r>
    <r>
      <rPr>
        <sz val="12"/>
        <color theme="1"/>
        <rFont val="標楷體"/>
        <family val="4"/>
        <charset val="136"/>
      </rPr>
      <t>晶豪科</t>
    </r>
  </si>
  <si>
    <r>
      <t xml:space="preserve"> </t>
    </r>
    <r>
      <rPr>
        <sz val="12"/>
        <color theme="1"/>
        <rFont val="標楷體"/>
        <family val="4"/>
        <charset val="136"/>
      </rPr>
      <t>大立光</t>
    </r>
  </si>
  <si>
    <r>
      <t xml:space="preserve"> </t>
    </r>
    <r>
      <rPr>
        <sz val="12"/>
        <color theme="1"/>
        <rFont val="標楷體"/>
        <family val="4"/>
        <charset val="136"/>
      </rPr>
      <t>華立</t>
    </r>
  </si>
  <si>
    <r>
      <t xml:space="preserve"> </t>
    </r>
    <r>
      <rPr>
        <sz val="12"/>
        <color theme="1"/>
        <rFont val="標楷體"/>
        <family val="4"/>
        <charset val="136"/>
      </rPr>
      <t>今皓</t>
    </r>
  </si>
  <si>
    <r>
      <t xml:space="preserve"> </t>
    </r>
    <r>
      <rPr>
        <sz val="12"/>
        <color theme="1"/>
        <rFont val="標楷體"/>
        <family val="4"/>
        <charset val="136"/>
      </rPr>
      <t>晟銘電</t>
    </r>
  </si>
  <si>
    <r>
      <t xml:space="preserve"> </t>
    </r>
    <r>
      <rPr>
        <sz val="12"/>
        <color theme="1"/>
        <rFont val="標楷體"/>
        <family val="4"/>
        <charset val="136"/>
      </rPr>
      <t>聯陽</t>
    </r>
  </si>
  <si>
    <r>
      <t xml:space="preserve"> </t>
    </r>
    <r>
      <rPr>
        <sz val="12"/>
        <color theme="1"/>
        <rFont val="標楷體"/>
        <family val="4"/>
        <charset val="136"/>
      </rPr>
      <t>全漢</t>
    </r>
  </si>
  <si>
    <r>
      <t xml:space="preserve"> </t>
    </r>
    <r>
      <rPr>
        <sz val="12"/>
        <color theme="1"/>
        <rFont val="標楷體"/>
        <family val="4"/>
        <charset val="136"/>
      </rPr>
      <t>嘉晶</t>
    </r>
  </si>
  <si>
    <r>
      <t xml:space="preserve"> </t>
    </r>
    <r>
      <rPr>
        <sz val="12"/>
        <color theme="1"/>
        <rFont val="標楷體"/>
        <family val="4"/>
        <charset val="136"/>
      </rPr>
      <t>奇鋐</t>
    </r>
  </si>
  <si>
    <r>
      <t xml:space="preserve"> </t>
    </r>
    <r>
      <rPr>
        <sz val="12"/>
        <color theme="1"/>
        <rFont val="標楷體"/>
        <family val="4"/>
        <charset val="136"/>
      </rPr>
      <t>隆銘綠能</t>
    </r>
  </si>
  <si>
    <r>
      <t xml:space="preserve"> </t>
    </r>
    <r>
      <rPr>
        <sz val="12"/>
        <color theme="1"/>
        <rFont val="標楷體"/>
        <family val="4"/>
        <charset val="136"/>
      </rPr>
      <t>亞光</t>
    </r>
  </si>
  <si>
    <r>
      <t xml:space="preserve"> </t>
    </r>
    <r>
      <rPr>
        <sz val="12"/>
        <color theme="1"/>
        <rFont val="標楷體"/>
        <family val="4"/>
        <charset val="136"/>
      </rPr>
      <t>鴻名</t>
    </r>
  </si>
  <si>
    <r>
      <t xml:space="preserve"> </t>
    </r>
    <r>
      <rPr>
        <sz val="12"/>
        <color theme="1"/>
        <rFont val="標楷體"/>
        <family val="4"/>
        <charset val="136"/>
      </rPr>
      <t>威強電</t>
    </r>
  </si>
  <si>
    <r>
      <t xml:space="preserve"> </t>
    </r>
    <r>
      <rPr>
        <sz val="12"/>
        <color theme="1"/>
        <rFont val="標楷體"/>
        <family val="4"/>
        <charset val="136"/>
      </rPr>
      <t>信邦</t>
    </r>
  </si>
  <si>
    <r>
      <t xml:space="preserve"> </t>
    </r>
    <r>
      <rPr>
        <sz val="12"/>
        <color theme="1"/>
        <rFont val="標楷體"/>
        <family val="4"/>
        <charset val="136"/>
      </rPr>
      <t>憶聲</t>
    </r>
  </si>
  <si>
    <r>
      <t xml:space="preserve"> </t>
    </r>
    <r>
      <rPr>
        <sz val="12"/>
        <color theme="1"/>
        <rFont val="標楷體"/>
        <family val="4"/>
        <charset val="136"/>
      </rPr>
      <t>星通</t>
    </r>
  </si>
  <si>
    <r>
      <t xml:space="preserve"> </t>
    </r>
    <r>
      <rPr>
        <sz val="12"/>
        <color theme="1"/>
        <rFont val="標楷體"/>
        <family val="4"/>
        <charset val="136"/>
      </rPr>
      <t>禾伸堂</t>
    </r>
  </si>
  <si>
    <r>
      <t xml:space="preserve"> </t>
    </r>
    <r>
      <rPr>
        <sz val="12"/>
        <color theme="1"/>
        <rFont val="標楷體"/>
        <family val="4"/>
        <charset val="136"/>
      </rPr>
      <t>盛達</t>
    </r>
  </si>
  <si>
    <r>
      <t xml:space="preserve"> </t>
    </r>
    <r>
      <rPr>
        <sz val="12"/>
        <color theme="1"/>
        <rFont val="標楷體"/>
        <family val="4"/>
        <charset val="136"/>
      </rPr>
      <t>增你強</t>
    </r>
  </si>
  <si>
    <r>
      <t xml:space="preserve"> </t>
    </r>
    <r>
      <rPr>
        <sz val="12"/>
        <color theme="1"/>
        <rFont val="標楷體"/>
        <family val="4"/>
        <charset val="136"/>
      </rPr>
      <t>零壹</t>
    </r>
  </si>
  <si>
    <r>
      <t xml:space="preserve"> </t>
    </r>
    <r>
      <rPr>
        <sz val="12"/>
        <color theme="1"/>
        <rFont val="標楷體"/>
        <family val="4"/>
        <charset val="136"/>
      </rPr>
      <t>德律</t>
    </r>
  </si>
  <si>
    <r>
      <t xml:space="preserve"> </t>
    </r>
    <r>
      <rPr>
        <sz val="12"/>
        <color theme="1"/>
        <rFont val="標楷體"/>
        <family val="4"/>
        <charset val="136"/>
      </rPr>
      <t>佰鴻</t>
    </r>
  </si>
  <si>
    <r>
      <t xml:space="preserve"> </t>
    </r>
    <r>
      <rPr>
        <sz val="12"/>
        <color theme="1"/>
        <rFont val="標楷體"/>
        <family val="4"/>
        <charset val="136"/>
      </rPr>
      <t>偉訓</t>
    </r>
  </si>
  <si>
    <r>
      <t xml:space="preserve"> </t>
    </r>
    <r>
      <rPr>
        <sz val="12"/>
        <color theme="1"/>
        <rFont val="標楷體"/>
        <family val="4"/>
        <charset val="136"/>
      </rPr>
      <t>威健</t>
    </r>
  </si>
  <si>
    <r>
      <t xml:space="preserve"> </t>
    </r>
    <r>
      <rPr>
        <sz val="12"/>
        <color theme="1"/>
        <rFont val="標楷體"/>
        <family val="4"/>
        <charset val="136"/>
      </rPr>
      <t>聯詠</t>
    </r>
  </si>
  <si>
    <r>
      <t xml:space="preserve"> </t>
    </r>
    <r>
      <rPr>
        <sz val="12"/>
        <color theme="1"/>
        <rFont val="標楷體"/>
        <family val="4"/>
        <charset val="136"/>
      </rPr>
      <t>智原</t>
    </r>
  </si>
  <si>
    <r>
      <t xml:space="preserve"> </t>
    </r>
    <r>
      <rPr>
        <sz val="12"/>
        <color theme="1"/>
        <rFont val="標楷體"/>
        <family val="4"/>
        <charset val="136"/>
      </rPr>
      <t>文曄</t>
    </r>
  </si>
  <si>
    <r>
      <t xml:space="preserve"> </t>
    </r>
    <r>
      <rPr>
        <sz val="12"/>
        <color theme="1"/>
        <rFont val="標楷體"/>
        <family val="4"/>
        <charset val="136"/>
      </rPr>
      <t>欣興</t>
    </r>
  </si>
  <si>
    <r>
      <t xml:space="preserve"> </t>
    </r>
    <r>
      <rPr>
        <sz val="12"/>
        <color theme="1"/>
        <rFont val="標楷體"/>
        <family val="4"/>
        <charset val="136"/>
      </rPr>
      <t>全台</t>
    </r>
  </si>
  <si>
    <r>
      <t xml:space="preserve"> </t>
    </r>
    <r>
      <rPr>
        <sz val="12"/>
        <color theme="1"/>
        <rFont val="標楷體"/>
        <family val="4"/>
        <charset val="136"/>
      </rPr>
      <t>遠見</t>
    </r>
  </si>
  <si>
    <r>
      <t xml:space="preserve"> </t>
    </r>
    <r>
      <rPr>
        <sz val="12"/>
        <color theme="1"/>
        <rFont val="標楷體"/>
        <family val="4"/>
        <charset val="136"/>
      </rPr>
      <t>揚智</t>
    </r>
  </si>
  <si>
    <r>
      <t xml:space="preserve"> </t>
    </r>
    <r>
      <rPr>
        <sz val="12"/>
        <color theme="1"/>
        <rFont val="標楷體"/>
        <family val="4"/>
        <charset val="136"/>
      </rPr>
      <t>晶技</t>
    </r>
  </si>
  <si>
    <r>
      <t xml:space="preserve"> </t>
    </r>
    <r>
      <rPr>
        <sz val="12"/>
        <color theme="1"/>
        <rFont val="標楷體"/>
        <family val="4"/>
        <charset val="136"/>
      </rPr>
      <t>科風</t>
    </r>
  </si>
  <si>
    <r>
      <t xml:space="preserve"> </t>
    </r>
    <r>
      <rPr>
        <sz val="12"/>
        <color theme="1"/>
        <rFont val="標楷體"/>
        <family val="4"/>
        <charset val="136"/>
      </rPr>
      <t>健鼎</t>
    </r>
  </si>
  <si>
    <r>
      <t xml:space="preserve"> </t>
    </r>
    <r>
      <rPr>
        <sz val="12"/>
        <color theme="1"/>
        <rFont val="標楷體"/>
        <family val="4"/>
        <charset val="136"/>
      </rPr>
      <t>台灣大</t>
    </r>
  </si>
  <si>
    <r>
      <t xml:space="preserve"> </t>
    </r>
    <r>
      <rPr>
        <sz val="12"/>
        <color theme="1"/>
        <rFont val="標楷體"/>
        <family val="4"/>
        <charset val="136"/>
      </rPr>
      <t>建碁</t>
    </r>
  </si>
  <si>
    <r>
      <t xml:space="preserve"> </t>
    </r>
    <r>
      <rPr>
        <sz val="12"/>
        <color theme="1"/>
        <rFont val="標楷體"/>
        <family val="4"/>
        <charset val="136"/>
      </rPr>
      <t>訊舟</t>
    </r>
  </si>
  <si>
    <r>
      <t xml:space="preserve"> </t>
    </r>
    <r>
      <rPr>
        <sz val="12"/>
        <color theme="1"/>
        <rFont val="標楷體"/>
        <family val="4"/>
        <charset val="136"/>
      </rPr>
      <t>益登</t>
    </r>
  </si>
  <si>
    <r>
      <t xml:space="preserve"> </t>
    </r>
    <r>
      <rPr>
        <sz val="12"/>
        <color theme="1"/>
        <rFont val="標楷體"/>
        <family val="4"/>
        <charset val="136"/>
      </rPr>
      <t>精金</t>
    </r>
  </si>
  <si>
    <r>
      <t xml:space="preserve"> </t>
    </r>
    <r>
      <rPr>
        <sz val="12"/>
        <color theme="1"/>
        <rFont val="標楷體"/>
        <family val="4"/>
        <charset val="136"/>
      </rPr>
      <t>鈺德</t>
    </r>
  </si>
  <si>
    <r>
      <t xml:space="preserve"> </t>
    </r>
    <r>
      <rPr>
        <sz val="12"/>
        <color theme="1"/>
        <rFont val="標楷體"/>
        <family val="4"/>
        <charset val="136"/>
      </rPr>
      <t>力特</t>
    </r>
  </si>
  <si>
    <r>
      <t xml:space="preserve"> </t>
    </r>
    <r>
      <rPr>
        <sz val="12"/>
        <color theme="1"/>
        <rFont val="標楷體"/>
        <family val="4"/>
        <charset val="136"/>
      </rPr>
      <t>夆典</t>
    </r>
  </si>
  <si>
    <r>
      <t xml:space="preserve"> </t>
    </r>
    <r>
      <rPr>
        <sz val="12"/>
        <color theme="1"/>
        <rFont val="標楷體"/>
        <family val="4"/>
        <charset val="136"/>
      </rPr>
      <t>立萬利</t>
    </r>
  </si>
  <si>
    <r>
      <t xml:space="preserve"> </t>
    </r>
    <r>
      <rPr>
        <sz val="12"/>
        <color theme="1"/>
        <rFont val="標楷體"/>
        <family val="4"/>
        <charset val="136"/>
      </rPr>
      <t>蔚華科</t>
    </r>
  </si>
  <si>
    <r>
      <t xml:space="preserve"> </t>
    </r>
    <r>
      <rPr>
        <sz val="12"/>
        <color theme="1"/>
        <rFont val="標楷體"/>
        <family val="4"/>
        <charset val="136"/>
      </rPr>
      <t>富華新</t>
    </r>
  </si>
  <si>
    <r>
      <t xml:space="preserve"> </t>
    </r>
    <r>
      <rPr>
        <sz val="12"/>
        <color theme="1"/>
        <rFont val="標楷體"/>
        <family val="4"/>
        <charset val="136"/>
      </rPr>
      <t>喬鼎</t>
    </r>
  </si>
  <si>
    <r>
      <t xml:space="preserve"> </t>
    </r>
    <r>
      <rPr>
        <sz val="12"/>
        <color theme="1"/>
        <rFont val="標楷體"/>
        <family val="4"/>
        <charset val="136"/>
      </rPr>
      <t>立德</t>
    </r>
  </si>
  <si>
    <r>
      <t xml:space="preserve"> </t>
    </r>
    <r>
      <rPr>
        <sz val="12"/>
        <color theme="1"/>
        <rFont val="標楷體"/>
        <family val="4"/>
        <charset val="136"/>
      </rPr>
      <t>華晶科</t>
    </r>
  </si>
  <si>
    <r>
      <t xml:space="preserve"> </t>
    </r>
    <r>
      <rPr>
        <sz val="12"/>
        <color theme="1"/>
        <rFont val="標楷體"/>
        <family val="4"/>
        <charset val="136"/>
      </rPr>
      <t>銘異</t>
    </r>
  </si>
  <si>
    <r>
      <t xml:space="preserve"> </t>
    </r>
    <r>
      <rPr>
        <sz val="12"/>
        <color theme="1"/>
        <rFont val="標楷體"/>
        <family val="4"/>
        <charset val="136"/>
      </rPr>
      <t>建漢</t>
    </r>
  </si>
  <si>
    <r>
      <t xml:space="preserve"> </t>
    </r>
    <r>
      <rPr>
        <sz val="12"/>
        <color theme="1"/>
        <rFont val="標楷體"/>
        <family val="4"/>
        <charset val="136"/>
      </rPr>
      <t>日電貿</t>
    </r>
  </si>
  <si>
    <r>
      <t xml:space="preserve"> </t>
    </r>
    <r>
      <rPr>
        <sz val="12"/>
        <color theme="1"/>
        <rFont val="標楷體"/>
        <family val="4"/>
        <charset val="136"/>
      </rPr>
      <t>鴻碩</t>
    </r>
  </si>
  <si>
    <r>
      <t xml:space="preserve"> </t>
    </r>
    <r>
      <rPr>
        <sz val="12"/>
        <color theme="1"/>
        <rFont val="標楷體"/>
        <family val="4"/>
        <charset val="136"/>
      </rPr>
      <t>聯傑</t>
    </r>
  </si>
  <si>
    <r>
      <t xml:space="preserve"> </t>
    </r>
    <r>
      <rPr>
        <sz val="12"/>
        <color theme="1"/>
        <rFont val="標楷體"/>
        <family val="4"/>
        <charset val="136"/>
      </rPr>
      <t>一零四</t>
    </r>
  </si>
  <si>
    <r>
      <t xml:space="preserve"> </t>
    </r>
    <r>
      <rPr>
        <sz val="12"/>
        <color theme="1"/>
        <rFont val="標楷體"/>
        <family val="4"/>
        <charset val="136"/>
      </rPr>
      <t>耀登</t>
    </r>
  </si>
  <si>
    <r>
      <t xml:space="preserve"> </t>
    </r>
    <r>
      <rPr>
        <sz val="12"/>
        <color theme="1"/>
        <rFont val="標楷體"/>
        <family val="4"/>
        <charset val="136"/>
      </rPr>
      <t>正達</t>
    </r>
  </si>
  <si>
    <r>
      <t xml:space="preserve"> </t>
    </r>
    <r>
      <rPr>
        <sz val="12"/>
        <color theme="1"/>
        <rFont val="標楷體"/>
        <family val="4"/>
        <charset val="136"/>
      </rPr>
      <t>景岳</t>
    </r>
  </si>
  <si>
    <r>
      <t xml:space="preserve"> </t>
    </r>
    <r>
      <rPr>
        <sz val="12"/>
        <color theme="1"/>
        <rFont val="標楷體"/>
        <family val="4"/>
        <charset val="136"/>
      </rPr>
      <t>大量</t>
    </r>
  </si>
  <si>
    <r>
      <t xml:space="preserve"> </t>
    </r>
    <r>
      <rPr>
        <sz val="12"/>
        <color theme="1"/>
        <rFont val="標楷體"/>
        <family val="4"/>
        <charset val="136"/>
      </rPr>
      <t>景碩</t>
    </r>
  </si>
  <si>
    <r>
      <t xml:space="preserve"> </t>
    </r>
    <r>
      <rPr>
        <sz val="12"/>
        <color theme="1"/>
        <rFont val="標楷體"/>
        <family val="4"/>
        <charset val="136"/>
      </rPr>
      <t>全科</t>
    </r>
  </si>
  <si>
    <r>
      <t xml:space="preserve"> </t>
    </r>
    <r>
      <rPr>
        <sz val="12"/>
        <color theme="1"/>
        <rFont val="標楷體"/>
        <family val="4"/>
        <charset val="136"/>
      </rPr>
      <t>晟鈦</t>
    </r>
  </si>
  <si>
    <r>
      <t xml:space="preserve"> </t>
    </r>
    <r>
      <rPr>
        <sz val="12"/>
        <color theme="1"/>
        <rFont val="標楷體"/>
        <family val="4"/>
        <charset val="136"/>
      </rPr>
      <t>緯創</t>
    </r>
  </si>
  <si>
    <r>
      <t xml:space="preserve"> </t>
    </r>
    <r>
      <rPr>
        <sz val="12"/>
        <color theme="1"/>
        <rFont val="標楷體"/>
        <family val="4"/>
        <charset val="136"/>
      </rPr>
      <t>虹冠電</t>
    </r>
  </si>
  <si>
    <r>
      <t xml:space="preserve"> </t>
    </r>
    <r>
      <rPr>
        <sz val="12"/>
        <color theme="1"/>
        <rFont val="標楷體"/>
        <family val="4"/>
        <charset val="136"/>
      </rPr>
      <t>昇陽</t>
    </r>
  </si>
  <si>
    <r>
      <t xml:space="preserve"> </t>
    </r>
    <r>
      <rPr>
        <sz val="12"/>
        <color theme="1"/>
        <rFont val="標楷體"/>
        <family val="4"/>
        <charset val="136"/>
      </rPr>
      <t>勝德</t>
    </r>
  </si>
  <si>
    <r>
      <t xml:space="preserve"> </t>
    </r>
    <r>
      <rPr>
        <sz val="12"/>
        <color theme="1"/>
        <rFont val="標楷體"/>
        <family val="4"/>
        <charset val="136"/>
      </rPr>
      <t>昇貿</t>
    </r>
  </si>
  <si>
    <r>
      <t xml:space="preserve"> </t>
    </r>
    <r>
      <rPr>
        <sz val="12"/>
        <color theme="1"/>
        <rFont val="標楷體"/>
        <family val="4"/>
        <charset val="136"/>
      </rPr>
      <t>聯德</t>
    </r>
  </si>
  <si>
    <r>
      <t xml:space="preserve"> </t>
    </r>
    <r>
      <rPr>
        <sz val="12"/>
        <color theme="1"/>
        <rFont val="標楷體"/>
        <family val="4"/>
        <charset val="136"/>
      </rPr>
      <t>閎暉</t>
    </r>
  </si>
  <si>
    <r>
      <t xml:space="preserve"> </t>
    </r>
    <r>
      <rPr>
        <sz val="12"/>
        <color theme="1"/>
        <rFont val="標楷體"/>
        <family val="4"/>
        <charset val="136"/>
      </rPr>
      <t>弘憶股</t>
    </r>
  </si>
  <si>
    <r>
      <t xml:space="preserve"> </t>
    </r>
    <r>
      <rPr>
        <sz val="12"/>
        <color theme="1"/>
        <rFont val="標楷體"/>
        <family val="4"/>
        <charset val="136"/>
      </rPr>
      <t>同泰</t>
    </r>
  </si>
  <si>
    <r>
      <t xml:space="preserve"> </t>
    </r>
    <r>
      <rPr>
        <sz val="12"/>
        <color theme="1"/>
        <rFont val="標楷體"/>
        <family val="4"/>
        <charset val="136"/>
      </rPr>
      <t>泰碩</t>
    </r>
  </si>
  <si>
    <r>
      <t xml:space="preserve"> </t>
    </r>
    <r>
      <rPr>
        <sz val="12"/>
        <color theme="1"/>
        <rFont val="標楷體"/>
        <family val="4"/>
        <charset val="136"/>
      </rPr>
      <t>麗清</t>
    </r>
  </si>
  <si>
    <r>
      <t xml:space="preserve"> </t>
    </r>
    <r>
      <rPr>
        <sz val="12"/>
        <color theme="1"/>
        <rFont val="標楷體"/>
        <family val="4"/>
        <charset val="136"/>
      </rPr>
      <t>奇偶</t>
    </r>
  </si>
  <si>
    <r>
      <t xml:space="preserve"> </t>
    </r>
    <r>
      <rPr>
        <sz val="12"/>
        <color theme="1"/>
        <rFont val="標楷體"/>
        <family val="4"/>
        <charset val="136"/>
      </rPr>
      <t>新日興</t>
    </r>
  </si>
  <si>
    <r>
      <t xml:space="preserve"> </t>
    </r>
    <r>
      <rPr>
        <sz val="12"/>
        <color theme="1"/>
        <rFont val="標楷體"/>
        <family val="4"/>
        <charset val="136"/>
      </rPr>
      <t>明泰</t>
    </r>
  </si>
  <si>
    <r>
      <t xml:space="preserve"> </t>
    </r>
    <r>
      <rPr>
        <sz val="12"/>
        <color theme="1"/>
        <rFont val="標楷體"/>
        <family val="4"/>
        <charset val="136"/>
      </rPr>
      <t>玉晶光</t>
    </r>
  </si>
  <si>
    <r>
      <t xml:space="preserve"> </t>
    </r>
    <r>
      <rPr>
        <sz val="12"/>
        <color theme="1"/>
        <rFont val="標楷體"/>
        <family val="4"/>
        <charset val="136"/>
      </rPr>
      <t>京鼎</t>
    </r>
  </si>
  <si>
    <r>
      <t xml:space="preserve"> </t>
    </r>
    <r>
      <rPr>
        <sz val="12"/>
        <color theme="1"/>
        <rFont val="標楷體"/>
        <family val="4"/>
        <charset val="136"/>
      </rPr>
      <t>融程電</t>
    </r>
  </si>
  <si>
    <r>
      <t xml:space="preserve"> </t>
    </r>
    <r>
      <rPr>
        <sz val="12"/>
        <color theme="1"/>
        <rFont val="標楷體"/>
        <family val="4"/>
        <charset val="136"/>
      </rPr>
      <t>譁裕</t>
    </r>
  </si>
  <si>
    <r>
      <t xml:space="preserve"> </t>
    </r>
    <r>
      <rPr>
        <sz val="12"/>
        <color theme="1"/>
        <rFont val="標楷體"/>
        <family val="4"/>
        <charset val="136"/>
      </rPr>
      <t>台端</t>
    </r>
  </si>
  <si>
    <r>
      <t xml:space="preserve"> </t>
    </r>
    <r>
      <rPr>
        <sz val="12"/>
        <color theme="1"/>
        <rFont val="標楷體"/>
        <family val="4"/>
        <charset val="136"/>
      </rPr>
      <t>榮創</t>
    </r>
  </si>
  <si>
    <r>
      <t xml:space="preserve"> </t>
    </r>
    <r>
      <rPr>
        <sz val="12"/>
        <color theme="1"/>
        <rFont val="標楷體"/>
        <family val="4"/>
        <charset val="136"/>
      </rPr>
      <t>創意</t>
    </r>
  </si>
  <si>
    <r>
      <t xml:space="preserve"> </t>
    </r>
    <r>
      <rPr>
        <sz val="12"/>
        <color theme="1"/>
        <rFont val="標楷體"/>
        <family val="4"/>
        <charset val="136"/>
      </rPr>
      <t>展達</t>
    </r>
  </si>
  <si>
    <r>
      <t xml:space="preserve"> </t>
    </r>
    <r>
      <rPr>
        <sz val="12"/>
        <color theme="1"/>
        <rFont val="標楷體"/>
        <family val="4"/>
        <charset val="136"/>
      </rPr>
      <t>聯鈞</t>
    </r>
  </si>
  <si>
    <r>
      <t xml:space="preserve"> </t>
    </r>
    <r>
      <rPr>
        <sz val="12"/>
        <color theme="1"/>
        <rFont val="標楷體"/>
        <family val="4"/>
        <charset val="136"/>
      </rPr>
      <t>晶睿</t>
    </r>
  </si>
  <si>
    <r>
      <t xml:space="preserve"> </t>
    </r>
    <r>
      <rPr>
        <sz val="12"/>
        <color theme="1"/>
        <rFont val="標楷體"/>
        <family val="4"/>
        <charset val="136"/>
      </rPr>
      <t>群創</t>
    </r>
  </si>
  <si>
    <r>
      <t xml:space="preserve"> </t>
    </r>
    <r>
      <rPr>
        <sz val="12"/>
        <color theme="1"/>
        <rFont val="標楷體"/>
        <family val="4"/>
        <charset val="136"/>
      </rPr>
      <t>誠研</t>
    </r>
  </si>
  <si>
    <r>
      <t xml:space="preserve"> </t>
    </r>
    <r>
      <rPr>
        <sz val="12"/>
        <color theme="1"/>
        <rFont val="標楷體"/>
        <family val="4"/>
        <charset val="136"/>
      </rPr>
      <t>維熹</t>
    </r>
  </si>
  <si>
    <r>
      <t xml:space="preserve"> </t>
    </r>
    <r>
      <rPr>
        <sz val="12"/>
        <color theme="1"/>
        <rFont val="標楷體"/>
        <family val="4"/>
        <charset val="136"/>
      </rPr>
      <t>揚明光</t>
    </r>
  </si>
  <si>
    <r>
      <t xml:space="preserve"> </t>
    </r>
    <r>
      <rPr>
        <sz val="12"/>
        <color theme="1"/>
        <rFont val="標楷體"/>
        <family val="4"/>
        <charset val="136"/>
      </rPr>
      <t>華擎</t>
    </r>
  </si>
  <si>
    <r>
      <t xml:space="preserve"> </t>
    </r>
    <r>
      <rPr>
        <sz val="12"/>
        <color theme="1"/>
        <rFont val="標楷體"/>
        <family val="4"/>
        <charset val="136"/>
      </rPr>
      <t>柏騰</t>
    </r>
  </si>
  <si>
    <r>
      <t xml:space="preserve"> </t>
    </r>
    <r>
      <rPr>
        <sz val="12"/>
        <color theme="1"/>
        <rFont val="標楷體"/>
        <family val="4"/>
        <charset val="136"/>
      </rPr>
      <t>安馳</t>
    </r>
  </si>
  <si>
    <r>
      <t xml:space="preserve"> </t>
    </r>
    <r>
      <rPr>
        <sz val="12"/>
        <color theme="1"/>
        <rFont val="標楷體"/>
        <family val="4"/>
        <charset val="136"/>
      </rPr>
      <t>晶相光</t>
    </r>
  </si>
  <si>
    <r>
      <t xml:space="preserve"> </t>
    </r>
    <r>
      <rPr>
        <sz val="12"/>
        <color theme="1"/>
        <rFont val="標楷體"/>
        <family val="4"/>
        <charset val="136"/>
      </rPr>
      <t>台勝科</t>
    </r>
  </si>
  <si>
    <r>
      <t xml:space="preserve"> </t>
    </r>
    <r>
      <rPr>
        <sz val="12"/>
        <color theme="1"/>
        <rFont val="標楷體"/>
        <family val="4"/>
        <charset val="136"/>
      </rPr>
      <t>嘉澤</t>
    </r>
  </si>
  <si>
    <r>
      <t xml:space="preserve"> </t>
    </r>
    <r>
      <rPr>
        <sz val="12"/>
        <color theme="1"/>
        <rFont val="標楷體"/>
        <family val="4"/>
        <charset val="136"/>
      </rPr>
      <t>晶彩科</t>
    </r>
  </si>
  <si>
    <r>
      <t xml:space="preserve"> </t>
    </r>
    <r>
      <rPr>
        <sz val="12"/>
        <color theme="1"/>
        <rFont val="標楷體"/>
        <family val="4"/>
        <charset val="136"/>
      </rPr>
      <t>州巧</t>
    </r>
  </si>
  <si>
    <r>
      <t xml:space="preserve"> </t>
    </r>
    <r>
      <rPr>
        <sz val="12"/>
        <color theme="1"/>
        <rFont val="標楷體"/>
        <family val="4"/>
        <charset val="136"/>
      </rPr>
      <t>敦泰</t>
    </r>
  </si>
  <si>
    <r>
      <t xml:space="preserve"> </t>
    </r>
    <r>
      <rPr>
        <sz val="12"/>
        <color theme="1"/>
        <rFont val="標楷體"/>
        <family val="4"/>
        <charset val="136"/>
      </rPr>
      <t>聯穎</t>
    </r>
  </si>
  <si>
    <r>
      <t xml:space="preserve"> </t>
    </r>
    <r>
      <rPr>
        <sz val="12"/>
        <color theme="1"/>
        <rFont val="標楷體"/>
        <family val="4"/>
        <charset val="136"/>
      </rPr>
      <t>嘉威</t>
    </r>
  </si>
  <si>
    <r>
      <t xml:space="preserve"> </t>
    </r>
    <r>
      <rPr>
        <sz val="12"/>
        <color theme="1"/>
        <rFont val="標楷體"/>
        <family val="4"/>
        <charset val="136"/>
      </rPr>
      <t>牧德</t>
    </r>
  </si>
  <si>
    <r>
      <t xml:space="preserve"> </t>
    </r>
    <r>
      <rPr>
        <sz val="12"/>
        <color theme="1"/>
        <rFont val="標楷體"/>
        <family val="4"/>
        <charset val="136"/>
      </rPr>
      <t>聯合再生</t>
    </r>
  </si>
  <si>
    <r>
      <t xml:space="preserve"> </t>
    </r>
    <r>
      <rPr>
        <sz val="12"/>
        <color theme="1"/>
        <rFont val="標楷體"/>
        <family val="4"/>
        <charset val="136"/>
      </rPr>
      <t>辛耘</t>
    </r>
  </si>
  <si>
    <r>
      <t xml:space="preserve"> </t>
    </r>
    <r>
      <rPr>
        <sz val="12"/>
        <color theme="1"/>
        <rFont val="標楷體"/>
        <family val="4"/>
        <charset val="136"/>
      </rPr>
      <t>通嘉</t>
    </r>
  </si>
  <si>
    <r>
      <t xml:space="preserve"> </t>
    </r>
    <r>
      <rPr>
        <sz val="12"/>
        <color theme="1"/>
        <rFont val="標楷體"/>
        <family val="4"/>
        <charset val="136"/>
      </rPr>
      <t>艾笛森</t>
    </r>
  </si>
  <si>
    <r>
      <t xml:space="preserve"> </t>
    </r>
    <r>
      <rPr>
        <sz val="12"/>
        <color theme="1"/>
        <rFont val="標楷體"/>
        <family val="4"/>
        <charset val="136"/>
      </rPr>
      <t>瑞鼎</t>
    </r>
  </si>
  <si>
    <r>
      <t xml:space="preserve"> </t>
    </r>
    <r>
      <rPr>
        <sz val="12"/>
        <color theme="1"/>
        <rFont val="標楷體"/>
        <family val="4"/>
        <charset val="136"/>
      </rPr>
      <t>力銘</t>
    </r>
  </si>
  <si>
    <r>
      <t xml:space="preserve"> </t>
    </r>
    <r>
      <rPr>
        <sz val="12"/>
        <color theme="1"/>
        <rFont val="標楷體"/>
        <family val="4"/>
        <charset val="136"/>
      </rPr>
      <t>智易</t>
    </r>
  </si>
  <si>
    <r>
      <t xml:space="preserve"> </t>
    </r>
    <r>
      <rPr>
        <sz val="12"/>
        <color theme="1"/>
        <rFont val="標楷體"/>
        <family val="4"/>
        <charset val="136"/>
      </rPr>
      <t>宏致</t>
    </r>
  </si>
  <si>
    <r>
      <t xml:space="preserve"> </t>
    </r>
    <r>
      <rPr>
        <sz val="12"/>
        <color theme="1"/>
        <rFont val="標楷體"/>
        <family val="4"/>
        <charset val="136"/>
      </rPr>
      <t>谷崧</t>
    </r>
  </si>
  <si>
    <r>
      <t xml:space="preserve"> </t>
    </r>
    <r>
      <rPr>
        <sz val="12"/>
        <color theme="1"/>
        <rFont val="標楷體"/>
        <family val="4"/>
        <charset val="136"/>
      </rPr>
      <t>碩天</t>
    </r>
  </si>
  <si>
    <r>
      <t xml:space="preserve"> </t>
    </r>
    <r>
      <rPr>
        <sz val="12"/>
        <color theme="1"/>
        <rFont val="標楷體"/>
        <family val="4"/>
        <charset val="136"/>
      </rPr>
      <t>洋華</t>
    </r>
  </si>
  <si>
    <r>
      <t xml:space="preserve"> </t>
    </r>
    <r>
      <rPr>
        <sz val="12"/>
        <color theme="1"/>
        <rFont val="標楷體"/>
        <family val="4"/>
        <charset val="136"/>
      </rPr>
      <t>達邁</t>
    </r>
  </si>
  <si>
    <r>
      <t xml:space="preserve"> </t>
    </r>
    <r>
      <rPr>
        <sz val="12"/>
        <color theme="1"/>
        <rFont val="標楷體"/>
        <family val="4"/>
        <charset val="136"/>
      </rPr>
      <t>精聯</t>
    </r>
  </si>
  <si>
    <r>
      <t xml:space="preserve"> </t>
    </r>
    <r>
      <rPr>
        <sz val="12"/>
        <color theme="1"/>
        <rFont val="標楷體"/>
        <family val="4"/>
        <charset val="136"/>
      </rPr>
      <t>健策</t>
    </r>
  </si>
  <si>
    <r>
      <t xml:space="preserve"> </t>
    </r>
    <r>
      <rPr>
        <sz val="12"/>
        <color theme="1"/>
        <rFont val="標楷體"/>
        <family val="4"/>
        <charset val="136"/>
      </rPr>
      <t>世芯</t>
    </r>
    <r>
      <rPr>
        <sz val="12"/>
        <color theme="1"/>
        <rFont val="Times New Roman"/>
        <family val="1"/>
      </rPr>
      <t>-KY</t>
    </r>
  </si>
  <si>
    <r>
      <t xml:space="preserve"> </t>
    </r>
    <r>
      <rPr>
        <sz val="12"/>
        <color theme="1"/>
        <rFont val="標楷體"/>
        <family val="4"/>
        <charset val="136"/>
      </rPr>
      <t>貿聯</t>
    </r>
    <r>
      <rPr>
        <sz val="12"/>
        <color theme="1"/>
        <rFont val="Times New Roman"/>
        <family val="1"/>
      </rPr>
      <t>-KY</t>
    </r>
  </si>
  <si>
    <r>
      <t xml:space="preserve"> </t>
    </r>
    <r>
      <rPr>
        <sz val="12"/>
        <color theme="1"/>
        <rFont val="標楷體"/>
        <family val="4"/>
        <charset val="136"/>
      </rPr>
      <t>圓展</t>
    </r>
  </si>
  <si>
    <r>
      <t xml:space="preserve"> </t>
    </r>
    <r>
      <rPr>
        <sz val="12"/>
        <color theme="1"/>
        <rFont val="標楷體"/>
        <family val="4"/>
        <charset val="136"/>
      </rPr>
      <t>新至陞</t>
    </r>
  </si>
  <si>
    <r>
      <t xml:space="preserve"> </t>
    </r>
    <r>
      <rPr>
        <sz val="12"/>
        <color theme="1"/>
        <rFont val="標楷體"/>
        <family val="4"/>
        <charset val="136"/>
      </rPr>
      <t>達能</t>
    </r>
  </si>
  <si>
    <r>
      <t xml:space="preserve"> </t>
    </r>
    <r>
      <rPr>
        <sz val="12"/>
        <color theme="1"/>
        <rFont val="標楷體"/>
        <family val="4"/>
        <charset val="136"/>
      </rPr>
      <t>海華</t>
    </r>
  </si>
  <si>
    <r>
      <t xml:space="preserve"> </t>
    </r>
    <r>
      <rPr>
        <sz val="12"/>
        <color theme="1"/>
        <rFont val="標楷體"/>
        <family val="4"/>
        <charset val="136"/>
      </rPr>
      <t>大眾控</t>
    </r>
  </si>
  <si>
    <r>
      <t xml:space="preserve"> </t>
    </r>
    <r>
      <rPr>
        <sz val="12"/>
        <color theme="1"/>
        <rFont val="標楷體"/>
        <family val="4"/>
        <charset val="136"/>
      </rPr>
      <t>大聯大</t>
    </r>
  </si>
  <si>
    <r>
      <t xml:space="preserve"> </t>
    </r>
    <r>
      <rPr>
        <sz val="12"/>
        <color theme="1"/>
        <rFont val="標楷體"/>
        <family val="4"/>
        <charset val="136"/>
      </rPr>
      <t>欣陸</t>
    </r>
  </si>
  <si>
    <r>
      <t xml:space="preserve"> </t>
    </r>
    <r>
      <rPr>
        <sz val="12"/>
        <color theme="1"/>
        <rFont val="標楷體"/>
        <family val="4"/>
        <charset val="136"/>
      </rPr>
      <t>合勤控</t>
    </r>
  </si>
  <si>
    <r>
      <t xml:space="preserve"> </t>
    </r>
    <r>
      <rPr>
        <sz val="12"/>
        <color theme="1"/>
        <rFont val="標楷體"/>
        <family val="4"/>
        <charset val="136"/>
      </rPr>
      <t>永信</t>
    </r>
  </si>
  <si>
    <r>
      <t xml:space="preserve"> </t>
    </r>
    <r>
      <rPr>
        <sz val="12"/>
        <color theme="1"/>
        <rFont val="標楷體"/>
        <family val="4"/>
        <charset val="136"/>
      </rPr>
      <t>神達</t>
    </r>
  </si>
  <si>
    <r>
      <t xml:space="preserve"> </t>
    </r>
    <r>
      <rPr>
        <sz val="12"/>
        <color theme="1"/>
        <rFont val="標楷體"/>
        <family val="4"/>
        <charset val="136"/>
      </rPr>
      <t>上緯投控</t>
    </r>
  </si>
  <si>
    <r>
      <t xml:space="preserve"> </t>
    </r>
    <r>
      <rPr>
        <sz val="12"/>
        <color theme="1"/>
        <rFont val="標楷體"/>
        <family val="4"/>
        <charset val="136"/>
      </rPr>
      <t>日月光投控</t>
    </r>
  </si>
  <si>
    <r>
      <t xml:space="preserve"> </t>
    </r>
    <r>
      <rPr>
        <sz val="12"/>
        <color theme="1"/>
        <rFont val="標楷體"/>
        <family val="4"/>
        <charset val="136"/>
      </rPr>
      <t>永崴投控</t>
    </r>
  </si>
  <si>
    <r>
      <t xml:space="preserve"> </t>
    </r>
    <r>
      <rPr>
        <sz val="12"/>
        <color theme="1"/>
        <rFont val="標楷體"/>
        <family val="4"/>
        <charset val="136"/>
      </rPr>
      <t>富采</t>
    </r>
  </si>
  <si>
    <r>
      <t xml:space="preserve"> </t>
    </r>
    <r>
      <rPr>
        <sz val="12"/>
        <color theme="1"/>
        <rFont val="標楷體"/>
        <family val="4"/>
        <charset val="136"/>
      </rPr>
      <t>定穎投控</t>
    </r>
  </si>
  <si>
    <r>
      <t xml:space="preserve"> </t>
    </r>
    <r>
      <rPr>
        <sz val="12"/>
        <color theme="1"/>
        <rFont val="標楷體"/>
        <family val="4"/>
        <charset val="136"/>
      </rPr>
      <t>佳醫</t>
    </r>
  </si>
  <si>
    <r>
      <t xml:space="preserve"> </t>
    </r>
    <r>
      <rPr>
        <sz val="12"/>
        <color theme="1"/>
        <rFont val="標楷體"/>
        <family val="4"/>
        <charset val="136"/>
      </rPr>
      <t>雃博</t>
    </r>
  </si>
  <si>
    <r>
      <t xml:space="preserve"> </t>
    </r>
    <r>
      <rPr>
        <sz val="12"/>
        <color theme="1"/>
        <rFont val="標楷體"/>
        <family val="4"/>
        <charset val="136"/>
      </rPr>
      <t>懷特</t>
    </r>
  </si>
  <si>
    <r>
      <t xml:space="preserve"> </t>
    </r>
    <r>
      <rPr>
        <sz val="12"/>
        <color theme="1"/>
        <rFont val="標楷體"/>
        <family val="4"/>
        <charset val="136"/>
      </rPr>
      <t>旭富</t>
    </r>
  </si>
  <si>
    <r>
      <t xml:space="preserve"> </t>
    </r>
    <r>
      <rPr>
        <sz val="12"/>
        <color theme="1"/>
        <rFont val="標楷體"/>
        <family val="4"/>
        <charset val="136"/>
      </rPr>
      <t>亞諾法</t>
    </r>
  </si>
  <si>
    <r>
      <t xml:space="preserve"> </t>
    </r>
    <r>
      <rPr>
        <sz val="12"/>
        <color theme="1"/>
        <rFont val="標楷體"/>
        <family val="4"/>
        <charset val="136"/>
      </rPr>
      <t>麗豐</t>
    </r>
    <r>
      <rPr>
        <sz val="12"/>
        <color theme="1"/>
        <rFont val="Times New Roman"/>
        <family val="1"/>
      </rPr>
      <t>-KY</t>
    </r>
  </si>
  <si>
    <r>
      <t xml:space="preserve"> </t>
    </r>
    <r>
      <rPr>
        <sz val="12"/>
        <color theme="1"/>
        <rFont val="標楷體"/>
        <family val="4"/>
        <charset val="136"/>
      </rPr>
      <t>國光生</t>
    </r>
  </si>
  <si>
    <r>
      <t xml:space="preserve"> </t>
    </r>
    <r>
      <rPr>
        <sz val="12"/>
        <color theme="1"/>
        <rFont val="標楷體"/>
        <family val="4"/>
        <charset val="136"/>
      </rPr>
      <t>全宇生技</t>
    </r>
    <r>
      <rPr>
        <sz val="12"/>
        <color theme="1"/>
        <rFont val="Times New Roman"/>
        <family val="1"/>
      </rPr>
      <t>-KY</t>
    </r>
  </si>
  <si>
    <r>
      <t xml:space="preserve"> </t>
    </r>
    <r>
      <rPr>
        <sz val="12"/>
        <color theme="1"/>
        <rFont val="標楷體"/>
        <family val="4"/>
        <charset val="136"/>
      </rPr>
      <t>訊映</t>
    </r>
  </si>
  <si>
    <r>
      <t xml:space="preserve"> </t>
    </r>
    <r>
      <rPr>
        <sz val="12"/>
        <color theme="1"/>
        <rFont val="標楷體"/>
        <family val="4"/>
        <charset val="136"/>
      </rPr>
      <t>承業醫</t>
    </r>
  </si>
  <si>
    <r>
      <t xml:space="preserve"> </t>
    </r>
    <r>
      <rPr>
        <sz val="12"/>
        <color theme="1"/>
        <rFont val="標楷體"/>
        <family val="4"/>
        <charset val="136"/>
      </rPr>
      <t>佐登</t>
    </r>
    <r>
      <rPr>
        <sz val="12"/>
        <color theme="1"/>
        <rFont val="Times New Roman"/>
        <family val="1"/>
      </rPr>
      <t>-KY</t>
    </r>
  </si>
  <si>
    <r>
      <t xml:space="preserve"> </t>
    </r>
    <r>
      <rPr>
        <sz val="12"/>
        <color theme="1"/>
        <rFont val="標楷體"/>
        <family val="4"/>
        <charset val="136"/>
      </rPr>
      <t>炎洲</t>
    </r>
  </si>
  <si>
    <r>
      <t xml:space="preserve"> </t>
    </r>
    <r>
      <rPr>
        <sz val="12"/>
        <color theme="1"/>
        <rFont val="標楷體"/>
        <family val="4"/>
        <charset val="136"/>
      </rPr>
      <t>如興</t>
    </r>
  </si>
  <si>
    <r>
      <t xml:space="preserve"> </t>
    </r>
    <r>
      <rPr>
        <sz val="12"/>
        <color theme="1"/>
        <rFont val="標楷體"/>
        <family val="4"/>
        <charset val="136"/>
      </rPr>
      <t>利勤</t>
    </r>
  </si>
  <si>
    <r>
      <t xml:space="preserve"> </t>
    </r>
    <r>
      <rPr>
        <sz val="12"/>
        <color theme="1"/>
        <rFont val="標楷體"/>
        <family val="4"/>
        <charset val="136"/>
      </rPr>
      <t>廣越</t>
    </r>
  </si>
  <si>
    <r>
      <t xml:space="preserve"> </t>
    </r>
    <r>
      <rPr>
        <sz val="12"/>
        <color theme="1"/>
        <rFont val="標楷體"/>
        <family val="4"/>
        <charset val="136"/>
      </rPr>
      <t>冠星</t>
    </r>
    <r>
      <rPr>
        <sz val="12"/>
        <color theme="1"/>
        <rFont val="Times New Roman"/>
        <family val="1"/>
      </rPr>
      <t>-KY</t>
    </r>
  </si>
  <si>
    <r>
      <t xml:space="preserve"> </t>
    </r>
    <r>
      <rPr>
        <sz val="12"/>
        <color theme="1"/>
        <rFont val="標楷體"/>
        <family val="4"/>
        <charset val="136"/>
      </rPr>
      <t>宜新實業</t>
    </r>
  </si>
  <si>
    <r>
      <t xml:space="preserve"> </t>
    </r>
    <r>
      <rPr>
        <sz val="12"/>
        <color theme="1"/>
        <rFont val="標楷體"/>
        <family val="4"/>
        <charset val="136"/>
      </rPr>
      <t>東台</t>
    </r>
  </si>
  <si>
    <r>
      <t xml:space="preserve"> </t>
    </r>
    <r>
      <rPr>
        <sz val="12"/>
        <color theme="1"/>
        <rFont val="標楷體"/>
        <family val="4"/>
        <charset val="136"/>
      </rPr>
      <t>瑞智</t>
    </r>
  </si>
  <si>
    <r>
      <t xml:space="preserve"> </t>
    </r>
    <r>
      <rPr>
        <sz val="12"/>
        <color theme="1"/>
        <rFont val="標楷體"/>
        <family val="4"/>
        <charset val="136"/>
      </rPr>
      <t>拓凱</t>
    </r>
  </si>
  <si>
    <r>
      <t xml:space="preserve"> </t>
    </r>
    <r>
      <rPr>
        <sz val="12"/>
        <color theme="1"/>
        <rFont val="標楷體"/>
        <family val="4"/>
        <charset val="136"/>
      </rPr>
      <t>全球傳動</t>
    </r>
  </si>
  <si>
    <r>
      <t xml:space="preserve"> </t>
    </r>
    <r>
      <rPr>
        <sz val="12"/>
        <color theme="1"/>
        <rFont val="標楷體"/>
        <family val="4"/>
        <charset val="136"/>
      </rPr>
      <t>銘鈺</t>
    </r>
  </si>
  <si>
    <r>
      <t xml:space="preserve"> </t>
    </r>
    <r>
      <rPr>
        <sz val="12"/>
        <color theme="1"/>
        <rFont val="標楷體"/>
        <family val="4"/>
        <charset val="136"/>
      </rPr>
      <t>智伸科</t>
    </r>
  </si>
  <si>
    <r>
      <t xml:space="preserve"> </t>
    </r>
    <r>
      <rPr>
        <sz val="12"/>
        <color theme="1"/>
        <rFont val="標楷體"/>
        <family val="4"/>
        <charset val="136"/>
      </rPr>
      <t>力達</t>
    </r>
    <r>
      <rPr>
        <sz val="12"/>
        <color theme="1"/>
        <rFont val="Times New Roman"/>
        <family val="1"/>
      </rPr>
      <t>-KY</t>
    </r>
  </si>
  <si>
    <r>
      <t xml:space="preserve"> </t>
    </r>
    <r>
      <rPr>
        <sz val="12"/>
        <color theme="1"/>
        <rFont val="標楷體"/>
        <family val="4"/>
        <charset val="136"/>
      </rPr>
      <t>氣立</t>
    </r>
  </si>
  <si>
    <r>
      <t xml:space="preserve"> </t>
    </r>
    <r>
      <rPr>
        <sz val="12"/>
        <color theme="1"/>
        <rFont val="標楷體"/>
        <family val="4"/>
        <charset val="136"/>
      </rPr>
      <t>永新</t>
    </r>
    <r>
      <rPr>
        <sz val="12"/>
        <color theme="1"/>
        <rFont val="Times New Roman"/>
        <family val="1"/>
      </rPr>
      <t>-KY</t>
    </r>
  </si>
  <si>
    <r>
      <t xml:space="preserve"> </t>
    </r>
    <r>
      <rPr>
        <sz val="12"/>
        <color theme="1"/>
        <rFont val="標楷體"/>
        <family val="4"/>
        <charset val="136"/>
      </rPr>
      <t>強信</t>
    </r>
    <r>
      <rPr>
        <sz val="12"/>
        <color theme="1"/>
        <rFont val="Times New Roman"/>
        <family val="1"/>
      </rPr>
      <t>-KY</t>
    </r>
  </si>
  <si>
    <r>
      <t xml:space="preserve"> </t>
    </r>
    <r>
      <rPr>
        <sz val="12"/>
        <color theme="1"/>
        <rFont val="標楷體"/>
        <family val="4"/>
        <charset val="136"/>
      </rPr>
      <t>穎漢</t>
    </r>
  </si>
  <si>
    <r>
      <t xml:space="preserve"> </t>
    </r>
    <r>
      <rPr>
        <sz val="12"/>
        <color theme="1"/>
        <rFont val="標楷體"/>
        <family val="4"/>
        <charset val="136"/>
      </rPr>
      <t>元翎</t>
    </r>
  </si>
  <si>
    <r>
      <t xml:space="preserve"> </t>
    </r>
    <r>
      <rPr>
        <sz val="12"/>
        <color theme="1"/>
        <rFont val="標楷體"/>
        <family val="4"/>
        <charset val="136"/>
      </rPr>
      <t>時碩工業</t>
    </r>
  </si>
  <si>
    <r>
      <t xml:space="preserve"> </t>
    </r>
    <r>
      <rPr>
        <sz val="12"/>
        <color theme="1"/>
        <rFont val="標楷體"/>
        <family val="4"/>
        <charset val="136"/>
      </rPr>
      <t>六方科</t>
    </r>
    <r>
      <rPr>
        <sz val="12"/>
        <color theme="1"/>
        <rFont val="Times New Roman"/>
        <family val="1"/>
      </rPr>
      <t>-KY</t>
    </r>
  </si>
  <si>
    <r>
      <t xml:space="preserve"> </t>
    </r>
    <r>
      <rPr>
        <sz val="12"/>
        <color theme="1"/>
        <rFont val="標楷體"/>
        <family val="4"/>
        <charset val="136"/>
      </rPr>
      <t>鈞興</t>
    </r>
    <r>
      <rPr>
        <sz val="12"/>
        <color theme="1"/>
        <rFont val="Times New Roman"/>
        <family val="1"/>
      </rPr>
      <t>-KY</t>
    </r>
  </si>
  <si>
    <r>
      <t xml:space="preserve"> </t>
    </r>
    <r>
      <rPr>
        <sz val="12"/>
        <color theme="1"/>
        <rFont val="標楷體"/>
        <family val="4"/>
        <charset val="136"/>
      </rPr>
      <t>駐龍</t>
    </r>
  </si>
  <si>
    <r>
      <t xml:space="preserve"> </t>
    </r>
    <r>
      <rPr>
        <sz val="12"/>
        <color theme="1"/>
        <rFont val="標楷體"/>
        <family val="4"/>
        <charset val="136"/>
      </rPr>
      <t>大銀微系統</t>
    </r>
  </si>
  <si>
    <r>
      <t xml:space="preserve"> </t>
    </r>
    <r>
      <rPr>
        <sz val="12"/>
        <color theme="1"/>
        <rFont val="標楷體"/>
        <family val="4"/>
        <charset val="136"/>
      </rPr>
      <t>光隆精密</t>
    </r>
    <r>
      <rPr>
        <sz val="12"/>
        <color theme="1"/>
        <rFont val="Times New Roman"/>
        <family val="1"/>
      </rPr>
      <t>-KY</t>
    </r>
  </si>
  <si>
    <r>
      <t xml:space="preserve"> </t>
    </r>
    <r>
      <rPr>
        <sz val="12"/>
        <color theme="1"/>
        <rFont val="標楷體"/>
        <family val="4"/>
        <charset val="136"/>
      </rPr>
      <t>台灣精銳</t>
    </r>
  </si>
  <si>
    <r>
      <t xml:space="preserve"> </t>
    </r>
    <r>
      <rPr>
        <sz val="12"/>
        <color theme="1"/>
        <rFont val="標楷體"/>
        <family val="4"/>
        <charset val="136"/>
      </rPr>
      <t>德淵</t>
    </r>
  </si>
  <si>
    <r>
      <t xml:space="preserve"> </t>
    </r>
    <r>
      <rPr>
        <sz val="12"/>
        <color theme="1"/>
        <rFont val="標楷體"/>
        <family val="4"/>
        <charset val="136"/>
      </rPr>
      <t>國精化</t>
    </r>
  </si>
  <si>
    <r>
      <t xml:space="preserve"> </t>
    </r>
    <r>
      <rPr>
        <sz val="12"/>
        <color theme="1"/>
        <rFont val="標楷體"/>
        <family val="4"/>
        <charset val="136"/>
      </rPr>
      <t>泰博</t>
    </r>
  </si>
  <si>
    <r>
      <t xml:space="preserve"> </t>
    </r>
    <r>
      <rPr>
        <sz val="12"/>
        <color theme="1"/>
        <rFont val="標楷體"/>
        <family val="4"/>
        <charset val="136"/>
      </rPr>
      <t>華廣</t>
    </r>
  </si>
  <si>
    <r>
      <t xml:space="preserve"> </t>
    </r>
    <r>
      <rPr>
        <sz val="12"/>
        <color theme="1"/>
        <rFont val="標楷體"/>
        <family val="4"/>
        <charset val="136"/>
      </rPr>
      <t>康普</t>
    </r>
  </si>
  <si>
    <r>
      <t xml:space="preserve"> </t>
    </r>
    <r>
      <rPr>
        <sz val="12"/>
        <color theme="1"/>
        <rFont val="標楷體"/>
        <family val="4"/>
        <charset val="136"/>
      </rPr>
      <t>台耀</t>
    </r>
  </si>
  <si>
    <r>
      <t xml:space="preserve"> </t>
    </r>
    <r>
      <rPr>
        <sz val="12"/>
        <color theme="1"/>
        <rFont val="標楷體"/>
        <family val="4"/>
        <charset val="136"/>
      </rPr>
      <t>三福化</t>
    </r>
  </si>
  <si>
    <r>
      <t xml:space="preserve"> </t>
    </r>
    <r>
      <rPr>
        <sz val="12"/>
        <color theme="1"/>
        <rFont val="標楷體"/>
        <family val="4"/>
        <charset val="136"/>
      </rPr>
      <t>材料</t>
    </r>
    <r>
      <rPr>
        <sz val="12"/>
        <color theme="1"/>
        <rFont val="Times New Roman"/>
        <family val="1"/>
      </rPr>
      <t>-KY</t>
    </r>
  </si>
  <si>
    <r>
      <t xml:space="preserve"> </t>
    </r>
    <r>
      <rPr>
        <sz val="12"/>
        <color theme="1"/>
        <rFont val="標楷體"/>
        <family val="4"/>
        <charset val="136"/>
      </rPr>
      <t>雙鍵</t>
    </r>
  </si>
  <si>
    <r>
      <t xml:space="preserve"> </t>
    </r>
    <r>
      <rPr>
        <sz val="12"/>
        <color theme="1"/>
        <rFont val="標楷體"/>
        <family val="4"/>
        <charset val="136"/>
      </rPr>
      <t>南寶</t>
    </r>
  </si>
  <si>
    <r>
      <t xml:space="preserve"> </t>
    </r>
    <r>
      <rPr>
        <sz val="12"/>
        <color theme="1"/>
        <rFont val="標楷體"/>
        <family val="4"/>
        <charset val="136"/>
      </rPr>
      <t>上品</t>
    </r>
  </si>
  <si>
    <r>
      <t xml:space="preserve"> </t>
    </r>
    <r>
      <rPr>
        <sz val="12"/>
        <color theme="1"/>
        <rFont val="標楷體"/>
        <family val="4"/>
        <charset val="136"/>
      </rPr>
      <t>日成</t>
    </r>
    <r>
      <rPr>
        <sz val="12"/>
        <color theme="1"/>
        <rFont val="Times New Roman"/>
        <family val="1"/>
      </rPr>
      <t>-KY</t>
    </r>
  </si>
  <si>
    <r>
      <t xml:space="preserve"> </t>
    </r>
    <r>
      <rPr>
        <sz val="12"/>
        <color theme="1"/>
        <rFont val="標楷體"/>
        <family val="4"/>
        <charset val="136"/>
      </rPr>
      <t>遠傳</t>
    </r>
  </si>
  <si>
    <r>
      <t xml:space="preserve"> </t>
    </r>
    <r>
      <rPr>
        <sz val="12"/>
        <color theme="1"/>
        <rFont val="標楷體"/>
        <family val="4"/>
        <charset val="136"/>
      </rPr>
      <t>正文</t>
    </r>
  </si>
  <si>
    <r>
      <t xml:space="preserve"> </t>
    </r>
    <r>
      <rPr>
        <sz val="12"/>
        <color theme="1"/>
        <rFont val="標楷體"/>
        <family val="4"/>
        <charset val="136"/>
      </rPr>
      <t>聯德控股</t>
    </r>
    <r>
      <rPr>
        <sz val="12"/>
        <color theme="1"/>
        <rFont val="Times New Roman"/>
        <family val="1"/>
      </rPr>
      <t>-KY</t>
    </r>
  </si>
  <si>
    <r>
      <t xml:space="preserve"> </t>
    </r>
    <r>
      <rPr>
        <sz val="12"/>
        <color theme="1"/>
        <rFont val="標楷體"/>
        <family val="4"/>
        <charset val="136"/>
      </rPr>
      <t>致伸</t>
    </r>
  </si>
  <si>
    <r>
      <t xml:space="preserve"> </t>
    </r>
    <r>
      <rPr>
        <sz val="12"/>
        <color theme="1"/>
        <rFont val="標楷體"/>
        <family val="4"/>
        <charset val="136"/>
      </rPr>
      <t>事欣科</t>
    </r>
  </si>
  <si>
    <r>
      <t xml:space="preserve"> </t>
    </r>
    <r>
      <rPr>
        <sz val="12"/>
        <color theme="1"/>
        <rFont val="標楷體"/>
        <family val="4"/>
        <charset val="136"/>
      </rPr>
      <t>新唐</t>
    </r>
  </si>
  <si>
    <r>
      <t xml:space="preserve"> </t>
    </r>
    <r>
      <rPr>
        <sz val="12"/>
        <color theme="1"/>
        <rFont val="標楷體"/>
        <family val="4"/>
        <charset val="136"/>
      </rPr>
      <t>泰鼎</t>
    </r>
    <r>
      <rPr>
        <sz val="12"/>
        <color theme="1"/>
        <rFont val="Times New Roman"/>
        <family val="1"/>
      </rPr>
      <t>-KY</t>
    </r>
  </si>
  <si>
    <r>
      <t xml:space="preserve"> </t>
    </r>
    <r>
      <rPr>
        <sz val="12"/>
        <color theme="1"/>
        <rFont val="標楷體"/>
        <family val="4"/>
        <charset val="136"/>
      </rPr>
      <t>燦星網</t>
    </r>
  </si>
  <si>
    <r>
      <t xml:space="preserve"> </t>
    </r>
    <r>
      <rPr>
        <sz val="12"/>
        <color theme="1"/>
        <rFont val="標楷體"/>
        <family val="4"/>
        <charset val="136"/>
      </rPr>
      <t>太極</t>
    </r>
  </si>
  <si>
    <r>
      <t xml:space="preserve"> </t>
    </r>
    <r>
      <rPr>
        <sz val="12"/>
        <color theme="1"/>
        <rFont val="標楷體"/>
        <family val="4"/>
        <charset val="136"/>
      </rPr>
      <t>茂林</t>
    </r>
    <r>
      <rPr>
        <sz val="12"/>
        <color theme="1"/>
        <rFont val="Times New Roman"/>
        <family val="1"/>
      </rPr>
      <t>-KY</t>
    </r>
  </si>
  <si>
    <r>
      <t xml:space="preserve"> </t>
    </r>
    <r>
      <rPr>
        <sz val="12"/>
        <color theme="1"/>
        <rFont val="標楷體"/>
        <family val="4"/>
        <charset val="136"/>
      </rPr>
      <t>和碩</t>
    </r>
  </si>
  <si>
    <r>
      <t xml:space="preserve"> </t>
    </r>
    <r>
      <rPr>
        <sz val="12"/>
        <color theme="1"/>
        <rFont val="標楷體"/>
        <family val="4"/>
        <charset val="136"/>
      </rPr>
      <t>嘉彰</t>
    </r>
  </si>
  <si>
    <r>
      <t xml:space="preserve"> </t>
    </r>
    <r>
      <rPr>
        <sz val="12"/>
        <color theme="1"/>
        <rFont val="標楷體"/>
        <family val="4"/>
        <charset val="136"/>
      </rPr>
      <t>康控</t>
    </r>
    <r>
      <rPr>
        <sz val="12"/>
        <color theme="1"/>
        <rFont val="Times New Roman"/>
        <family val="1"/>
      </rPr>
      <t>-KY</t>
    </r>
  </si>
  <si>
    <r>
      <t xml:space="preserve"> </t>
    </r>
    <r>
      <rPr>
        <sz val="12"/>
        <color theme="1"/>
        <rFont val="標楷體"/>
        <family val="4"/>
        <charset val="136"/>
      </rPr>
      <t>凌通</t>
    </r>
  </si>
  <si>
    <r>
      <t xml:space="preserve"> </t>
    </r>
    <r>
      <rPr>
        <sz val="12"/>
        <color theme="1"/>
        <rFont val="標楷體"/>
        <family val="4"/>
        <charset val="136"/>
      </rPr>
      <t>光鋐</t>
    </r>
  </si>
  <si>
    <r>
      <t xml:space="preserve"> </t>
    </r>
    <r>
      <rPr>
        <sz val="12"/>
        <color theme="1"/>
        <rFont val="標楷體"/>
        <family val="4"/>
        <charset val="136"/>
      </rPr>
      <t>臻鼎</t>
    </r>
    <r>
      <rPr>
        <sz val="12"/>
        <color theme="1"/>
        <rFont val="Times New Roman"/>
        <family val="1"/>
      </rPr>
      <t>-KY</t>
    </r>
  </si>
  <si>
    <r>
      <t xml:space="preserve"> </t>
    </r>
    <r>
      <rPr>
        <sz val="12"/>
        <color theme="1"/>
        <rFont val="標楷體"/>
        <family val="4"/>
        <charset val="136"/>
      </rPr>
      <t>誠美材</t>
    </r>
  </si>
  <si>
    <r>
      <t xml:space="preserve"> </t>
    </r>
    <r>
      <rPr>
        <sz val="12"/>
        <color theme="1"/>
        <rFont val="標楷體"/>
        <family val="4"/>
        <charset val="136"/>
      </rPr>
      <t>天鈺</t>
    </r>
  </si>
  <si>
    <r>
      <t xml:space="preserve"> </t>
    </r>
    <r>
      <rPr>
        <sz val="12"/>
        <color theme="1"/>
        <rFont val="標楷體"/>
        <family val="4"/>
        <charset val="136"/>
      </rPr>
      <t>十銓</t>
    </r>
  </si>
  <si>
    <r>
      <t xml:space="preserve"> </t>
    </r>
    <r>
      <rPr>
        <sz val="12"/>
        <color theme="1"/>
        <rFont val="標楷體"/>
        <family val="4"/>
        <charset val="136"/>
      </rPr>
      <t>立積</t>
    </r>
  </si>
  <si>
    <r>
      <t xml:space="preserve"> </t>
    </r>
    <r>
      <rPr>
        <sz val="12"/>
        <color theme="1"/>
        <rFont val="標楷體"/>
        <family val="4"/>
        <charset val="136"/>
      </rPr>
      <t>佳凌</t>
    </r>
  </si>
  <si>
    <r>
      <t xml:space="preserve"> </t>
    </r>
    <r>
      <rPr>
        <sz val="12"/>
        <color theme="1"/>
        <rFont val="標楷體"/>
        <family val="4"/>
        <charset val="136"/>
      </rPr>
      <t>眾達</t>
    </r>
    <r>
      <rPr>
        <sz val="12"/>
        <color theme="1"/>
        <rFont val="Times New Roman"/>
        <family val="1"/>
      </rPr>
      <t>-KY</t>
    </r>
  </si>
  <si>
    <r>
      <t xml:space="preserve"> </t>
    </r>
    <r>
      <rPr>
        <sz val="12"/>
        <color theme="1"/>
        <rFont val="標楷體"/>
        <family val="4"/>
        <charset val="136"/>
      </rPr>
      <t>榮科</t>
    </r>
  </si>
  <si>
    <r>
      <t xml:space="preserve"> </t>
    </r>
    <r>
      <rPr>
        <sz val="12"/>
        <color theme="1"/>
        <rFont val="標楷體"/>
        <family val="4"/>
        <charset val="136"/>
      </rPr>
      <t>傳奇</t>
    </r>
  </si>
  <si>
    <r>
      <t xml:space="preserve"> </t>
    </r>
    <r>
      <rPr>
        <sz val="12"/>
        <color theme="1"/>
        <rFont val="標楷體"/>
        <family val="4"/>
        <charset val="136"/>
      </rPr>
      <t>鑫禾</t>
    </r>
  </si>
  <si>
    <r>
      <t xml:space="preserve"> </t>
    </r>
    <r>
      <rPr>
        <sz val="12"/>
        <color theme="1"/>
        <rFont val="標楷體"/>
        <family val="4"/>
        <charset val="136"/>
      </rPr>
      <t>三星</t>
    </r>
  </si>
  <si>
    <r>
      <t xml:space="preserve"> </t>
    </r>
    <r>
      <rPr>
        <sz val="12"/>
        <color theme="1"/>
        <rFont val="標楷體"/>
        <family val="4"/>
        <charset val="136"/>
      </rPr>
      <t>訊連</t>
    </r>
  </si>
  <si>
    <r>
      <t xml:space="preserve"> </t>
    </r>
    <r>
      <rPr>
        <sz val="12"/>
        <color theme="1"/>
        <rFont val="標楷體"/>
        <family val="4"/>
        <charset val="136"/>
      </rPr>
      <t>科嘉</t>
    </r>
    <r>
      <rPr>
        <sz val="12"/>
        <color theme="1"/>
        <rFont val="Times New Roman"/>
        <family val="1"/>
      </rPr>
      <t>-KY</t>
    </r>
  </si>
  <si>
    <r>
      <t xml:space="preserve"> </t>
    </r>
    <r>
      <rPr>
        <sz val="12"/>
        <color theme="1"/>
        <rFont val="標楷體"/>
        <family val="4"/>
        <charset val="136"/>
      </rPr>
      <t>全訊</t>
    </r>
  </si>
  <si>
    <r>
      <t xml:space="preserve"> </t>
    </r>
    <r>
      <rPr>
        <sz val="12"/>
        <color theme="1"/>
        <rFont val="標楷體"/>
        <family val="4"/>
        <charset val="136"/>
      </rPr>
      <t>東科</t>
    </r>
    <r>
      <rPr>
        <sz val="12"/>
        <color theme="1"/>
        <rFont val="Times New Roman"/>
        <family val="1"/>
      </rPr>
      <t>-KY</t>
    </r>
  </si>
  <si>
    <r>
      <t xml:space="preserve"> </t>
    </r>
    <r>
      <rPr>
        <sz val="12"/>
        <color theme="1"/>
        <rFont val="標楷體"/>
        <family val="4"/>
        <charset val="136"/>
      </rPr>
      <t>達興材料</t>
    </r>
  </si>
  <si>
    <r>
      <t xml:space="preserve"> </t>
    </r>
    <r>
      <rPr>
        <sz val="12"/>
        <color theme="1"/>
        <rFont val="標楷體"/>
        <family val="4"/>
        <charset val="136"/>
      </rPr>
      <t>乙盛</t>
    </r>
    <r>
      <rPr>
        <sz val="12"/>
        <color theme="1"/>
        <rFont val="Times New Roman"/>
        <family val="1"/>
      </rPr>
      <t>-KY</t>
    </r>
  </si>
  <si>
    <r>
      <t xml:space="preserve"> </t>
    </r>
    <r>
      <rPr>
        <sz val="12"/>
        <color theme="1"/>
        <rFont val="標楷體"/>
        <family val="4"/>
        <charset val="136"/>
      </rPr>
      <t>弘凱</t>
    </r>
  </si>
  <si>
    <r>
      <t xml:space="preserve"> </t>
    </r>
    <r>
      <rPr>
        <sz val="12"/>
        <color theme="1"/>
        <rFont val="標楷體"/>
        <family val="4"/>
        <charset val="136"/>
      </rPr>
      <t>虹堡</t>
    </r>
  </si>
  <si>
    <r>
      <t xml:space="preserve"> </t>
    </r>
    <r>
      <rPr>
        <sz val="12"/>
        <color theme="1"/>
        <rFont val="標楷體"/>
        <family val="4"/>
        <charset val="136"/>
      </rPr>
      <t>祥碩</t>
    </r>
  </si>
  <si>
    <r>
      <t xml:space="preserve"> </t>
    </r>
    <r>
      <rPr>
        <sz val="12"/>
        <color theme="1"/>
        <rFont val="標楷體"/>
        <family val="4"/>
        <charset val="136"/>
      </rPr>
      <t>禾聯碩</t>
    </r>
  </si>
  <si>
    <r>
      <t xml:space="preserve"> </t>
    </r>
    <r>
      <rPr>
        <sz val="12"/>
        <color theme="1"/>
        <rFont val="標楷體"/>
        <family val="4"/>
        <charset val="136"/>
      </rPr>
      <t>界霖</t>
    </r>
  </si>
  <si>
    <r>
      <t xml:space="preserve"> </t>
    </r>
    <r>
      <rPr>
        <sz val="12"/>
        <color theme="1"/>
        <rFont val="標楷體"/>
        <family val="4"/>
        <charset val="136"/>
      </rPr>
      <t>豐祥</t>
    </r>
    <r>
      <rPr>
        <sz val="12"/>
        <color theme="1"/>
        <rFont val="Times New Roman"/>
        <family val="1"/>
      </rPr>
      <t>-KY</t>
    </r>
  </si>
  <si>
    <r>
      <t xml:space="preserve"> </t>
    </r>
    <r>
      <rPr>
        <sz val="12"/>
        <color theme="1"/>
        <rFont val="標楷體"/>
        <family val="4"/>
        <charset val="136"/>
      </rPr>
      <t>華懋</t>
    </r>
  </si>
  <si>
    <r>
      <t xml:space="preserve"> </t>
    </r>
    <r>
      <rPr>
        <sz val="12"/>
        <color theme="1"/>
        <rFont val="標楷體"/>
        <family val="4"/>
        <charset val="136"/>
      </rPr>
      <t>桂盟</t>
    </r>
  </si>
  <si>
    <r>
      <t xml:space="preserve"> </t>
    </r>
    <r>
      <rPr>
        <sz val="12"/>
        <color theme="1"/>
        <rFont val="標楷體"/>
        <family val="4"/>
        <charset val="136"/>
      </rPr>
      <t>中磊</t>
    </r>
  </si>
  <si>
    <r>
      <t xml:space="preserve"> </t>
    </r>
    <r>
      <rPr>
        <sz val="12"/>
        <color theme="1"/>
        <rFont val="標楷體"/>
        <family val="4"/>
        <charset val="136"/>
      </rPr>
      <t>崇越</t>
    </r>
  </si>
  <si>
    <r>
      <t xml:space="preserve"> </t>
    </r>
    <r>
      <rPr>
        <sz val="12"/>
        <color theme="1"/>
        <rFont val="標楷體"/>
        <family val="4"/>
        <charset val="136"/>
      </rPr>
      <t>瀚宇博</t>
    </r>
  </si>
  <si>
    <r>
      <t xml:space="preserve"> </t>
    </r>
    <r>
      <rPr>
        <sz val="12"/>
        <color theme="1"/>
        <rFont val="標楷體"/>
        <family val="4"/>
        <charset val="136"/>
      </rPr>
      <t>松翰</t>
    </r>
  </si>
  <si>
    <r>
      <t xml:space="preserve"> </t>
    </r>
    <r>
      <rPr>
        <sz val="12"/>
        <color theme="1"/>
        <rFont val="標楷體"/>
        <family val="4"/>
        <charset val="136"/>
      </rPr>
      <t>慧友</t>
    </r>
  </si>
  <si>
    <r>
      <t xml:space="preserve"> </t>
    </r>
    <r>
      <rPr>
        <sz val="12"/>
        <color theme="1"/>
        <rFont val="標楷體"/>
        <family val="4"/>
        <charset val="136"/>
      </rPr>
      <t>建國</t>
    </r>
  </si>
  <si>
    <r>
      <t xml:space="preserve"> </t>
    </r>
    <r>
      <rPr>
        <sz val="12"/>
        <color theme="1"/>
        <rFont val="標楷體"/>
        <family val="4"/>
        <charset val="136"/>
      </rPr>
      <t>隆大</t>
    </r>
  </si>
  <si>
    <r>
      <t xml:space="preserve"> </t>
    </r>
    <r>
      <rPr>
        <sz val="12"/>
        <color theme="1"/>
        <rFont val="標楷體"/>
        <family val="4"/>
        <charset val="136"/>
      </rPr>
      <t>工信</t>
    </r>
  </si>
  <si>
    <r>
      <t xml:space="preserve"> </t>
    </r>
    <r>
      <rPr>
        <sz val="12"/>
        <color theme="1"/>
        <rFont val="標楷體"/>
        <family val="4"/>
        <charset val="136"/>
      </rPr>
      <t>遠雄</t>
    </r>
  </si>
  <si>
    <r>
      <t xml:space="preserve"> </t>
    </r>
    <r>
      <rPr>
        <sz val="12"/>
        <color theme="1"/>
        <rFont val="標楷體"/>
        <family val="4"/>
        <charset val="136"/>
      </rPr>
      <t>順天</t>
    </r>
  </si>
  <si>
    <r>
      <t xml:space="preserve"> </t>
    </r>
    <r>
      <rPr>
        <sz val="12"/>
        <color theme="1"/>
        <rFont val="標楷體"/>
        <family val="4"/>
        <charset val="136"/>
      </rPr>
      <t>鄉林</t>
    </r>
  </si>
  <si>
    <r>
      <t xml:space="preserve"> </t>
    </r>
    <r>
      <rPr>
        <sz val="12"/>
        <color theme="1"/>
        <rFont val="標楷體"/>
        <family val="4"/>
        <charset val="136"/>
      </rPr>
      <t>皇鼎</t>
    </r>
  </si>
  <si>
    <r>
      <t xml:space="preserve"> </t>
    </r>
    <r>
      <rPr>
        <sz val="12"/>
        <color theme="1"/>
        <rFont val="標楷體"/>
        <family val="4"/>
        <charset val="136"/>
      </rPr>
      <t>長虹</t>
    </r>
  </si>
  <si>
    <r>
      <t xml:space="preserve"> </t>
    </r>
    <r>
      <rPr>
        <sz val="12"/>
        <color theme="1"/>
        <rFont val="標楷體"/>
        <family val="4"/>
        <charset val="136"/>
      </rPr>
      <t>東明</t>
    </r>
    <r>
      <rPr>
        <sz val="12"/>
        <color theme="1"/>
        <rFont val="Times New Roman"/>
        <family val="1"/>
      </rPr>
      <t>-KY</t>
    </r>
  </si>
  <si>
    <r>
      <t xml:space="preserve"> </t>
    </r>
    <r>
      <rPr>
        <sz val="12"/>
        <color theme="1"/>
        <rFont val="標楷體"/>
        <family val="4"/>
        <charset val="136"/>
      </rPr>
      <t>永固</t>
    </r>
    <r>
      <rPr>
        <sz val="12"/>
        <color theme="1"/>
        <rFont val="Times New Roman"/>
        <family val="1"/>
      </rPr>
      <t>-KY</t>
    </r>
  </si>
  <si>
    <r>
      <t xml:space="preserve"> </t>
    </r>
    <r>
      <rPr>
        <sz val="12"/>
        <color theme="1"/>
        <rFont val="標楷體"/>
        <family val="4"/>
        <charset val="136"/>
      </rPr>
      <t>遠雄港</t>
    </r>
  </si>
  <si>
    <r>
      <t xml:space="preserve"> </t>
    </r>
    <r>
      <rPr>
        <sz val="12"/>
        <color theme="1"/>
        <rFont val="標楷體"/>
        <family val="4"/>
        <charset val="136"/>
      </rPr>
      <t>四維航</t>
    </r>
  </si>
  <si>
    <r>
      <t xml:space="preserve"> </t>
    </r>
    <r>
      <rPr>
        <sz val="12"/>
        <color theme="1"/>
        <rFont val="標楷體"/>
        <family val="4"/>
        <charset val="136"/>
      </rPr>
      <t>鳳凰</t>
    </r>
  </si>
  <si>
    <r>
      <t xml:space="preserve"> </t>
    </r>
    <r>
      <rPr>
        <sz val="12"/>
        <color theme="1"/>
        <rFont val="標楷體"/>
        <family val="4"/>
        <charset val="136"/>
      </rPr>
      <t>中租</t>
    </r>
    <r>
      <rPr>
        <sz val="12"/>
        <color theme="1"/>
        <rFont val="Times New Roman"/>
        <family val="1"/>
      </rPr>
      <t>-KY</t>
    </r>
  </si>
  <si>
    <r>
      <t xml:space="preserve"> </t>
    </r>
    <r>
      <rPr>
        <sz val="12"/>
        <color theme="1"/>
        <rFont val="標楷體"/>
        <family val="4"/>
        <charset val="136"/>
      </rPr>
      <t>上海商銀</t>
    </r>
  </si>
  <si>
    <r>
      <t xml:space="preserve"> </t>
    </r>
    <r>
      <rPr>
        <sz val="12"/>
        <color theme="1"/>
        <rFont val="標楷體"/>
        <family val="4"/>
        <charset val="136"/>
      </rPr>
      <t>合庫金</t>
    </r>
  </si>
  <si>
    <r>
      <t xml:space="preserve"> </t>
    </r>
    <r>
      <rPr>
        <sz val="12"/>
        <color theme="1"/>
        <rFont val="標楷體"/>
        <family val="4"/>
        <charset val="136"/>
      </rPr>
      <t>台南</t>
    </r>
    <r>
      <rPr>
        <sz val="12"/>
        <color theme="1"/>
        <rFont val="Times New Roman"/>
        <family val="1"/>
      </rPr>
      <t>-KY</t>
    </r>
  </si>
  <si>
    <r>
      <t xml:space="preserve"> </t>
    </r>
    <r>
      <rPr>
        <sz val="12"/>
        <color theme="1"/>
        <rFont val="標楷體"/>
        <family val="4"/>
        <charset val="136"/>
      </rPr>
      <t>大洋</t>
    </r>
    <r>
      <rPr>
        <sz val="12"/>
        <color theme="1"/>
        <rFont val="Times New Roman"/>
        <family val="1"/>
      </rPr>
      <t>-KY</t>
    </r>
  </si>
  <si>
    <r>
      <t xml:space="preserve"> </t>
    </r>
    <r>
      <rPr>
        <sz val="12"/>
        <color theme="1"/>
        <rFont val="標楷體"/>
        <family val="4"/>
        <charset val="136"/>
      </rPr>
      <t>群益證</t>
    </r>
  </si>
  <si>
    <r>
      <t xml:space="preserve"> </t>
    </r>
    <r>
      <rPr>
        <sz val="12"/>
        <color theme="1"/>
        <rFont val="標楷體"/>
        <family val="4"/>
        <charset val="136"/>
      </rPr>
      <t>群益期</t>
    </r>
  </si>
  <si>
    <r>
      <t xml:space="preserve"> </t>
    </r>
    <r>
      <rPr>
        <sz val="12"/>
        <color theme="1"/>
        <rFont val="標楷體"/>
        <family val="4"/>
        <charset val="136"/>
      </rPr>
      <t>競國</t>
    </r>
  </si>
  <si>
    <r>
      <t xml:space="preserve"> </t>
    </r>
    <r>
      <rPr>
        <sz val="12"/>
        <color theme="1"/>
        <rFont val="標楷體"/>
        <family val="4"/>
        <charset val="136"/>
      </rPr>
      <t>邁達特</t>
    </r>
  </si>
  <si>
    <r>
      <t xml:space="preserve"> </t>
    </r>
    <r>
      <rPr>
        <sz val="12"/>
        <color theme="1"/>
        <rFont val="標楷體"/>
        <family val="4"/>
        <charset val="136"/>
      </rPr>
      <t>鎰勝</t>
    </r>
  </si>
  <si>
    <r>
      <t xml:space="preserve"> </t>
    </r>
    <r>
      <rPr>
        <sz val="12"/>
        <color theme="1"/>
        <rFont val="標楷體"/>
        <family val="4"/>
        <charset val="136"/>
      </rPr>
      <t>彩晶</t>
    </r>
  </si>
  <si>
    <r>
      <t xml:space="preserve"> </t>
    </r>
    <r>
      <rPr>
        <sz val="12"/>
        <color theme="1"/>
        <rFont val="標楷體"/>
        <family val="4"/>
        <charset val="136"/>
      </rPr>
      <t>迎廣</t>
    </r>
  </si>
  <si>
    <r>
      <t xml:space="preserve"> </t>
    </r>
    <r>
      <rPr>
        <sz val="12"/>
        <color theme="1"/>
        <rFont val="標楷體"/>
        <family val="4"/>
        <charset val="136"/>
      </rPr>
      <t>達運</t>
    </r>
  </si>
  <si>
    <r>
      <t xml:space="preserve"> </t>
    </r>
    <r>
      <rPr>
        <sz val="12"/>
        <color theme="1"/>
        <rFont val="標楷體"/>
        <family val="4"/>
        <charset val="136"/>
      </rPr>
      <t>上福</t>
    </r>
  </si>
  <si>
    <r>
      <t xml:space="preserve"> </t>
    </r>
    <r>
      <rPr>
        <sz val="12"/>
        <color theme="1"/>
        <rFont val="標楷體"/>
        <family val="4"/>
        <charset val="136"/>
      </rPr>
      <t>金橋</t>
    </r>
  </si>
  <si>
    <r>
      <t xml:space="preserve"> </t>
    </r>
    <r>
      <rPr>
        <sz val="12"/>
        <color theme="1"/>
        <rFont val="標楷體"/>
        <family val="4"/>
        <charset val="136"/>
      </rPr>
      <t>富爾特</t>
    </r>
  </si>
  <si>
    <r>
      <t xml:space="preserve"> </t>
    </r>
    <r>
      <rPr>
        <sz val="12"/>
        <color theme="1"/>
        <rFont val="標楷體"/>
        <family val="4"/>
        <charset val="136"/>
      </rPr>
      <t>亞翔</t>
    </r>
  </si>
  <si>
    <r>
      <t xml:space="preserve"> </t>
    </r>
    <r>
      <rPr>
        <sz val="12"/>
        <color theme="1"/>
        <rFont val="標楷體"/>
        <family val="4"/>
        <charset val="136"/>
      </rPr>
      <t>柏承</t>
    </r>
  </si>
  <si>
    <r>
      <t xml:space="preserve"> </t>
    </r>
    <r>
      <rPr>
        <sz val="12"/>
        <color theme="1"/>
        <rFont val="標楷體"/>
        <family val="4"/>
        <charset val="136"/>
      </rPr>
      <t>友勁</t>
    </r>
  </si>
  <si>
    <r>
      <t xml:space="preserve"> </t>
    </r>
    <r>
      <rPr>
        <sz val="12"/>
        <color theme="1"/>
        <rFont val="標楷體"/>
        <family val="4"/>
        <charset val="136"/>
      </rPr>
      <t>百一</t>
    </r>
  </si>
  <si>
    <r>
      <t xml:space="preserve"> </t>
    </r>
    <r>
      <rPr>
        <sz val="12"/>
        <color theme="1"/>
        <rFont val="標楷體"/>
        <family val="4"/>
        <charset val="136"/>
      </rPr>
      <t>嘉聯益</t>
    </r>
  </si>
  <si>
    <r>
      <t xml:space="preserve"> </t>
    </r>
    <r>
      <rPr>
        <sz val="12"/>
        <color theme="1"/>
        <rFont val="標楷體"/>
        <family val="4"/>
        <charset val="136"/>
      </rPr>
      <t>鈞寶</t>
    </r>
  </si>
  <si>
    <r>
      <t xml:space="preserve"> </t>
    </r>
    <r>
      <rPr>
        <sz val="12"/>
        <color theme="1"/>
        <rFont val="標楷體"/>
        <family val="4"/>
        <charset val="136"/>
      </rPr>
      <t>華興</t>
    </r>
  </si>
  <si>
    <r>
      <t xml:space="preserve"> </t>
    </r>
    <r>
      <rPr>
        <sz val="12"/>
        <color theme="1"/>
        <rFont val="標楷體"/>
        <family val="4"/>
        <charset val="136"/>
      </rPr>
      <t>浪凡</t>
    </r>
  </si>
  <si>
    <r>
      <t xml:space="preserve"> </t>
    </r>
    <r>
      <rPr>
        <sz val="12"/>
        <color theme="1"/>
        <rFont val="標楷體"/>
        <family val="4"/>
        <charset val="136"/>
      </rPr>
      <t>凌華</t>
    </r>
  </si>
  <si>
    <r>
      <t xml:space="preserve"> </t>
    </r>
    <r>
      <rPr>
        <sz val="12"/>
        <color theme="1"/>
        <rFont val="標楷體"/>
        <family val="4"/>
        <charset val="136"/>
      </rPr>
      <t>宏齊</t>
    </r>
  </si>
  <si>
    <r>
      <t xml:space="preserve"> </t>
    </r>
    <r>
      <rPr>
        <sz val="12"/>
        <color theme="1"/>
        <rFont val="標楷體"/>
        <family val="4"/>
        <charset val="136"/>
      </rPr>
      <t>瑞儀</t>
    </r>
  </si>
  <si>
    <r>
      <t xml:space="preserve"> </t>
    </r>
    <r>
      <rPr>
        <sz val="12"/>
        <color theme="1"/>
        <rFont val="標楷體"/>
        <family val="4"/>
        <charset val="136"/>
      </rPr>
      <t>達麗</t>
    </r>
  </si>
  <si>
    <r>
      <t xml:space="preserve"> </t>
    </r>
    <r>
      <rPr>
        <sz val="12"/>
        <color theme="1"/>
        <rFont val="標楷體"/>
        <family val="4"/>
        <charset val="136"/>
      </rPr>
      <t>關貿</t>
    </r>
  </si>
  <si>
    <r>
      <t xml:space="preserve"> </t>
    </r>
    <r>
      <rPr>
        <sz val="12"/>
        <color theme="1"/>
        <rFont val="標楷體"/>
        <family val="4"/>
        <charset val="136"/>
      </rPr>
      <t>大豐電</t>
    </r>
  </si>
  <si>
    <r>
      <t xml:space="preserve"> </t>
    </r>
    <r>
      <rPr>
        <sz val="12"/>
        <color theme="1"/>
        <rFont val="標楷體"/>
        <family val="4"/>
        <charset val="136"/>
      </rPr>
      <t>豐藝</t>
    </r>
  </si>
  <si>
    <r>
      <t xml:space="preserve"> </t>
    </r>
    <r>
      <rPr>
        <sz val="12"/>
        <color theme="1"/>
        <rFont val="標楷體"/>
        <family val="4"/>
        <charset val="136"/>
      </rPr>
      <t>精成科</t>
    </r>
  </si>
  <si>
    <r>
      <t xml:space="preserve"> </t>
    </r>
    <r>
      <rPr>
        <sz val="12"/>
        <color theme="1"/>
        <rFont val="標楷體"/>
        <family val="4"/>
        <charset val="136"/>
      </rPr>
      <t>巨路</t>
    </r>
  </si>
  <si>
    <r>
      <t xml:space="preserve"> </t>
    </r>
    <r>
      <rPr>
        <sz val="12"/>
        <color theme="1"/>
        <rFont val="標楷體"/>
        <family val="4"/>
        <charset val="136"/>
      </rPr>
      <t>帆宣</t>
    </r>
  </si>
  <si>
    <r>
      <t xml:space="preserve"> </t>
    </r>
    <r>
      <rPr>
        <sz val="12"/>
        <color theme="1"/>
        <rFont val="標楷體"/>
        <family val="4"/>
        <charset val="136"/>
      </rPr>
      <t>佳必琪</t>
    </r>
  </si>
  <si>
    <r>
      <t xml:space="preserve"> </t>
    </r>
    <r>
      <rPr>
        <sz val="12"/>
        <color theme="1"/>
        <rFont val="標楷體"/>
        <family val="4"/>
        <charset val="136"/>
      </rPr>
      <t>亞弘電</t>
    </r>
  </si>
  <si>
    <r>
      <t xml:space="preserve"> </t>
    </r>
    <r>
      <rPr>
        <sz val="12"/>
        <color theme="1"/>
        <rFont val="標楷體"/>
        <family val="4"/>
        <charset val="136"/>
      </rPr>
      <t>盛群</t>
    </r>
  </si>
  <si>
    <r>
      <t xml:space="preserve"> </t>
    </r>
    <r>
      <rPr>
        <sz val="12"/>
        <color theme="1"/>
        <rFont val="標楷體"/>
        <family val="4"/>
        <charset val="136"/>
      </rPr>
      <t>詮欣</t>
    </r>
  </si>
  <si>
    <r>
      <t xml:space="preserve"> </t>
    </r>
    <r>
      <rPr>
        <sz val="12"/>
        <color theme="1"/>
        <rFont val="標楷體"/>
        <family val="4"/>
        <charset val="136"/>
      </rPr>
      <t>飛捷</t>
    </r>
  </si>
  <si>
    <r>
      <t xml:space="preserve"> </t>
    </r>
    <r>
      <rPr>
        <sz val="12"/>
        <color theme="1"/>
        <rFont val="標楷體"/>
        <family val="4"/>
        <charset val="136"/>
      </rPr>
      <t>今國光</t>
    </r>
  </si>
  <si>
    <r>
      <t xml:space="preserve"> </t>
    </r>
    <r>
      <rPr>
        <sz val="12"/>
        <color theme="1"/>
        <rFont val="標楷體"/>
        <family val="4"/>
        <charset val="136"/>
      </rPr>
      <t>聯茂</t>
    </r>
  </si>
  <si>
    <r>
      <t xml:space="preserve"> </t>
    </r>
    <r>
      <rPr>
        <sz val="12"/>
        <color theme="1"/>
        <rFont val="標楷體"/>
        <family val="4"/>
        <charset val="136"/>
      </rPr>
      <t>精誠</t>
    </r>
  </si>
  <si>
    <r>
      <t xml:space="preserve"> </t>
    </r>
    <r>
      <rPr>
        <sz val="12"/>
        <color theme="1"/>
        <rFont val="標楷體"/>
        <family val="4"/>
        <charset val="136"/>
      </rPr>
      <t>和椿</t>
    </r>
  </si>
  <si>
    <r>
      <t xml:space="preserve"> </t>
    </r>
    <r>
      <rPr>
        <sz val="12"/>
        <color theme="1"/>
        <rFont val="標楷體"/>
        <family val="4"/>
        <charset val="136"/>
      </rPr>
      <t>居易</t>
    </r>
  </si>
  <si>
    <r>
      <t xml:space="preserve"> </t>
    </r>
    <r>
      <rPr>
        <sz val="12"/>
        <color theme="1"/>
        <rFont val="標楷體"/>
        <family val="4"/>
        <charset val="136"/>
      </rPr>
      <t>聚鼎</t>
    </r>
  </si>
  <si>
    <r>
      <t xml:space="preserve"> </t>
    </r>
    <r>
      <rPr>
        <sz val="12"/>
        <color theme="1"/>
        <rFont val="標楷體"/>
        <family val="4"/>
        <charset val="136"/>
      </rPr>
      <t>天瀚</t>
    </r>
  </si>
  <si>
    <r>
      <t xml:space="preserve"> </t>
    </r>
    <r>
      <rPr>
        <sz val="12"/>
        <color theme="1"/>
        <rFont val="標楷體"/>
        <family val="4"/>
        <charset val="136"/>
      </rPr>
      <t>光鼎</t>
    </r>
  </si>
  <si>
    <r>
      <t xml:space="preserve"> </t>
    </r>
    <r>
      <rPr>
        <sz val="12"/>
        <color theme="1"/>
        <rFont val="標楷體"/>
        <family val="4"/>
        <charset val="136"/>
      </rPr>
      <t>尼得科超眾</t>
    </r>
  </si>
  <si>
    <r>
      <t xml:space="preserve"> </t>
    </r>
    <r>
      <rPr>
        <sz val="12"/>
        <color theme="1"/>
        <rFont val="標楷體"/>
        <family val="4"/>
        <charset val="136"/>
      </rPr>
      <t>華孚</t>
    </r>
  </si>
  <si>
    <r>
      <t xml:space="preserve"> </t>
    </r>
    <r>
      <rPr>
        <sz val="12"/>
        <color theme="1"/>
        <rFont val="標楷體"/>
        <family val="4"/>
        <charset val="136"/>
      </rPr>
      <t>力成</t>
    </r>
  </si>
  <si>
    <r>
      <t xml:space="preserve"> </t>
    </r>
    <r>
      <rPr>
        <sz val="12"/>
        <color theme="1"/>
        <rFont val="標楷體"/>
        <family val="4"/>
        <charset val="136"/>
      </rPr>
      <t>迅杰</t>
    </r>
  </si>
  <si>
    <r>
      <t xml:space="preserve"> </t>
    </r>
    <r>
      <rPr>
        <sz val="12"/>
        <color theme="1"/>
        <rFont val="標楷體"/>
        <family val="4"/>
        <charset val="136"/>
      </rPr>
      <t>矽格</t>
    </r>
  </si>
  <si>
    <r>
      <t xml:space="preserve"> </t>
    </r>
    <r>
      <rPr>
        <sz val="12"/>
        <color theme="1"/>
        <rFont val="標楷體"/>
        <family val="4"/>
        <charset val="136"/>
      </rPr>
      <t>台郡</t>
    </r>
  </si>
  <si>
    <r>
      <t xml:space="preserve"> </t>
    </r>
    <r>
      <rPr>
        <sz val="12"/>
        <color theme="1"/>
        <rFont val="標楷體"/>
        <family val="4"/>
        <charset val="136"/>
      </rPr>
      <t>同欣電</t>
    </r>
  </si>
  <si>
    <r>
      <t xml:space="preserve"> </t>
    </r>
    <r>
      <rPr>
        <sz val="12"/>
        <color theme="1"/>
        <rFont val="標楷體"/>
        <family val="4"/>
        <charset val="136"/>
      </rPr>
      <t>宏正</t>
    </r>
  </si>
  <si>
    <r>
      <t xml:space="preserve"> </t>
    </r>
    <r>
      <rPr>
        <sz val="12"/>
        <color theme="1"/>
        <rFont val="標楷體"/>
        <family val="4"/>
        <charset val="136"/>
      </rPr>
      <t>台表科</t>
    </r>
  </si>
  <si>
    <r>
      <t xml:space="preserve"> </t>
    </r>
    <r>
      <rPr>
        <sz val="12"/>
        <color theme="1"/>
        <rFont val="標楷體"/>
        <family val="4"/>
        <charset val="136"/>
      </rPr>
      <t>全國電</t>
    </r>
  </si>
  <si>
    <r>
      <t xml:space="preserve"> </t>
    </r>
    <r>
      <rPr>
        <sz val="12"/>
        <color theme="1"/>
        <rFont val="標楷體"/>
        <family val="4"/>
        <charset val="136"/>
      </rPr>
      <t>康舒</t>
    </r>
  </si>
  <si>
    <r>
      <t xml:space="preserve"> </t>
    </r>
    <r>
      <rPr>
        <sz val="12"/>
        <color theme="1"/>
        <rFont val="標楷體"/>
        <family val="4"/>
        <charset val="136"/>
      </rPr>
      <t>淳安</t>
    </r>
  </si>
  <si>
    <r>
      <t xml:space="preserve"> </t>
    </r>
    <r>
      <rPr>
        <sz val="12"/>
        <color theme="1"/>
        <rFont val="標楷體"/>
        <family val="4"/>
        <charset val="136"/>
      </rPr>
      <t>啟碁</t>
    </r>
  </si>
  <si>
    <r>
      <t xml:space="preserve"> </t>
    </r>
    <r>
      <rPr>
        <sz val="12"/>
        <color theme="1"/>
        <rFont val="標楷體"/>
        <family val="4"/>
        <charset val="136"/>
      </rPr>
      <t>聯嘉</t>
    </r>
  </si>
  <si>
    <r>
      <t xml:space="preserve"> </t>
    </r>
    <r>
      <rPr>
        <sz val="12"/>
        <color theme="1"/>
        <rFont val="標楷體"/>
        <family val="4"/>
        <charset val="136"/>
      </rPr>
      <t>悅城</t>
    </r>
  </si>
  <si>
    <r>
      <t xml:space="preserve"> </t>
    </r>
    <r>
      <rPr>
        <sz val="12"/>
        <color theme="1"/>
        <rFont val="標楷體"/>
        <family val="4"/>
        <charset val="136"/>
      </rPr>
      <t>旭隼</t>
    </r>
  </si>
  <si>
    <r>
      <t xml:space="preserve"> </t>
    </r>
    <r>
      <rPr>
        <sz val="12"/>
        <color theme="1"/>
        <rFont val="標楷體"/>
        <family val="4"/>
        <charset val="136"/>
      </rPr>
      <t>群電</t>
    </r>
  </si>
  <si>
    <r>
      <t xml:space="preserve"> </t>
    </r>
    <r>
      <rPr>
        <sz val="12"/>
        <color theme="1"/>
        <rFont val="標楷體"/>
        <family val="4"/>
        <charset val="136"/>
      </rPr>
      <t>樺漢</t>
    </r>
  </si>
  <si>
    <r>
      <t xml:space="preserve"> </t>
    </r>
    <r>
      <rPr>
        <sz val="12"/>
        <color theme="1"/>
        <rFont val="標楷體"/>
        <family val="4"/>
        <charset val="136"/>
      </rPr>
      <t>矽力</t>
    </r>
    <r>
      <rPr>
        <sz val="12"/>
        <color theme="1"/>
        <rFont val="Times New Roman"/>
        <family val="1"/>
      </rPr>
      <t>*-KY</t>
    </r>
  </si>
  <si>
    <r>
      <t xml:space="preserve"> </t>
    </r>
    <r>
      <rPr>
        <sz val="12"/>
        <color theme="1"/>
        <rFont val="標楷體"/>
        <family val="4"/>
        <charset val="136"/>
      </rPr>
      <t>瑞祺電通</t>
    </r>
  </si>
  <si>
    <r>
      <t xml:space="preserve"> </t>
    </r>
    <r>
      <rPr>
        <sz val="12"/>
        <color theme="1"/>
        <rFont val="標楷體"/>
        <family val="4"/>
        <charset val="136"/>
      </rPr>
      <t>統新</t>
    </r>
  </si>
  <si>
    <r>
      <t xml:space="preserve"> </t>
    </r>
    <r>
      <rPr>
        <sz val="12"/>
        <color theme="1"/>
        <rFont val="標楷體"/>
        <family val="4"/>
        <charset val="136"/>
      </rPr>
      <t>光麗</t>
    </r>
    <r>
      <rPr>
        <sz val="12"/>
        <color theme="1"/>
        <rFont val="Times New Roman"/>
        <family val="1"/>
      </rPr>
      <t>-KY</t>
    </r>
  </si>
  <si>
    <r>
      <t xml:space="preserve"> </t>
    </r>
    <r>
      <rPr>
        <sz val="12"/>
        <color theme="1"/>
        <rFont val="標楷體"/>
        <family val="4"/>
        <charset val="136"/>
      </rPr>
      <t>迅得</t>
    </r>
  </si>
  <si>
    <r>
      <t xml:space="preserve"> </t>
    </r>
    <r>
      <rPr>
        <sz val="12"/>
        <color theme="1"/>
        <rFont val="標楷體"/>
        <family val="4"/>
        <charset val="136"/>
      </rPr>
      <t>光聖</t>
    </r>
  </si>
  <si>
    <r>
      <t xml:space="preserve"> </t>
    </r>
    <r>
      <rPr>
        <sz val="12"/>
        <color theme="1"/>
        <rFont val="標楷體"/>
        <family val="4"/>
        <charset val="136"/>
      </rPr>
      <t>元晶</t>
    </r>
  </si>
  <si>
    <r>
      <t xml:space="preserve"> </t>
    </r>
    <r>
      <rPr>
        <sz val="12"/>
        <color theme="1"/>
        <rFont val="標楷體"/>
        <family val="4"/>
        <charset val="136"/>
      </rPr>
      <t>鈺邦</t>
    </r>
  </si>
  <si>
    <r>
      <t xml:space="preserve"> </t>
    </r>
    <r>
      <rPr>
        <sz val="12"/>
        <color theme="1"/>
        <rFont val="標楷體"/>
        <family val="4"/>
        <charset val="136"/>
      </rPr>
      <t>訊芯</t>
    </r>
    <r>
      <rPr>
        <sz val="12"/>
        <color theme="1"/>
        <rFont val="Times New Roman"/>
        <family val="1"/>
      </rPr>
      <t>-KY</t>
    </r>
  </si>
  <si>
    <r>
      <t xml:space="preserve"> </t>
    </r>
    <r>
      <rPr>
        <sz val="12"/>
        <color theme="1"/>
        <rFont val="標楷體"/>
        <family val="4"/>
        <charset val="136"/>
      </rPr>
      <t>台數科</t>
    </r>
  </si>
  <si>
    <r>
      <t xml:space="preserve"> </t>
    </r>
    <r>
      <rPr>
        <sz val="12"/>
        <color theme="1"/>
        <rFont val="標楷體"/>
        <family val="4"/>
        <charset val="136"/>
      </rPr>
      <t>保瑞</t>
    </r>
  </si>
  <si>
    <r>
      <t xml:space="preserve"> </t>
    </r>
    <r>
      <rPr>
        <sz val="12"/>
        <color theme="1"/>
        <rFont val="標楷體"/>
        <family val="4"/>
        <charset val="136"/>
      </rPr>
      <t>安集</t>
    </r>
  </si>
  <si>
    <r>
      <t xml:space="preserve"> </t>
    </r>
    <r>
      <rPr>
        <sz val="12"/>
        <color theme="1"/>
        <rFont val="標楷體"/>
        <family val="4"/>
        <charset val="136"/>
      </rPr>
      <t>晶碩</t>
    </r>
  </si>
  <si>
    <r>
      <t xml:space="preserve"> </t>
    </r>
    <r>
      <rPr>
        <sz val="12"/>
        <color theme="1"/>
        <rFont val="標楷體"/>
        <family val="4"/>
        <charset val="136"/>
      </rPr>
      <t>南六</t>
    </r>
  </si>
  <si>
    <r>
      <t xml:space="preserve"> </t>
    </r>
    <r>
      <rPr>
        <sz val="12"/>
        <color theme="1"/>
        <rFont val="標楷體"/>
        <family val="4"/>
        <charset val="136"/>
      </rPr>
      <t>台塑化</t>
    </r>
  </si>
  <si>
    <r>
      <t xml:space="preserve"> </t>
    </r>
    <r>
      <rPr>
        <sz val="12"/>
        <color theme="1"/>
        <rFont val="標楷體"/>
        <family val="4"/>
        <charset val="136"/>
      </rPr>
      <t>穎崴</t>
    </r>
  </si>
  <si>
    <r>
      <t xml:space="preserve"> </t>
    </r>
    <r>
      <rPr>
        <sz val="12"/>
        <color theme="1"/>
        <rFont val="標楷體"/>
        <family val="4"/>
        <charset val="136"/>
      </rPr>
      <t>捷敏</t>
    </r>
    <r>
      <rPr>
        <sz val="12"/>
        <color theme="1"/>
        <rFont val="Times New Roman"/>
        <family val="1"/>
      </rPr>
      <t>-KY</t>
    </r>
  </si>
  <si>
    <r>
      <t xml:space="preserve"> </t>
    </r>
    <r>
      <rPr>
        <sz val="12"/>
        <color theme="1"/>
        <rFont val="標楷體"/>
        <family val="4"/>
        <charset val="136"/>
      </rPr>
      <t>達發</t>
    </r>
  </si>
  <si>
    <r>
      <t xml:space="preserve"> </t>
    </r>
    <r>
      <rPr>
        <sz val="12"/>
        <color theme="1"/>
        <rFont val="標楷體"/>
        <family val="4"/>
        <charset val="136"/>
      </rPr>
      <t>愛普</t>
    </r>
    <r>
      <rPr>
        <sz val="12"/>
        <color theme="1"/>
        <rFont val="Times New Roman"/>
        <family val="1"/>
      </rPr>
      <t>*</t>
    </r>
  </si>
  <si>
    <r>
      <t xml:space="preserve"> </t>
    </r>
    <r>
      <rPr>
        <sz val="12"/>
        <color theme="1"/>
        <rFont val="標楷體"/>
        <family val="4"/>
        <charset val="136"/>
      </rPr>
      <t>晶心科</t>
    </r>
  </si>
  <si>
    <r>
      <t xml:space="preserve"> </t>
    </r>
    <r>
      <rPr>
        <sz val="12"/>
        <color theme="1"/>
        <rFont val="標楷體"/>
        <family val="4"/>
        <charset val="136"/>
      </rPr>
      <t>泰福</t>
    </r>
    <r>
      <rPr>
        <sz val="12"/>
        <color theme="1"/>
        <rFont val="Times New Roman"/>
        <family val="1"/>
      </rPr>
      <t>-KY</t>
    </r>
  </si>
  <si>
    <r>
      <t xml:space="preserve"> </t>
    </r>
    <r>
      <rPr>
        <sz val="12"/>
        <color theme="1"/>
        <rFont val="標楷體"/>
        <family val="4"/>
        <charset val="136"/>
      </rPr>
      <t>北極星藥業</t>
    </r>
    <r>
      <rPr>
        <sz val="12"/>
        <color theme="1"/>
        <rFont val="Times New Roman"/>
        <family val="1"/>
      </rPr>
      <t>-KY</t>
    </r>
  </si>
  <si>
    <r>
      <t xml:space="preserve"> </t>
    </r>
    <r>
      <rPr>
        <sz val="12"/>
        <color theme="1"/>
        <rFont val="標楷體"/>
        <family val="4"/>
        <charset val="136"/>
      </rPr>
      <t>易華電</t>
    </r>
  </si>
  <si>
    <r>
      <t xml:space="preserve"> </t>
    </r>
    <r>
      <rPr>
        <sz val="12"/>
        <color theme="1"/>
        <rFont val="標楷體"/>
        <family val="4"/>
        <charset val="136"/>
      </rPr>
      <t>興能高</t>
    </r>
  </si>
  <si>
    <r>
      <t xml:space="preserve"> </t>
    </r>
    <r>
      <rPr>
        <sz val="12"/>
        <color theme="1"/>
        <rFont val="標楷體"/>
        <family val="4"/>
        <charset val="136"/>
      </rPr>
      <t>虹揚</t>
    </r>
    <r>
      <rPr>
        <sz val="12"/>
        <color theme="1"/>
        <rFont val="Times New Roman"/>
        <family val="1"/>
      </rPr>
      <t>-KY</t>
    </r>
  </si>
  <si>
    <r>
      <t xml:space="preserve"> </t>
    </r>
    <r>
      <rPr>
        <sz val="12"/>
        <color theme="1"/>
        <rFont val="標楷體"/>
        <family val="4"/>
        <charset val="136"/>
      </rPr>
      <t>研揚</t>
    </r>
  </si>
  <si>
    <r>
      <t xml:space="preserve"> </t>
    </r>
    <r>
      <rPr>
        <sz val="12"/>
        <color theme="1"/>
        <rFont val="標楷體"/>
        <family val="4"/>
        <charset val="136"/>
      </rPr>
      <t>鋼聯</t>
    </r>
  </si>
  <si>
    <r>
      <t xml:space="preserve"> </t>
    </r>
    <r>
      <rPr>
        <sz val="12"/>
        <color theme="1"/>
        <rFont val="標楷體"/>
        <family val="4"/>
        <charset val="136"/>
      </rPr>
      <t>申豐</t>
    </r>
  </si>
  <si>
    <r>
      <t xml:space="preserve"> </t>
    </r>
    <r>
      <rPr>
        <sz val="12"/>
        <color theme="1"/>
        <rFont val="標楷體"/>
        <family val="4"/>
        <charset val="136"/>
      </rPr>
      <t>鼎基</t>
    </r>
  </si>
  <si>
    <r>
      <t xml:space="preserve"> </t>
    </r>
    <r>
      <rPr>
        <sz val="12"/>
        <color theme="1"/>
        <rFont val="標楷體"/>
        <family val="4"/>
        <charset val="136"/>
      </rPr>
      <t>動力</t>
    </r>
    <r>
      <rPr>
        <sz val="12"/>
        <color theme="1"/>
        <rFont val="Times New Roman"/>
        <family val="1"/>
      </rPr>
      <t>-KY</t>
    </r>
  </si>
  <si>
    <r>
      <t xml:space="preserve"> </t>
    </r>
    <r>
      <rPr>
        <sz val="12"/>
        <color theme="1"/>
        <rFont val="標楷體"/>
        <family val="4"/>
        <charset val="136"/>
      </rPr>
      <t>和潤企業</t>
    </r>
  </si>
  <si>
    <r>
      <t xml:space="preserve"> </t>
    </r>
    <r>
      <rPr>
        <sz val="12"/>
        <color theme="1"/>
        <rFont val="標楷體"/>
        <family val="4"/>
        <charset val="136"/>
      </rPr>
      <t>帝寶</t>
    </r>
  </si>
  <si>
    <r>
      <t xml:space="preserve"> </t>
    </r>
    <r>
      <rPr>
        <sz val="12"/>
        <color theme="1"/>
        <rFont val="標楷體"/>
        <family val="4"/>
        <charset val="136"/>
      </rPr>
      <t>建德工業</t>
    </r>
  </si>
  <si>
    <r>
      <t xml:space="preserve"> </t>
    </r>
    <r>
      <rPr>
        <sz val="12"/>
        <color theme="1"/>
        <rFont val="標楷體"/>
        <family val="4"/>
        <charset val="136"/>
      </rPr>
      <t>必應</t>
    </r>
  </si>
  <si>
    <r>
      <t xml:space="preserve"> </t>
    </r>
    <r>
      <rPr>
        <sz val="12"/>
        <color theme="1"/>
        <rFont val="標楷體"/>
        <family val="4"/>
        <charset val="136"/>
      </rPr>
      <t>基士德</t>
    </r>
    <r>
      <rPr>
        <sz val="12"/>
        <color theme="1"/>
        <rFont val="Times New Roman"/>
        <family val="1"/>
      </rPr>
      <t>-KY</t>
    </r>
  </si>
  <si>
    <r>
      <t xml:space="preserve"> </t>
    </r>
    <r>
      <rPr>
        <sz val="12"/>
        <color theme="1"/>
        <rFont val="標楷體"/>
        <family val="4"/>
        <charset val="136"/>
      </rPr>
      <t>科定</t>
    </r>
  </si>
  <si>
    <r>
      <t xml:space="preserve"> </t>
    </r>
    <r>
      <rPr>
        <sz val="12"/>
        <color theme="1"/>
        <rFont val="標楷體"/>
        <family val="4"/>
        <charset val="136"/>
      </rPr>
      <t>華安</t>
    </r>
  </si>
  <si>
    <r>
      <t xml:space="preserve"> </t>
    </r>
    <r>
      <rPr>
        <sz val="12"/>
        <color theme="1"/>
        <rFont val="標楷體"/>
        <family val="4"/>
        <charset val="136"/>
      </rPr>
      <t>聯策</t>
    </r>
  </si>
  <si>
    <r>
      <t xml:space="preserve"> </t>
    </r>
    <r>
      <rPr>
        <sz val="12"/>
        <color theme="1"/>
        <rFont val="標楷體"/>
        <family val="4"/>
        <charset val="136"/>
      </rPr>
      <t>羅麗芬</t>
    </r>
    <r>
      <rPr>
        <sz val="12"/>
        <color theme="1"/>
        <rFont val="Times New Roman"/>
        <family val="1"/>
      </rPr>
      <t>-KY</t>
    </r>
  </si>
  <si>
    <r>
      <t xml:space="preserve"> </t>
    </r>
    <r>
      <rPr>
        <sz val="12"/>
        <color theme="1"/>
        <rFont val="標楷體"/>
        <family val="4"/>
        <charset val="136"/>
      </rPr>
      <t>中揚光</t>
    </r>
  </si>
  <si>
    <r>
      <t xml:space="preserve"> </t>
    </r>
    <r>
      <rPr>
        <sz val="12"/>
        <color theme="1"/>
        <rFont val="標楷體"/>
        <family val="4"/>
        <charset val="136"/>
      </rPr>
      <t>緯穎</t>
    </r>
  </si>
  <si>
    <r>
      <t xml:space="preserve"> </t>
    </r>
    <r>
      <rPr>
        <sz val="12"/>
        <color theme="1"/>
        <rFont val="標楷體"/>
        <family val="4"/>
        <charset val="136"/>
      </rPr>
      <t>復盛應用</t>
    </r>
  </si>
  <si>
    <r>
      <t xml:space="preserve"> </t>
    </r>
    <r>
      <rPr>
        <sz val="12"/>
        <color theme="1"/>
        <rFont val="標楷體"/>
        <family val="4"/>
        <charset val="136"/>
      </rPr>
      <t>三能</t>
    </r>
    <r>
      <rPr>
        <sz val="12"/>
        <color theme="1"/>
        <rFont val="Times New Roman"/>
        <family val="1"/>
      </rPr>
      <t>-KY</t>
    </r>
  </si>
  <si>
    <r>
      <t xml:space="preserve"> </t>
    </r>
    <r>
      <rPr>
        <sz val="12"/>
        <color theme="1"/>
        <rFont val="標楷體"/>
        <family val="4"/>
        <charset val="136"/>
      </rPr>
      <t>騰輝電子</t>
    </r>
    <r>
      <rPr>
        <sz val="12"/>
        <color theme="1"/>
        <rFont val="Times New Roman"/>
        <family val="1"/>
      </rPr>
      <t>-KY</t>
    </r>
  </si>
  <si>
    <r>
      <t xml:space="preserve"> </t>
    </r>
    <r>
      <rPr>
        <sz val="12"/>
        <color theme="1"/>
        <rFont val="標楷體"/>
        <family val="4"/>
        <charset val="136"/>
      </rPr>
      <t>鋐寶科技</t>
    </r>
  </si>
  <si>
    <r>
      <t xml:space="preserve"> </t>
    </r>
    <r>
      <rPr>
        <sz val="12"/>
        <color theme="1"/>
        <rFont val="標楷體"/>
        <family val="4"/>
        <charset val="136"/>
      </rPr>
      <t>伊雲谷</t>
    </r>
  </si>
  <si>
    <r>
      <t xml:space="preserve"> </t>
    </r>
    <r>
      <rPr>
        <sz val="12"/>
        <color theme="1"/>
        <rFont val="標楷體"/>
        <family val="4"/>
        <charset val="136"/>
      </rPr>
      <t>洋基工程</t>
    </r>
  </si>
  <si>
    <r>
      <t xml:space="preserve"> </t>
    </r>
    <r>
      <rPr>
        <sz val="12"/>
        <color theme="1"/>
        <rFont val="標楷體"/>
        <family val="4"/>
        <charset val="136"/>
      </rPr>
      <t>芯鼎</t>
    </r>
  </si>
  <si>
    <r>
      <t xml:space="preserve"> </t>
    </r>
    <r>
      <rPr>
        <sz val="12"/>
        <color theme="1"/>
        <rFont val="標楷體"/>
        <family val="4"/>
        <charset val="136"/>
      </rPr>
      <t>旭暉應材</t>
    </r>
  </si>
  <si>
    <r>
      <t xml:space="preserve"> </t>
    </r>
    <r>
      <rPr>
        <sz val="12"/>
        <color theme="1"/>
        <rFont val="標楷體"/>
        <family val="4"/>
        <charset val="136"/>
      </rPr>
      <t>惠特</t>
    </r>
  </si>
  <si>
    <r>
      <t xml:space="preserve"> </t>
    </r>
    <r>
      <rPr>
        <sz val="12"/>
        <color theme="1"/>
        <rFont val="標楷體"/>
        <family val="4"/>
        <charset val="136"/>
      </rPr>
      <t>嘉基</t>
    </r>
  </si>
  <si>
    <r>
      <t xml:space="preserve"> </t>
    </r>
    <r>
      <rPr>
        <sz val="12"/>
        <color theme="1"/>
        <rFont val="標楷體"/>
        <family val="4"/>
        <charset val="136"/>
      </rPr>
      <t>力智</t>
    </r>
  </si>
  <si>
    <r>
      <t xml:space="preserve"> </t>
    </r>
    <r>
      <rPr>
        <sz val="12"/>
        <color theme="1"/>
        <rFont val="標楷體"/>
        <family val="4"/>
        <charset val="136"/>
      </rPr>
      <t>澤米</t>
    </r>
  </si>
  <si>
    <r>
      <t xml:space="preserve"> </t>
    </r>
    <r>
      <rPr>
        <sz val="12"/>
        <color theme="1"/>
        <rFont val="標楷體"/>
        <family val="4"/>
        <charset val="136"/>
      </rPr>
      <t>安普新</t>
    </r>
  </si>
  <si>
    <r>
      <t xml:space="preserve"> </t>
    </r>
    <r>
      <rPr>
        <sz val="12"/>
        <color theme="1"/>
        <rFont val="標楷體"/>
        <family val="4"/>
        <charset val="136"/>
      </rPr>
      <t>龍德造船</t>
    </r>
  </si>
  <si>
    <r>
      <t xml:space="preserve"> </t>
    </r>
    <r>
      <rPr>
        <sz val="12"/>
        <color theme="1"/>
        <rFont val="標楷體"/>
        <family val="4"/>
        <charset val="136"/>
      </rPr>
      <t>匯僑設計</t>
    </r>
  </si>
  <si>
    <r>
      <t xml:space="preserve"> </t>
    </r>
    <r>
      <rPr>
        <sz val="12"/>
        <color theme="1"/>
        <rFont val="標楷體"/>
        <family val="4"/>
        <charset val="136"/>
      </rPr>
      <t>威鋒電子</t>
    </r>
  </si>
  <si>
    <r>
      <t xml:space="preserve"> </t>
    </r>
    <r>
      <rPr>
        <sz val="12"/>
        <color theme="1"/>
        <rFont val="標楷體"/>
        <family val="4"/>
        <charset val="136"/>
      </rPr>
      <t>志強</t>
    </r>
    <r>
      <rPr>
        <sz val="12"/>
        <color theme="1"/>
        <rFont val="Times New Roman"/>
        <family val="1"/>
      </rPr>
      <t>-KY</t>
    </r>
  </si>
  <si>
    <r>
      <t xml:space="preserve"> </t>
    </r>
    <r>
      <rPr>
        <sz val="12"/>
        <color theme="1"/>
        <rFont val="標楷體"/>
        <family val="4"/>
        <charset val="136"/>
      </rPr>
      <t>力積電</t>
    </r>
  </si>
  <si>
    <r>
      <t xml:space="preserve"> </t>
    </r>
    <r>
      <rPr>
        <sz val="12"/>
        <color theme="1"/>
        <rFont val="標楷體"/>
        <family val="4"/>
        <charset val="136"/>
      </rPr>
      <t>展碁國際</t>
    </r>
  </si>
  <si>
    <r>
      <t xml:space="preserve"> </t>
    </r>
    <r>
      <rPr>
        <sz val="12"/>
        <color theme="1"/>
        <rFont val="標楷體"/>
        <family val="4"/>
        <charset val="136"/>
      </rPr>
      <t>視陽</t>
    </r>
  </si>
  <si>
    <r>
      <t xml:space="preserve"> </t>
    </r>
    <r>
      <rPr>
        <sz val="12"/>
        <color theme="1"/>
        <rFont val="標楷體"/>
        <family val="4"/>
        <charset val="136"/>
      </rPr>
      <t>采鈺</t>
    </r>
  </si>
  <si>
    <r>
      <t xml:space="preserve"> </t>
    </r>
    <r>
      <rPr>
        <sz val="12"/>
        <color theme="1"/>
        <rFont val="標楷體"/>
        <family val="4"/>
        <charset val="136"/>
      </rPr>
      <t>永豐實</t>
    </r>
  </si>
  <si>
    <r>
      <t xml:space="preserve"> </t>
    </r>
    <r>
      <rPr>
        <sz val="12"/>
        <color theme="1"/>
        <rFont val="標楷體"/>
        <family val="4"/>
        <charset val="136"/>
      </rPr>
      <t>詠業</t>
    </r>
  </si>
  <si>
    <r>
      <t xml:space="preserve"> </t>
    </r>
    <r>
      <rPr>
        <sz val="12"/>
        <color theme="1"/>
        <rFont val="標楷體"/>
        <family val="4"/>
        <charset val="136"/>
      </rPr>
      <t>晉弘</t>
    </r>
  </si>
  <si>
    <r>
      <t xml:space="preserve"> </t>
    </r>
    <r>
      <rPr>
        <sz val="12"/>
        <color theme="1"/>
        <rFont val="標楷體"/>
        <family val="4"/>
        <charset val="136"/>
      </rPr>
      <t>來頡</t>
    </r>
  </si>
  <si>
    <r>
      <t xml:space="preserve"> </t>
    </r>
    <r>
      <rPr>
        <sz val="12"/>
        <color theme="1"/>
        <rFont val="標楷體"/>
        <family val="4"/>
        <charset val="136"/>
      </rPr>
      <t>富世達</t>
    </r>
  </si>
  <si>
    <r>
      <t xml:space="preserve"> </t>
    </r>
    <r>
      <rPr>
        <sz val="12"/>
        <color theme="1"/>
        <rFont val="標楷體"/>
        <family val="4"/>
        <charset val="136"/>
      </rPr>
      <t>森崴能源</t>
    </r>
  </si>
  <si>
    <r>
      <t xml:space="preserve"> </t>
    </r>
    <r>
      <rPr>
        <sz val="12"/>
        <color theme="1"/>
        <rFont val="標楷體"/>
        <family val="4"/>
        <charset val="136"/>
      </rPr>
      <t>峰源</t>
    </r>
    <r>
      <rPr>
        <sz val="12"/>
        <color theme="1"/>
        <rFont val="Times New Roman"/>
        <family val="1"/>
      </rPr>
      <t>-KY</t>
    </r>
  </si>
  <si>
    <r>
      <t xml:space="preserve"> </t>
    </r>
    <r>
      <rPr>
        <sz val="12"/>
        <color theme="1"/>
        <rFont val="標楷體"/>
        <family val="4"/>
        <charset val="136"/>
      </rPr>
      <t>汎銓</t>
    </r>
  </si>
  <si>
    <r>
      <t xml:space="preserve"> </t>
    </r>
    <r>
      <rPr>
        <sz val="12"/>
        <color theme="1"/>
        <rFont val="標楷體"/>
        <family val="4"/>
        <charset val="136"/>
      </rPr>
      <t>天二科技</t>
    </r>
  </si>
  <si>
    <r>
      <t xml:space="preserve"> </t>
    </r>
    <r>
      <rPr>
        <sz val="12"/>
        <color theme="1"/>
        <rFont val="標楷體"/>
        <family val="4"/>
        <charset val="136"/>
      </rPr>
      <t>圓裕</t>
    </r>
  </si>
  <si>
    <r>
      <t xml:space="preserve"> </t>
    </r>
    <r>
      <rPr>
        <sz val="12"/>
        <color theme="1"/>
        <rFont val="標楷體"/>
        <family val="4"/>
        <charset val="136"/>
      </rPr>
      <t>睿生光電</t>
    </r>
  </si>
  <si>
    <r>
      <t xml:space="preserve"> </t>
    </r>
    <r>
      <rPr>
        <sz val="12"/>
        <color theme="1"/>
        <rFont val="標楷體"/>
        <family val="4"/>
        <charset val="136"/>
      </rPr>
      <t>永道</t>
    </r>
    <r>
      <rPr>
        <sz val="12"/>
        <color theme="1"/>
        <rFont val="Times New Roman"/>
        <family val="1"/>
      </rPr>
      <t>-KY</t>
    </r>
  </si>
  <si>
    <r>
      <t xml:space="preserve"> </t>
    </r>
    <r>
      <rPr>
        <sz val="12"/>
        <color theme="1"/>
        <rFont val="標楷體"/>
        <family val="4"/>
        <charset val="136"/>
      </rPr>
      <t>鑽石投資</t>
    </r>
  </si>
  <si>
    <r>
      <t xml:space="preserve"> </t>
    </r>
    <r>
      <rPr>
        <sz val="12"/>
        <color theme="1"/>
        <rFont val="標楷體"/>
        <family val="4"/>
        <charset val="136"/>
      </rPr>
      <t>華凌</t>
    </r>
  </si>
  <si>
    <r>
      <t xml:space="preserve"> </t>
    </r>
    <r>
      <rPr>
        <sz val="12"/>
        <color theme="1"/>
        <rFont val="標楷體"/>
        <family val="4"/>
        <charset val="136"/>
      </rPr>
      <t>天虹</t>
    </r>
  </si>
  <si>
    <r>
      <t xml:space="preserve"> </t>
    </r>
    <r>
      <rPr>
        <sz val="12"/>
        <color theme="1"/>
        <rFont val="標楷體"/>
        <family val="4"/>
        <charset val="136"/>
      </rPr>
      <t>台通</t>
    </r>
  </si>
  <si>
    <r>
      <t xml:space="preserve"> </t>
    </r>
    <r>
      <rPr>
        <sz val="12"/>
        <color theme="1"/>
        <rFont val="標楷體"/>
        <family val="4"/>
        <charset val="136"/>
      </rPr>
      <t>矽創</t>
    </r>
  </si>
  <si>
    <r>
      <t xml:space="preserve"> </t>
    </r>
    <r>
      <rPr>
        <sz val="12"/>
        <color theme="1"/>
        <rFont val="標楷體"/>
        <family val="4"/>
        <charset val="136"/>
      </rPr>
      <t>尖點</t>
    </r>
  </si>
  <si>
    <r>
      <t xml:space="preserve"> </t>
    </r>
    <r>
      <rPr>
        <sz val="12"/>
        <color theme="1"/>
        <rFont val="標楷體"/>
        <family val="4"/>
        <charset val="136"/>
      </rPr>
      <t>昇陽半導體</t>
    </r>
  </si>
  <si>
    <r>
      <t xml:space="preserve"> </t>
    </r>
    <r>
      <rPr>
        <sz val="12"/>
        <color theme="1"/>
        <rFont val="標楷體"/>
        <family val="4"/>
        <charset val="136"/>
      </rPr>
      <t>雷虎</t>
    </r>
  </si>
  <si>
    <r>
      <t xml:space="preserve"> </t>
    </r>
    <r>
      <rPr>
        <sz val="12"/>
        <color theme="1"/>
        <rFont val="標楷體"/>
        <family val="4"/>
        <charset val="136"/>
      </rPr>
      <t>台虹</t>
    </r>
  </si>
  <si>
    <r>
      <t xml:space="preserve"> </t>
    </r>
    <r>
      <rPr>
        <sz val="12"/>
        <color theme="1"/>
        <rFont val="標楷體"/>
        <family val="4"/>
        <charset val="136"/>
      </rPr>
      <t>南電</t>
    </r>
  </si>
  <si>
    <r>
      <t xml:space="preserve"> </t>
    </r>
    <r>
      <rPr>
        <sz val="12"/>
        <color theme="1"/>
        <rFont val="標楷體"/>
        <family val="4"/>
        <charset val="136"/>
      </rPr>
      <t>長華</t>
    </r>
    <r>
      <rPr>
        <sz val="12"/>
        <color theme="1"/>
        <rFont val="Times New Roman"/>
        <family val="1"/>
      </rPr>
      <t>*</t>
    </r>
  </si>
  <si>
    <r>
      <t xml:space="preserve"> </t>
    </r>
    <r>
      <rPr>
        <sz val="12"/>
        <color theme="1"/>
        <rFont val="標楷體"/>
        <family val="4"/>
        <charset val="136"/>
      </rPr>
      <t>陞泰</t>
    </r>
  </si>
  <si>
    <r>
      <t xml:space="preserve"> </t>
    </r>
    <r>
      <rPr>
        <sz val="12"/>
        <color theme="1"/>
        <rFont val="標楷體"/>
        <family val="4"/>
        <charset val="136"/>
      </rPr>
      <t>致新</t>
    </r>
  </si>
  <si>
    <r>
      <t xml:space="preserve"> </t>
    </r>
    <r>
      <rPr>
        <sz val="12"/>
        <color theme="1"/>
        <rFont val="標楷體"/>
        <family val="4"/>
        <charset val="136"/>
      </rPr>
      <t>華冠</t>
    </r>
  </si>
  <si>
    <r>
      <t xml:space="preserve"> </t>
    </r>
    <r>
      <rPr>
        <sz val="12"/>
        <color theme="1"/>
        <rFont val="標楷體"/>
        <family val="4"/>
        <charset val="136"/>
      </rPr>
      <t>瀚荃</t>
    </r>
  </si>
  <si>
    <r>
      <t xml:space="preserve"> </t>
    </r>
    <r>
      <rPr>
        <sz val="12"/>
        <color theme="1"/>
        <rFont val="標楷體"/>
        <family val="4"/>
        <charset val="136"/>
      </rPr>
      <t>錸寶</t>
    </r>
  </si>
  <si>
    <r>
      <t xml:space="preserve"> </t>
    </r>
    <r>
      <rPr>
        <sz val="12"/>
        <color theme="1"/>
        <rFont val="標楷體"/>
        <family val="4"/>
        <charset val="136"/>
      </rPr>
      <t>凌巨</t>
    </r>
  </si>
  <si>
    <r>
      <t xml:space="preserve"> </t>
    </r>
    <r>
      <rPr>
        <sz val="12"/>
        <color theme="1"/>
        <rFont val="標楷體"/>
        <family val="4"/>
        <charset val="136"/>
      </rPr>
      <t>華東</t>
    </r>
  </si>
  <si>
    <r>
      <t xml:space="preserve"> </t>
    </r>
    <r>
      <rPr>
        <sz val="12"/>
        <color theme="1"/>
        <rFont val="標楷體"/>
        <family val="4"/>
        <charset val="136"/>
      </rPr>
      <t>至上</t>
    </r>
  </si>
  <si>
    <r>
      <t xml:space="preserve"> </t>
    </r>
    <r>
      <rPr>
        <sz val="12"/>
        <color theme="1"/>
        <rFont val="標楷體"/>
        <family val="4"/>
        <charset val="136"/>
      </rPr>
      <t>振樺電</t>
    </r>
  </si>
  <si>
    <r>
      <t xml:space="preserve"> </t>
    </r>
    <r>
      <rPr>
        <sz val="12"/>
        <color theme="1"/>
        <rFont val="標楷體"/>
        <family val="4"/>
        <charset val="136"/>
      </rPr>
      <t>福懋科</t>
    </r>
  </si>
  <si>
    <r>
      <t xml:space="preserve"> </t>
    </r>
    <r>
      <rPr>
        <sz val="12"/>
        <color theme="1"/>
        <rFont val="標楷體"/>
        <family val="4"/>
        <charset val="136"/>
      </rPr>
      <t>南茂</t>
    </r>
  </si>
  <si>
    <r>
      <t xml:space="preserve"> </t>
    </r>
    <r>
      <rPr>
        <sz val="12"/>
        <color theme="1"/>
        <rFont val="標楷體"/>
        <family val="4"/>
        <charset val="136"/>
      </rPr>
      <t>達方</t>
    </r>
  </si>
  <si>
    <r>
      <t xml:space="preserve"> </t>
    </r>
    <r>
      <rPr>
        <sz val="12"/>
        <color theme="1"/>
        <rFont val="標楷體"/>
        <family val="4"/>
        <charset val="136"/>
      </rPr>
      <t>無敵</t>
    </r>
  </si>
  <si>
    <r>
      <t xml:space="preserve"> </t>
    </r>
    <r>
      <rPr>
        <sz val="12"/>
        <color theme="1"/>
        <rFont val="標楷體"/>
        <family val="4"/>
        <charset val="136"/>
      </rPr>
      <t>勤誠</t>
    </r>
  </si>
  <si>
    <r>
      <t xml:space="preserve"> </t>
    </r>
    <r>
      <rPr>
        <sz val="12"/>
        <color theme="1"/>
        <rFont val="標楷體"/>
        <family val="4"/>
        <charset val="136"/>
      </rPr>
      <t>志超</t>
    </r>
  </si>
  <si>
    <r>
      <t xml:space="preserve"> </t>
    </r>
    <r>
      <rPr>
        <sz val="12"/>
        <color theme="1"/>
        <rFont val="標楷體"/>
        <family val="4"/>
        <charset val="136"/>
      </rPr>
      <t>明基材</t>
    </r>
  </si>
  <si>
    <r>
      <t xml:space="preserve"> </t>
    </r>
    <r>
      <rPr>
        <sz val="12"/>
        <color theme="1"/>
        <rFont val="標楷體"/>
        <family val="4"/>
        <charset val="136"/>
      </rPr>
      <t>寶一</t>
    </r>
  </si>
  <si>
    <r>
      <t xml:space="preserve"> </t>
    </r>
    <r>
      <rPr>
        <sz val="12"/>
        <color theme="1"/>
        <rFont val="標楷體"/>
        <family val="4"/>
        <charset val="136"/>
      </rPr>
      <t>菱光</t>
    </r>
  </si>
  <si>
    <r>
      <t xml:space="preserve"> </t>
    </r>
    <r>
      <rPr>
        <sz val="12"/>
        <color theme="1"/>
        <rFont val="標楷體"/>
        <family val="4"/>
        <charset val="136"/>
      </rPr>
      <t>富鼎</t>
    </r>
  </si>
  <si>
    <r>
      <t xml:space="preserve"> </t>
    </r>
    <r>
      <rPr>
        <sz val="12"/>
        <color theme="1"/>
        <rFont val="標楷體"/>
        <family val="4"/>
        <charset val="136"/>
      </rPr>
      <t>宇瞻</t>
    </r>
  </si>
  <si>
    <r>
      <t xml:space="preserve"> </t>
    </r>
    <r>
      <rPr>
        <sz val="12"/>
        <color theme="1"/>
        <rFont val="標楷體"/>
        <family val="4"/>
        <charset val="136"/>
      </rPr>
      <t>日友</t>
    </r>
  </si>
  <si>
    <r>
      <t xml:space="preserve"> </t>
    </r>
    <r>
      <rPr>
        <sz val="12"/>
        <color theme="1"/>
        <rFont val="標楷體"/>
        <family val="4"/>
        <charset val="136"/>
      </rPr>
      <t>建新國際</t>
    </r>
  </si>
  <si>
    <r>
      <t xml:space="preserve"> </t>
    </r>
    <r>
      <rPr>
        <sz val="12"/>
        <color theme="1"/>
        <rFont val="標楷體"/>
        <family val="4"/>
        <charset val="136"/>
      </rPr>
      <t>羅昇</t>
    </r>
  </si>
  <si>
    <r>
      <t xml:space="preserve"> </t>
    </r>
    <r>
      <rPr>
        <sz val="12"/>
        <color theme="1"/>
        <rFont val="標楷體"/>
        <family val="4"/>
        <charset val="136"/>
      </rPr>
      <t>百和興業</t>
    </r>
    <r>
      <rPr>
        <sz val="12"/>
        <color theme="1"/>
        <rFont val="Times New Roman"/>
        <family val="1"/>
      </rPr>
      <t>-KY</t>
    </r>
  </si>
  <si>
    <r>
      <t xml:space="preserve"> </t>
    </r>
    <r>
      <rPr>
        <sz val="12"/>
        <color theme="1"/>
        <rFont val="標楷體"/>
        <family val="4"/>
        <charset val="136"/>
      </rPr>
      <t>福貞</t>
    </r>
    <r>
      <rPr>
        <sz val="12"/>
        <color theme="1"/>
        <rFont val="Times New Roman"/>
        <family val="1"/>
      </rPr>
      <t>-KY</t>
    </r>
  </si>
  <si>
    <r>
      <t xml:space="preserve"> </t>
    </r>
    <r>
      <rPr>
        <sz val="12"/>
        <color theme="1"/>
        <rFont val="標楷體"/>
        <family val="4"/>
        <charset val="136"/>
      </rPr>
      <t>可寧衛</t>
    </r>
  </si>
  <si>
    <r>
      <t xml:space="preserve"> </t>
    </r>
    <r>
      <rPr>
        <sz val="12"/>
        <color theme="1"/>
        <rFont val="標楷體"/>
        <family val="4"/>
        <charset val="136"/>
      </rPr>
      <t>金麗</t>
    </r>
    <r>
      <rPr>
        <sz val="12"/>
        <color theme="1"/>
        <rFont val="Times New Roman"/>
        <family val="1"/>
      </rPr>
      <t>-KY</t>
    </r>
  </si>
  <si>
    <r>
      <t xml:space="preserve"> </t>
    </r>
    <r>
      <rPr>
        <sz val="12"/>
        <color theme="1"/>
        <rFont val="標楷體"/>
        <family val="4"/>
        <charset val="136"/>
      </rPr>
      <t>昶昕</t>
    </r>
  </si>
  <si>
    <r>
      <t xml:space="preserve"> </t>
    </r>
    <r>
      <rPr>
        <sz val="12"/>
        <color theme="1"/>
        <rFont val="標楷體"/>
        <family val="4"/>
        <charset val="136"/>
      </rPr>
      <t>威宏</t>
    </r>
    <r>
      <rPr>
        <sz val="12"/>
        <color theme="1"/>
        <rFont val="Times New Roman"/>
        <family val="1"/>
      </rPr>
      <t>-KY</t>
    </r>
  </si>
  <si>
    <r>
      <t xml:space="preserve"> </t>
    </r>
    <r>
      <rPr>
        <sz val="12"/>
        <color theme="1"/>
        <rFont val="標楷體"/>
        <family val="4"/>
        <charset val="136"/>
      </rPr>
      <t>阿瘦</t>
    </r>
  </si>
  <si>
    <r>
      <t xml:space="preserve"> </t>
    </r>
    <r>
      <rPr>
        <sz val="12"/>
        <color theme="1"/>
        <rFont val="標楷體"/>
        <family val="4"/>
        <charset val="136"/>
      </rPr>
      <t>富邦媒</t>
    </r>
  </si>
  <si>
    <r>
      <t xml:space="preserve"> </t>
    </r>
    <r>
      <rPr>
        <sz val="12"/>
        <color theme="1"/>
        <rFont val="標楷體"/>
        <family val="4"/>
        <charset val="136"/>
      </rPr>
      <t>柏文</t>
    </r>
  </si>
  <si>
    <r>
      <t xml:space="preserve"> </t>
    </r>
    <r>
      <rPr>
        <sz val="12"/>
        <color theme="1"/>
        <rFont val="標楷體"/>
        <family val="4"/>
        <charset val="136"/>
      </rPr>
      <t>潤泰材</t>
    </r>
  </si>
  <si>
    <r>
      <t xml:space="preserve"> </t>
    </r>
    <r>
      <rPr>
        <sz val="12"/>
        <color theme="1"/>
        <rFont val="標楷體"/>
        <family val="4"/>
        <charset val="136"/>
      </rPr>
      <t>億豐</t>
    </r>
  </si>
  <si>
    <r>
      <t xml:space="preserve"> </t>
    </r>
    <r>
      <rPr>
        <sz val="12"/>
        <color theme="1"/>
        <rFont val="標楷體"/>
        <family val="4"/>
        <charset val="136"/>
      </rPr>
      <t>美吉吉</t>
    </r>
    <r>
      <rPr>
        <sz val="12"/>
        <color theme="1"/>
        <rFont val="Times New Roman"/>
        <family val="1"/>
      </rPr>
      <t>-KY</t>
    </r>
  </si>
  <si>
    <r>
      <t xml:space="preserve"> </t>
    </r>
    <r>
      <rPr>
        <sz val="12"/>
        <color theme="1"/>
        <rFont val="標楷體"/>
        <family val="4"/>
        <charset val="136"/>
      </rPr>
      <t>波力</t>
    </r>
    <r>
      <rPr>
        <sz val="12"/>
        <color theme="1"/>
        <rFont val="Times New Roman"/>
        <family val="1"/>
      </rPr>
      <t>-KY</t>
    </r>
  </si>
  <si>
    <r>
      <t xml:space="preserve"> </t>
    </r>
    <r>
      <rPr>
        <sz val="12"/>
        <color theme="1"/>
        <rFont val="標楷體"/>
        <family val="4"/>
        <charset val="136"/>
      </rPr>
      <t>山林水</t>
    </r>
  </si>
  <si>
    <r>
      <t xml:space="preserve"> </t>
    </r>
    <r>
      <rPr>
        <sz val="12"/>
        <color theme="1"/>
        <rFont val="標楷體"/>
        <family val="4"/>
        <charset val="136"/>
      </rPr>
      <t>台境</t>
    </r>
  </si>
  <si>
    <r>
      <t xml:space="preserve"> </t>
    </r>
    <r>
      <rPr>
        <sz val="12"/>
        <color theme="1"/>
        <rFont val="標楷體"/>
        <family val="4"/>
        <charset val="136"/>
      </rPr>
      <t>東哥遊艇</t>
    </r>
  </si>
  <si>
    <r>
      <t xml:space="preserve"> </t>
    </r>
    <r>
      <rPr>
        <sz val="12"/>
        <color theme="1"/>
        <rFont val="標楷體"/>
        <family val="4"/>
        <charset val="136"/>
      </rPr>
      <t>政伸</t>
    </r>
  </si>
  <si>
    <r>
      <t xml:space="preserve"> </t>
    </r>
    <r>
      <rPr>
        <sz val="12"/>
        <color theme="1"/>
        <rFont val="標楷體"/>
        <family val="4"/>
        <charset val="136"/>
      </rPr>
      <t>商億</t>
    </r>
    <r>
      <rPr>
        <sz val="12"/>
        <color theme="1"/>
        <rFont val="Times New Roman"/>
        <family val="1"/>
      </rPr>
      <t>-KY</t>
    </r>
  </si>
  <si>
    <r>
      <t xml:space="preserve"> </t>
    </r>
    <r>
      <rPr>
        <sz val="12"/>
        <color theme="1"/>
        <rFont val="標楷體"/>
        <family val="4"/>
        <charset val="136"/>
      </rPr>
      <t>吉源</t>
    </r>
    <r>
      <rPr>
        <sz val="12"/>
        <color theme="1"/>
        <rFont val="Times New Roman"/>
        <family val="1"/>
      </rPr>
      <t>-KY</t>
    </r>
  </si>
  <si>
    <r>
      <t xml:space="preserve"> </t>
    </r>
    <r>
      <rPr>
        <sz val="12"/>
        <color theme="1"/>
        <rFont val="標楷體"/>
        <family val="4"/>
        <charset val="136"/>
      </rPr>
      <t>鼎炫</t>
    </r>
    <r>
      <rPr>
        <sz val="12"/>
        <color theme="1"/>
        <rFont val="Times New Roman"/>
        <family val="1"/>
      </rPr>
      <t>-KY</t>
    </r>
  </si>
  <si>
    <r>
      <t xml:space="preserve"> </t>
    </r>
    <r>
      <rPr>
        <sz val="12"/>
        <color theme="1"/>
        <rFont val="標楷體"/>
        <family val="4"/>
        <charset val="136"/>
      </rPr>
      <t>台汽電</t>
    </r>
  </si>
  <si>
    <r>
      <t xml:space="preserve"> </t>
    </r>
    <r>
      <rPr>
        <sz val="12"/>
        <color theme="1"/>
        <rFont val="標楷體"/>
        <family val="4"/>
        <charset val="136"/>
      </rPr>
      <t>新天地</t>
    </r>
  </si>
  <si>
    <r>
      <t xml:space="preserve"> </t>
    </r>
    <r>
      <rPr>
        <sz val="12"/>
        <color theme="1"/>
        <rFont val="標楷體"/>
        <family val="4"/>
        <charset val="136"/>
      </rPr>
      <t>高力</t>
    </r>
  </si>
  <si>
    <r>
      <t xml:space="preserve"> </t>
    </r>
    <r>
      <rPr>
        <sz val="12"/>
        <color theme="1"/>
        <rFont val="標楷體"/>
        <family val="4"/>
        <charset val="136"/>
      </rPr>
      <t>鈺齊</t>
    </r>
    <r>
      <rPr>
        <sz val="12"/>
        <color theme="1"/>
        <rFont val="Times New Roman"/>
        <family val="1"/>
      </rPr>
      <t>-KY</t>
    </r>
  </si>
  <si>
    <r>
      <t xml:space="preserve"> </t>
    </r>
    <r>
      <rPr>
        <sz val="12"/>
        <color theme="1"/>
        <rFont val="標楷體"/>
        <family val="4"/>
        <charset val="136"/>
      </rPr>
      <t>台火</t>
    </r>
  </si>
  <si>
    <r>
      <t xml:space="preserve"> </t>
    </r>
    <r>
      <rPr>
        <sz val="12"/>
        <color theme="1"/>
        <rFont val="標楷體"/>
        <family val="4"/>
        <charset val="136"/>
      </rPr>
      <t>寶成</t>
    </r>
  </si>
  <si>
    <r>
      <t xml:space="preserve"> </t>
    </r>
    <r>
      <rPr>
        <sz val="12"/>
        <color theme="1"/>
        <rFont val="標楷體"/>
        <family val="4"/>
        <charset val="136"/>
      </rPr>
      <t>大華</t>
    </r>
  </si>
  <si>
    <r>
      <t xml:space="preserve"> </t>
    </r>
    <r>
      <rPr>
        <sz val="12"/>
        <color theme="1"/>
        <rFont val="標楷體"/>
        <family val="4"/>
        <charset val="136"/>
      </rPr>
      <t>欣巴巴</t>
    </r>
  </si>
  <si>
    <r>
      <t xml:space="preserve"> </t>
    </r>
    <r>
      <rPr>
        <sz val="12"/>
        <color theme="1"/>
        <rFont val="標楷體"/>
        <family val="4"/>
        <charset val="136"/>
      </rPr>
      <t>統一實</t>
    </r>
  </si>
  <si>
    <r>
      <t xml:space="preserve"> </t>
    </r>
    <r>
      <rPr>
        <sz val="12"/>
        <color theme="1"/>
        <rFont val="標楷體"/>
        <family val="4"/>
        <charset val="136"/>
      </rPr>
      <t>大台北</t>
    </r>
  </si>
  <si>
    <r>
      <t xml:space="preserve"> </t>
    </r>
    <r>
      <rPr>
        <sz val="12"/>
        <color theme="1"/>
        <rFont val="標楷體"/>
        <family val="4"/>
        <charset val="136"/>
      </rPr>
      <t>豐泰</t>
    </r>
  </si>
  <si>
    <r>
      <t xml:space="preserve"> </t>
    </r>
    <r>
      <rPr>
        <sz val="12"/>
        <color theme="1"/>
        <rFont val="標楷體"/>
        <family val="4"/>
        <charset val="136"/>
      </rPr>
      <t>櫻花</t>
    </r>
  </si>
  <si>
    <r>
      <t xml:space="preserve"> </t>
    </r>
    <r>
      <rPr>
        <sz val="12"/>
        <color theme="1"/>
        <rFont val="標楷體"/>
        <family val="4"/>
        <charset val="136"/>
      </rPr>
      <t>偉聯</t>
    </r>
  </si>
  <si>
    <r>
      <t xml:space="preserve"> </t>
    </r>
    <r>
      <rPr>
        <sz val="12"/>
        <color theme="1"/>
        <rFont val="標楷體"/>
        <family val="4"/>
        <charset val="136"/>
      </rPr>
      <t>美利達</t>
    </r>
  </si>
  <si>
    <r>
      <t xml:space="preserve"> </t>
    </r>
    <r>
      <rPr>
        <sz val="12"/>
        <color theme="1"/>
        <rFont val="標楷體"/>
        <family val="4"/>
        <charset val="136"/>
      </rPr>
      <t>中保科</t>
    </r>
  </si>
  <si>
    <r>
      <t xml:space="preserve"> </t>
    </r>
    <r>
      <rPr>
        <sz val="12"/>
        <color theme="1"/>
        <rFont val="標楷體"/>
        <family val="4"/>
        <charset val="136"/>
      </rPr>
      <t>欣天然</t>
    </r>
  </si>
  <si>
    <r>
      <t xml:space="preserve"> </t>
    </r>
    <r>
      <rPr>
        <sz val="12"/>
        <color theme="1"/>
        <rFont val="標楷體"/>
        <family val="4"/>
        <charset val="136"/>
      </rPr>
      <t>康那香</t>
    </r>
  </si>
  <si>
    <r>
      <t xml:space="preserve"> </t>
    </r>
    <r>
      <rPr>
        <sz val="12"/>
        <color theme="1"/>
        <rFont val="標楷體"/>
        <family val="4"/>
        <charset val="136"/>
      </rPr>
      <t>巨大</t>
    </r>
  </si>
  <si>
    <r>
      <t xml:space="preserve"> </t>
    </r>
    <r>
      <rPr>
        <sz val="12"/>
        <color theme="1"/>
        <rFont val="標楷體"/>
        <family val="4"/>
        <charset val="136"/>
      </rPr>
      <t>福興</t>
    </r>
  </si>
  <si>
    <r>
      <t xml:space="preserve"> </t>
    </r>
    <r>
      <rPr>
        <sz val="12"/>
        <color theme="1"/>
        <rFont val="標楷體"/>
        <family val="4"/>
        <charset val="136"/>
      </rPr>
      <t>新保</t>
    </r>
  </si>
  <si>
    <r>
      <t xml:space="preserve"> </t>
    </r>
    <r>
      <rPr>
        <sz val="12"/>
        <color theme="1"/>
        <rFont val="標楷體"/>
        <family val="4"/>
        <charset val="136"/>
      </rPr>
      <t>新海</t>
    </r>
  </si>
  <si>
    <r>
      <t xml:space="preserve"> </t>
    </r>
    <r>
      <rPr>
        <sz val="12"/>
        <color theme="1"/>
        <rFont val="標楷體"/>
        <family val="4"/>
        <charset val="136"/>
      </rPr>
      <t>泰銘</t>
    </r>
  </si>
  <si>
    <r>
      <t xml:space="preserve"> </t>
    </r>
    <r>
      <rPr>
        <sz val="12"/>
        <color theme="1"/>
        <rFont val="標楷體"/>
        <family val="4"/>
        <charset val="136"/>
      </rPr>
      <t>中視</t>
    </r>
  </si>
  <si>
    <r>
      <t xml:space="preserve"> </t>
    </r>
    <r>
      <rPr>
        <sz val="12"/>
        <color theme="1"/>
        <rFont val="標楷體"/>
        <family val="4"/>
        <charset val="136"/>
      </rPr>
      <t>秋雨</t>
    </r>
  </si>
  <si>
    <r>
      <t xml:space="preserve"> </t>
    </r>
    <r>
      <rPr>
        <sz val="12"/>
        <color theme="1"/>
        <rFont val="標楷體"/>
        <family val="4"/>
        <charset val="136"/>
      </rPr>
      <t>中聯資源</t>
    </r>
  </si>
  <si>
    <r>
      <t xml:space="preserve"> </t>
    </r>
    <r>
      <rPr>
        <sz val="12"/>
        <color theme="1"/>
        <rFont val="標楷體"/>
        <family val="4"/>
        <charset val="136"/>
      </rPr>
      <t>欣高</t>
    </r>
  </si>
  <si>
    <r>
      <t xml:space="preserve"> </t>
    </r>
    <r>
      <rPr>
        <sz val="12"/>
        <color theme="1"/>
        <rFont val="標楷體"/>
        <family val="4"/>
        <charset val="136"/>
      </rPr>
      <t>中鼎</t>
    </r>
  </si>
  <si>
    <r>
      <t xml:space="preserve"> </t>
    </r>
    <r>
      <rPr>
        <sz val="12"/>
        <color theme="1"/>
        <rFont val="標楷體"/>
        <family val="4"/>
        <charset val="136"/>
      </rPr>
      <t>成霖</t>
    </r>
  </si>
  <si>
    <r>
      <t xml:space="preserve"> </t>
    </r>
    <r>
      <rPr>
        <sz val="12"/>
        <color theme="1"/>
        <rFont val="標楷體"/>
        <family val="4"/>
        <charset val="136"/>
      </rPr>
      <t>慶豐富</t>
    </r>
  </si>
  <si>
    <r>
      <t xml:space="preserve"> </t>
    </r>
    <r>
      <rPr>
        <sz val="12"/>
        <color theme="1"/>
        <rFont val="標楷體"/>
        <family val="4"/>
        <charset val="136"/>
      </rPr>
      <t>全國</t>
    </r>
  </si>
  <si>
    <r>
      <t xml:space="preserve"> </t>
    </r>
    <r>
      <rPr>
        <sz val="12"/>
        <color theme="1"/>
        <rFont val="標楷體"/>
        <family val="4"/>
        <charset val="136"/>
      </rPr>
      <t>百和</t>
    </r>
  </si>
  <si>
    <r>
      <t xml:space="preserve"> </t>
    </r>
    <r>
      <rPr>
        <sz val="12"/>
        <color theme="1"/>
        <rFont val="標楷體"/>
        <family val="4"/>
        <charset val="136"/>
      </rPr>
      <t>宏全</t>
    </r>
  </si>
  <si>
    <r>
      <t xml:space="preserve"> </t>
    </r>
    <r>
      <rPr>
        <sz val="12"/>
        <color theme="1"/>
        <rFont val="標楷體"/>
        <family val="4"/>
        <charset val="136"/>
      </rPr>
      <t>信義</t>
    </r>
  </si>
  <si>
    <r>
      <t xml:space="preserve"> </t>
    </r>
    <r>
      <rPr>
        <sz val="12"/>
        <color theme="1"/>
        <rFont val="標楷體"/>
        <family val="4"/>
        <charset val="136"/>
      </rPr>
      <t>裕融</t>
    </r>
  </si>
  <si>
    <r>
      <t xml:space="preserve"> </t>
    </r>
    <r>
      <rPr>
        <sz val="12"/>
        <color theme="1"/>
        <rFont val="標楷體"/>
        <family val="4"/>
        <charset val="136"/>
      </rPr>
      <t>茂順</t>
    </r>
  </si>
  <si>
    <r>
      <t xml:space="preserve"> </t>
    </r>
    <r>
      <rPr>
        <sz val="12"/>
        <color theme="1"/>
        <rFont val="標楷體"/>
        <family val="4"/>
        <charset val="136"/>
      </rPr>
      <t>好樂迪</t>
    </r>
  </si>
  <si>
    <r>
      <t xml:space="preserve"> </t>
    </r>
    <r>
      <rPr>
        <sz val="12"/>
        <color theme="1"/>
        <rFont val="標楷體"/>
        <family val="4"/>
        <charset val="136"/>
      </rPr>
      <t>新麗</t>
    </r>
  </si>
  <si>
    <r>
      <t xml:space="preserve"> </t>
    </r>
    <r>
      <rPr>
        <sz val="12"/>
        <color theme="1"/>
        <rFont val="標楷體"/>
        <family val="4"/>
        <charset val="136"/>
      </rPr>
      <t>潤泰新</t>
    </r>
  </si>
  <si>
    <r>
      <t xml:space="preserve"> </t>
    </r>
    <r>
      <rPr>
        <sz val="12"/>
        <color theme="1"/>
        <rFont val="標楷體"/>
        <family val="4"/>
        <charset val="136"/>
      </rPr>
      <t>三發地產</t>
    </r>
  </si>
  <si>
    <r>
      <t xml:space="preserve"> </t>
    </r>
    <r>
      <rPr>
        <sz val="12"/>
        <color theme="1"/>
        <rFont val="標楷體"/>
        <family val="4"/>
        <charset val="136"/>
      </rPr>
      <t>佳龍</t>
    </r>
  </si>
  <si>
    <r>
      <t xml:space="preserve"> </t>
    </r>
    <r>
      <rPr>
        <sz val="12"/>
        <color theme="1"/>
        <rFont val="標楷體"/>
        <family val="4"/>
        <charset val="136"/>
      </rPr>
      <t>世紀鋼</t>
    </r>
  </si>
  <si>
    <r>
      <t xml:space="preserve"> </t>
    </r>
    <r>
      <rPr>
        <sz val="12"/>
        <color theme="1"/>
        <rFont val="標楷體"/>
        <family val="4"/>
        <charset val="136"/>
      </rPr>
      <t>兆豐第一</t>
    </r>
  </si>
  <si>
    <r>
      <rPr>
        <sz val="12"/>
        <color theme="1"/>
        <rFont val="標楷體"/>
        <family val="4"/>
        <charset val="136"/>
      </rPr>
      <t>股票型基金</t>
    </r>
    <r>
      <rPr>
        <sz val="12"/>
        <color theme="1"/>
        <rFont val="Times New Roman"/>
        <family val="1"/>
      </rPr>
      <t>(</t>
    </r>
    <r>
      <rPr>
        <sz val="12"/>
        <color theme="1"/>
        <rFont val="標楷體"/>
        <family val="4"/>
        <charset val="136"/>
      </rPr>
      <t>上市</t>
    </r>
    <r>
      <rPr>
        <sz val="12"/>
        <color theme="1"/>
        <rFont val="Times New Roman"/>
        <family val="1"/>
      </rPr>
      <t>)</t>
    </r>
  </si>
  <si>
    <r>
      <t xml:space="preserve"> </t>
    </r>
    <r>
      <rPr>
        <sz val="12"/>
        <color theme="1"/>
        <rFont val="標楷體"/>
        <family val="4"/>
        <charset val="136"/>
      </rPr>
      <t>兆豐國民</t>
    </r>
  </si>
  <si>
    <r>
      <t xml:space="preserve"> </t>
    </r>
    <r>
      <rPr>
        <sz val="12"/>
        <color theme="1"/>
        <rFont val="標楷體"/>
        <family val="4"/>
        <charset val="136"/>
      </rPr>
      <t>兆豐萬全基金</t>
    </r>
    <r>
      <rPr>
        <sz val="12"/>
        <color theme="1"/>
        <rFont val="Times New Roman"/>
        <family val="1"/>
      </rPr>
      <t>R TWD</t>
    </r>
  </si>
  <si>
    <r>
      <rPr>
        <sz val="12"/>
        <color theme="1"/>
        <rFont val="標楷體"/>
        <family val="4"/>
        <charset val="136"/>
      </rPr>
      <t>平衡型基金及多重資產型基金</t>
    </r>
  </si>
  <si>
    <r>
      <t xml:space="preserve"> </t>
    </r>
    <r>
      <rPr>
        <sz val="12"/>
        <color theme="1"/>
        <rFont val="標楷體"/>
        <family val="4"/>
        <charset val="136"/>
      </rPr>
      <t>兆豐萬全</t>
    </r>
  </si>
  <si>
    <r>
      <t xml:space="preserve"> </t>
    </r>
    <r>
      <rPr>
        <sz val="12"/>
        <color theme="1"/>
        <rFont val="標楷體"/>
        <family val="4"/>
        <charset val="136"/>
      </rPr>
      <t>兆豐電子</t>
    </r>
  </si>
  <si>
    <r>
      <t xml:space="preserve"> </t>
    </r>
    <r>
      <rPr>
        <sz val="12"/>
        <color theme="1"/>
        <rFont val="標楷體"/>
        <family val="4"/>
        <charset val="136"/>
      </rPr>
      <t>兆豐豐台灣</t>
    </r>
  </si>
  <si>
    <r>
      <t xml:space="preserve"> </t>
    </r>
    <r>
      <rPr>
        <sz val="12"/>
        <color theme="1"/>
        <rFont val="標楷體"/>
        <family val="4"/>
        <charset val="136"/>
      </rPr>
      <t>兆豐台金傳股</t>
    </r>
    <r>
      <rPr>
        <sz val="12"/>
        <color theme="1"/>
        <rFont val="Times New Roman"/>
        <family val="1"/>
      </rPr>
      <t>Aa</t>
    </r>
  </si>
  <si>
    <r>
      <t xml:space="preserve"> </t>
    </r>
    <r>
      <rPr>
        <sz val="12"/>
        <color theme="1"/>
        <rFont val="標楷體"/>
        <family val="4"/>
        <charset val="136"/>
      </rPr>
      <t>兆豐台金傳股</t>
    </r>
    <r>
      <rPr>
        <sz val="12"/>
        <color theme="1"/>
        <rFont val="Times New Roman"/>
        <family val="1"/>
      </rPr>
      <t>Na</t>
    </r>
  </si>
  <si>
    <r>
      <t xml:space="preserve"> </t>
    </r>
    <r>
      <rPr>
        <sz val="12"/>
        <color theme="1"/>
        <rFont val="標楷體"/>
        <family val="4"/>
        <charset val="136"/>
      </rPr>
      <t>第一金小型</t>
    </r>
  </si>
  <si>
    <r>
      <t xml:space="preserve"> </t>
    </r>
    <r>
      <rPr>
        <sz val="12"/>
        <color theme="1"/>
        <rFont val="標楷體"/>
        <family val="4"/>
        <charset val="136"/>
      </rPr>
      <t>第一金電子</t>
    </r>
  </si>
  <si>
    <r>
      <t xml:space="preserve"> </t>
    </r>
    <r>
      <rPr>
        <sz val="12"/>
        <color theme="1"/>
        <rFont val="標楷體"/>
        <family val="4"/>
        <charset val="136"/>
      </rPr>
      <t>第一金中概平衡</t>
    </r>
  </si>
  <si>
    <r>
      <t xml:space="preserve"> </t>
    </r>
    <r>
      <rPr>
        <sz val="12"/>
        <color theme="1"/>
        <rFont val="標楷體"/>
        <family val="4"/>
        <charset val="136"/>
      </rPr>
      <t>第一金創新</t>
    </r>
    <r>
      <rPr>
        <sz val="12"/>
        <color theme="1"/>
        <rFont val="Times New Roman"/>
        <family val="1"/>
      </rPr>
      <t>Aa</t>
    </r>
  </si>
  <si>
    <r>
      <t xml:space="preserve"> </t>
    </r>
    <r>
      <rPr>
        <sz val="12"/>
        <color theme="1"/>
        <rFont val="標楷體"/>
        <family val="4"/>
        <charset val="136"/>
      </rPr>
      <t>第台核心建設</t>
    </r>
    <r>
      <rPr>
        <sz val="12"/>
        <color theme="1"/>
        <rFont val="Times New Roman"/>
        <family val="1"/>
      </rPr>
      <t>Aa</t>
    </r>
  </si>
  <si>
    <r>
      <t xml:space="preserve"> </t>
    </r>
    <r>
      <rPr>
        <sz val="12"/>
        <color theme="1"/>
        <rFont val="標楷體"/>
        <family val="4"/>
        <charset val="136"/>
      </rPr>
      <t>第台核心建設</t>
    </r>
    <r>
      <rPr>
        <sz val="12"/>
        <color theme="1"/>
        <rFont val="Times New Roman"/>
        <family val="1"/>
      </rPr>
      <t>Bd</t>
    </r>
  </si>
  <si>
    <r>
      <t xml:space="preserve"> </t>
    </r>
    <r>
      <rPr>
        <sz val="12"/>
        <color theme="1"/>
        <rFont val="標楷體"/>
        <family val="4"/>
        <charset val="136"/>
      </rPr>
      <t>第台核心建設</t>
    </r>
    <r>
      <rPr>
        <sz val="12"/>
        <color theme="1"/>
        <rFont val="Times New Roman"/>
        <family val="1"/>
      </rPr>
      <t>NAa</t>
    </r>
  </si>
  <si>
    <r>
      <t xml:space="preserve"> </t>
    </r>
    <r>
      <rPr>
        <sz val="12"/>
        <color theme="1"/>
        <rFont val="標楷體"/>
        <family val="4"/>
        <charset val="136"/>
      </rPr>
      <t>第台核心建設</t>
    </r>
    <r>
      <rPr>
        <sz val="12"/>
        <color theme="1"/>
        <rFont val="Times New Roman"/>
        <family val="1"/>
      </rPr>
      <t>NBd</t>
    </r>
  </si>
  <si>
    <r>
      <t xml:space="preserve"> </t>
    </r>
    <r>
      <rPr>
        <sz val="12"/>
        <color theme="1"/>
        <rFont val="標楷體"/>
        <family val="4"/>
        <charset val="136"/>
      </rPr>
      <t>匯豐安富</t>
    </r>
  </si>
  <si>
    <r>
      <t xml:space="preserve"> </t>
    </r>
    <r>
      <rPr>
        <sz val="12"/>
        <color theme="1"/>
        <rFont val="標楷體"/>
        <family val="4"/>
        <charset val="136"/>
      </rPr>
      <t>匯豐成功</t>
    </r>
  </si>
  <si>
    <r>
      <t xml:space="preserve"> </t>
    </r>
    <r>
      <rPr>
        <sz val="12"/>
        <color theme="1"/>
        <rFont val="標楷體"/>
        <family val="4"/>
        <charset val="136"/>
      </rPr>
      <t>匯豐龍鳳</t>
    </r>
    <r>
      <rPr>
        <sz val="12"/>
        <color theme="1"/>
        <rFont val="Times New Roman"/>
        <family val="1"/>
      </rPr>
      <t>Ia</t>
    </r>
  </si>
  <si>
    <r>
      <t xml:space="preserve"> </t>
    </r>
    <r>
      <rPr>
        <sz val="12"/>
        <color theme="1"/>
        <rFont val="標楷體"/>
        <family val="4"/>
        <charset val="136"/>
      </rPr>
      <t>匯豐龍鳳</t>
    </r>
    <r>
      <rPr>
        <sz val="12"/>
        <color theme="1"/>
        <rFont val="Times New Roman"/>
        <family val="1"/>
      </rPr>
      <t>Ra</t>
    </r>
  </si>
  <si>
    <r>
      <t xml:space="preserve"> </t>
    </r>
    <r>
      <rPr>
        <sz val="12"/>
        <color theme="1"/>
        <rFont val="標楷體"/>
        <family val="4"/>
        <charset val="136"/>
      </rPr>
      <t>匯豐龍鳳</t>
    </r>
    <r>
      <rPr>
        <sz val="12"/>
        <color theme="1"/>
        <rFont val="Times New Roman"/>
        <family val="1"/>
      </rPr>
      <t>Aa</t>
    </r>
  </si>
  <si>
    <r>
      <t xml:space="preserve"> </t>
    </r>
    <r>
      <rPr>
        <sz val="12"/>
        <color theme="1"/>
        <rFont val="標楷體"/>
        <family val="4"/>
        <charset val="136"/>
      </rPr>
      <t>匯豐龍騰電子</t>
    </r>
  </si>
  <si>
    <r>
      <t xml:space="preserve"> </t>
    </r>
    <r>
      <rPr>
        <sz val="12"/>
        <color theme="1"/>
        <rFont val="標楷體"/>
        <family val="4"/>
        <charset val="136"/>
      </rPr>
      <t>匯豐台灣精典</t>
    </r>
  </si>
  <si>
    <r>
      <t xml:space="preserve"> </t>
    </r>
    <r>
      <rPr>
        <sz val="12"/>
        <color theme="1"/>
        <rFont val="標楷體"/>
        <family val="4"/>
        <charset val="136"/>
      </rPr>
      <t>元多福</t>
    </r>
  </si>
  <si>
    <r>
      <t xml:space="preserve"> </t>
    </r>
    <r>
      <rPr>
        <sz val="12"/>
        <color theme="1"/>
        <rFont val="標楷體"/>
        <family val="4"/>
        <charset val="136"/>
      </rPr>
      <t>元大多多基金</t>
    </r>
  </si>
  <si>
    <r>
      <t xml:space="preserve"> </t>
    </r>
    <r>
      <rPr>
        <sz val="12"/>
        <color theme="1"/>
        <rFont val="標楷體"/>
        <family val="4"/>
        <charset val="136"/>
      </rPr>
      <t>元卓越</t>
    </r>
  </si>
  <si>
    <r>
      <t xml:space="preserve"> </t>
    </r>
    <r>
      <rPr>
        <sz val="12"/>
        <color theme="1"/>
        <rFont val="標楷體"/>
        <family val="4"/>
        <charset val="136"/>
      </rPr>
      <t>元高科</t>
    </r>
  </si>
  <si>
    <r>
      <t xml:space="preserve"> </t>
    </r>
    <r>
      <rPr>
        <sz val="12"/>
        <color theme="1"/>
        <rFont val="標楷體"/>
        <family val="4"/>
        <charset val="136"/>
      </rPr>
      <t>元大經貿基金</t>
    </r>
  </si>
  <si>
    <r>
      <t xml:space="preserve"> </t>
    </r>
    <r>
      <rPr>
        <sz val="12"/>
        <color theme="1"/>
        <rFont val="標楷體"/>
        <family val="4"/>
        <charset val="136"/>
      </rPr>
      <t>元大新主流</t>
    </r>
  </si>
  <si>
    <r>
      <t xml:space="preserve"> </t>
    </r>
    <r>
      <rPr>
        <sz val="12"/>
        <color theme="1"/>
        <rFont val="標楷體"/>
        <family val="4"/>
        <charset val="136"/>
      </rPr>
      <t>元</t>
    </r>
    <r>
      <rPr>
        <sz val="12"/>
        <color theme="1"/>
        <rFont val="Times New Roman"/>
        <family val="1"/>
      </rPr>
      <t>2001</t>
    </r>
  </si>
  <si>
    <r>
      <t xml:space="preserve"> </t>
    </r>
    <r>
      <rPr>
        <sz val="12"/>
        <color theme="1"/>
        <rFont val="標楷體"/>
        <family val="4"/>
        <charset val="136"/>
      </rPr>
      <t>元大台灣加權股</t>
    </r>
    <r>
      <rPr>
        <sz val="12"/>
        <color theme="1"/>
        <rFont val="Times New Roman"/>
        <family val="1"/>
      </rPr>
      <t>Ra</t>
    </r>
  </si>
  <si>
    <r>
      <t xml:space="preserve"> </t>
    </r>
    <r>
      <rPr>
        <sz val="12"/>
        <color theme="1"/>
        <rFont val="標楷體"/>
        <family val="4"/>
        <charset val="136"/>
      </rPr>
      <t>元大台灣加權股</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</si>
  <si>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</si>
  <si>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Bd</t>
    </r>
  </si>
  <si>
    <r>
      <t xml:space="preserve"> </t>
    </r>
    <r>
      <rPr>
        <sz val="12"/>
        <color theme="1"/>
        <rFont val="標楷體"/>
        <family val="4"/>
        <charset val="136"/>
      </rPr>
      <t>元大台高息龍</t>
    </r>
    <r>
      <rPr>
        <sz val="12"/>
        <color theme="1"/>
        <rFont val="Times New Roman"/>
        <family val="1"/>
      </rPr>
      <t>Ia</t>
    </r>
  </si>
  <si>
    <r>
      <t xml:space="preserve"> </t>
    </r>
    <r>
      <rPr>
        <sz val="12"/>
        <color theme="1"/>
        <rFont val="標楷體"/>
        <family val="4"/>
        <charset val="136"/>
      </rPr>
      <t>元大台高息龍</t>
    </r>
    <r>
      <rPr>
        <sz val="12"/>
        <color theme="1"/>
        <rFont val="Times New Roman"/>
        <family val="1"/>
      </rPr>
      <t>Id</t>
    </r>
  </si>
  <si>
    <r>
      <t xml:space="preserve"> </t>
    </r>
    <r>
      <rPr>
        <sz val="12"/>
        <color theme="1"/>
        <rFont val="標楷體"/>
        <family val="4"/>
        <charset val="136"/>
      </rPr>
      <t>景順潛力</t>
    </r>
  </si>
  <si>
    <r>
      <t xml:space="preserve"> </t>
    </r>
    <r>
      <rPr>
        <sz val="12"/>
        <color theme="1"/>
        <rFont val="標楷體"/>
        <family val="4"/>
        <charset val="136"/>
      </rPr>
      <t>景順台灣科技</t>
    </r>
  </si>
  <si>
    <r>
      <t xml:space="preserve"> </t>
    </r>
    <r>
      <rPr>
        <sz val="12"/>
        <color theme="1"/>
        <rFont val="標楷體"/>
        <family val="4"/>
        <charset val="136"/>
      </rPr>
      <t>景順主流</t>
    </r>
  </si>
  <si>
    <r>
      <t xml:space="preserve"> </t>
    </r>
    <r>
      <rPr>
        <sz val="12"/>
        <color theme="1"/>
        <rFont val="標楷體"/>
        <family val="4"/>
        <charset val="136"/>
      </rPr>
      <t>瀚亞高科技</t>
    </r>
  </si>
  <si>
    <r>
      <t xml:space="preserve"> </t>
    </r>
    <r>
      <rPr>
        <sz val="12"/>
        <color theme="1"/>
        <rFont val="標楷體"/>
        <family val="4"/>
        <charset val="136"/>
      </rPr>
      <t>瀚亞外銷</t>
    </r>
  </si>
  <si>
    <r>
      <t xml:space="preserve"> </t>
    </r>
    <r>
      <rPr>
        <sz val="12"/>
        <color theme="1"/>
        <rFont val="標楷體"/>
        <family val="4"/>
        <charset val="136"/>
      </rPr>
      <t>瀚亞菁華</t>
    </r>
  </si>
  <si>
    <r>
      <t xml:space="preserve"> </t>
    </r>
    <r>
      <rPr>
        <sz val="12"/>
        <color theme="1"/>
        <rFont val="標楷體"/>
        <family val="4"/>
        <charset val="136"/>
      </rPr>
      <t>瀚亞中小型股</t>
    </r>
  </si>
  <si>
    <r>
      <t xml:space="preserve"> </t>
    </r>
    <r>
      <rPr>
        <sz val="12"/>
        <color theme="1"/>
        <rFont val="標楷體"/>
        <family val="4"/>
        <charset val="136"/>
      </rPr>
      <t>瀚亞理財通</t>
    </r>
    <r>
      <rPr>
        <sz val="12"/>
        <color theme="1"/>
        <rFont val="Times New Roman"/>
        <family val="1"/>
      </rPr>
      <t>B</t>
    </r>
  </si>
  <si>
    <r>
      <t xml:space="preserve"> </t>
    </r>
    <r>
      <rPr>
        <sz val="12"/>
        <color theme="1"/>
        <rFont val="標楷體"/>
        <family val="4"/>
        <charset val="136"/>
      </rPr>
      <t>瀚亞理財通</t>
    </r>
    <r>
      <rPr>
        <sz val="12"/>
        <color theme="1"/>
        <rFont val="Times New Roman"/>
        <family val="1"/>
      </rPr>
      <t>A</t>
    </r>
  </si>
  <si>
    <r>
      <t xml:space="preserve"> PGIM</t>
    </r>
    <r>
      <rPr>
        <sz val="12"/>
        <color theme="1"/>
        <rFont val="標楷體"/>
        <family val="4"/>
        <charset val="136"/>
      </rPr>
      <t>高成長</t>
    </r>
    <r>
      <rPr>
        <sz val="12"/>
        <color theme="1"/>
        <rFont val="Times New Roman"/>
        <family val="1"/>
      </rPr>
      <t>Aa</t>
    </r>
  </si>
  <si>
    <r>
      <t xml:space="preserve"> PGIM</t>
    </r>
    <r>
      <rPr>
        <sz val="12"/>
        <color theme="1"/>
        <rFont val="標楷體"/>
        <family val="4"/>
        <charset val="136"/>
      </rPr>
      <t>金滿意</t>
    </r>
    <r>
      <rPr>
        <sz val="12"/>
        <color theme="1"/>
        <rFont val="Times New Roman"/>
        <family val="1"/>
      </rPr>
      <t>Ra</t>
    </r>
  </si>
  <si>
    <r>
      <t xml:space="preserve"> PGIM</t>
    </r>
    <r>
      <rPr>
        <sz val="12"/>
        <color theme="1"/>
        <rFont val="標楷體"/>
        <family val="4"/>
        <charset val="136"/>
      </rPr>
      <t>金滿意</t>
    </r>
    <r>
      <rPr>
        <sz val="12"/>
        <color theme="1"/>
        <rFont val="Times New Roman"/>
        <family val="1"/>
      </rPr>
      <t>Aa</t>
    </r>
  </si>
  <si>
    <r>
      <t xml:space="preserve"> PGIM</t>
    </r>
    <r>
      <rPr>
        <sz val="12"/>
        <color theme="1"/>
        <rFont val="標楷體"/>
        <family val="4"/>
        <charset val="136"/>
      </rPr>
      <t>科技島</t>
    </r>
    <r>
      <rPr>
        <sz val="12"/>
        <color theme="1"/>
        <rFont val="Times New Roman"/>
        <family val="1"/>
      </rPr>
      <t>Aa</t>
    </r>
  </si>
  <si>
    <r>
      <t xml:space="preserve"> PGIM</t>
    </r>
    <r>
      <rPr>
        <sz val="12"/>
        <color theme="1"/>
        <rFont val="標楷體"/>
        <family val="4"/>
        <charset val="136"/>
      </rPr>
      <t>中小型股</t>
    </r>
    <r>
      <rPr>
        <sz val="12"/>
        <color theme="1"/>
        <rFont val="Times New Roman"/>
        <family val="1"/>
      </rPr>
      <t>Aa</t>
    </r>
  </si>
  <si>
    <r>
      <t xml:space="preserve"> PGIM</t>
    </r>
    <r>
      <rPr>
        <sz val="12"/>
        <color theme="1"/>
        <rFont val="標楷體"/>
        <family val="4"/>
        <charset val="136"/>
      </rPr>
      <t>新世紀</t>
    </r>
    <r>
      <rPr>
        <sz val="12"/>
        <color theme="1"/>
        <rFont val="Times New Roman"/>
        <family val="1"/>
      </rPr>
      <t>Ra</t>
    </r>
  </si>
  <si>
    <r>
      <t xml:space="preserve"> PGIM</t>
    </r>
    <r>
      <rPr>
        <sz val="12"/>
        <color theme="1"/>
        <rFont val="標楷體"/>
        <family val="4"/>
        <charset val="136"/>
      </rPr>
      <t>新世紀</t>
    </r>
    <r>
      <rPr>
        <sz val="12"/>
        <color theme="1"/>
        <rFont val="Times New Roman"/>
        <family val="1"/>
      </rPr>
      <t>Aa</t>
    </r>
  </si>
  <si>
    <r>
      <t xml:space="preserve"> PGIM</t>
    </r>
    <r>
      <rPr>
        <sz val="12"/>
        <color theme="1"/>
        <rFont val="標楷體"/>
        <family val="4"/>
        <charset val="136"/>
      </rPr>
      <t>金平衡</t>
    </r>
    <r>
      <rPr>
        <sz val="12"/>
        <color theme="1"/>
        <rFont val="Times New Roman"/>
        <family val="1"/>
      </rPr>
      <t>Ra</t>
    </r>
  </si>
  <si>
    <r>
      <t xml:space="preserve"> PGIM</t>
    </r>
    <r>
      <rPr>
        <sz val="12"/>
        <color theme="1"/>
        <rFont val="標楷體"/>
        <family val="4"/>
        <charset val="136"/>
      </rPr>
      <t>金平衡</t>
    </r>
    <r>
      <rPr>
        <sz val="12"/>
        <color theme="1"/>
        <rFont val="Times New Roman"/>
        <family val="1"/>
      </rPr>
      <t>Aa</t>
    </r>
  </si>
  <si>
    <r>
      <t xml:space="preserve"> </t>
    </r>
    <r>
      <rPr>
        <sz val="12"/>
        <color theme="1"/>
        <rFont val="標楷體"/>
        <family val="4"/>
        <charset val="136"/>
      </rPr>
      <t>統一統信</t>
    </r>
  </si>
  <si>
    <r>
      <t xml:space="preserve"> </t>
    </r>
    <r>
      <rPr>
        <sz val="12"/>
        <color theme="1"/>
        <rFont val="標楷體"/>
        <family val="4"/>
        <charset val="136"/>
      </rPr>
      <t>統一全天候</t>
    </r>
    <r>
      <rPr>
        <sz val="12"/>
        <color theme="1"/>
        <rFont val="Times New Roman"/>
        <family val="1"/>
      </rPr>
      <t>I</t>
    </r>
  </si>
  <si>
    <r>
      <t xml:space="preserve"> </t>
    </r>
    <r>
      <rPr>
        <sz val="12"/>
        <color theme="1"/>
        <rFont val="標楷體"/>
        <family val="4"/>
        <charset val="136"/>
      </rPr>
      <t>統一全天候</t>
    </r>
    <r>
      <rPr>
        <sz val="12"/>
        <color theme="1"/>
        <rFont val="Times New Roman"/>
        <family val="1"/>
      </rPr>
      <t>A</t>
    </r>
  </si>
  <si>
    <r>
      <t xml:space="preserve"> </t>
    </r>
    <r>
      <rPr>
        <sz val="12"/>
        <color theme="1"/>
        <rFont val="標楷體"/>
        <family val="4"/>
        <charset val="136"/>
      </rPr>
      <t>統一黑馬</t>
    </r>
  </si>
  <si>
    <r>
      <t xml:space="preserve"> </t>
    </r>
    <r>
      <rPr>
        <sz val="12"/>
        <color theme="1"/>
        <rFont val="標楷體"/>
        <family val="4"/>
        <charset val="136"/>
      </rPr>
      <t>統一龍馬</t>
    </r>
  </si>
  <si>
    <r>
      <t xml:space="preserve"> </t>
    </r>
    <r>
      <rPr>
        <sz val="12"/>
        <color theme="1"/>
        <rFont val="標楷體"/>
        <family val="4"/>
        <charset val="136"/>
      </rPr>
      <t>統一中小</t>
    </r>
  </si>
  <si>
    <r>
      <t xml:space="preserve"> </t>
    </r>
    <r>
      <rPr>
        <sz val="12"/>
        <color theme="1"/>
        <rFont val="標楷體"/>
        <family val="4"/>
        <charset val="136"/>
      </rPr>
      <t>統一經建</t>
    </r>
  </si>
  <si>
    <r>
      <t xml:space="preserve"> </t>
    </r>
    <r>
      <rPr>
        <sz val="12"/>
        <color theme="1"/>
        <rFont val="標楷體"/>
        <family val="4"/>
        <charset val="136"/>
      </rPr>
      <t>統一奔騰</t>
    </r>
  </si>
  <si>
    <r>
      <t xml:space="preserve"> </t>
    </r>
    <r>
      <rPr>
        <sz val="12"/>
        <color theme="1"/>
        <rFont val="標楷體"/>
        <family val="4"/>
        <charset val="136"/>
      </rPr>
      <t>統一大滿貫</t>
    </r>
    <r>
      <rPr>
        <sz val="12"/>
        <color theme="1"/>
        <rFont val="Times New Roman"/>
        <family val="1"/>
      </rPr>
      <t>A</t>
    </r>
  </si>
  <si>
    <r>
      <t xml:space="preserve"> </t>
    </r>
    <r>
      <rPr>
        <sz val="12"/>
        <color theme="1"/>
        <rFont val="標楷體"/>
        <family val="4"/>
        <charset val="136"/>
      </rPr>
      <t>統一台灣動力</t>
    </r>
  </si>
  <si>
    <r>
      <t xml:space="preserve"> </t>
    </r>
    <r>
      <rPr>
        <sz val="12"/>
        <color theme="1"/>
        <rFont val="標楷體"/>
        <family val="4"/>
        <charset val="136"/>
      </rPr>
      <t>統一台灣高息優選基金</t>
    </r>
  </si>
  <si>
    <r>
      <t xml:space="preserve"> </t>
    </r>
    <r>
      <rPr>
        <sz val="12"/>
        <color theme="1"/>
        <rFont val="標楷體"/>
        <family val="4"/>
        <charset val="136"/>
      </rPr>
      <t>富邦</t>
    </r>
    <r>
      <rPr>
        <sz val="12"/>
        <color theme="1"/>
        <rFont val="Times New Roman"/>
        <family val="1"/>
      </rPr>
      <t>FB I</t>
    </r>
  </si>
  <si>
    <r>
      <t xml:space="preserve"> </t>
    </r>
    <r>
      <rPr>
        <sz val="12"/>
        <color theme="1"/>
        <rFont val="標楷體"/>
        <family val="4"/>
        <charset val="136"/>
      </rPr>
      <t>富邦</t>
    </r>
    <r>
      <rPr>
        <sz val="12"/>
        <color theme="1"/>
        <rFont val="Times New Roman"/>
        <family val="1"/>
      </rPr>
      <t>FB A</t>
    </r>
  </si>
  <si>
    <r>
      <t xml:space="preserve"> </t>
    </r>
    <r>
      <rPr>
        <sz val="12"/>
        <color theme="1"/>
        <rFont val="標楷體"/>
        <family val="4"/>
        <charset val="136"/>
      </rPr>
      <t>富邦精準</t>
    </r>
  </si>
  <si>
    <r>
      <t xml:space="preserve"> </t>
    </r>
    <r>
      <rPr>
        <sz val="12"/>
        <color theme="1"/>
        <rFont val="標楷體"/>
        <family val="4"/>
        <charset val="136"/>
      </rPr>
      <t>富邦長紅</t>
    </r>
  </si>
  <si>
    <r>
      <t xml:space="preserve"> </t>
    </r>
    <r>
      <rPr>
        <sz val="12"/>
        <color theme="1"/>
        <rFont val="標楷體"/>
        <family val="4"/>
        <charset val="136"/>
      </rPr>
      <t>精銳</t>
    </r>
    <r>
      <rPr>
        <sz val="12"/>
        <color theme="1"/>
        <rFont val="Times New Roman"/>
        <family val="1"/>
      </rPr>
      <t>FB</t>
    </r>
  </si>
  <si>
    <r>
      <t xml:space="preserve"> </t>
    </r>
    <r>
      <rPr>
        <sz val="12"/>
        <color theme="1"/>
        <rFont val="標楷體"/>
        <family val="4"/>
        <charset val="136"/>
      </rPr>
      <t>富邦高成長</t>
    </r>
  </si>
  <si>
    <r>
      <t xml:space="preserve"> </t>
    </r>
    <r>
      <rPr>
        <sz val="12"/>
        <color theme="1"/>
        <rFont val="標楷體"/>
        <family val="4"/>
        <charset val="136"/>
      </rPr>
      <t>科技</t>
    </r>
    <r>
      <rPr>
        <sz val="12"/>
        <color theme="1"/>
        <rFont val="Times New Roman"/>
        <family val="1"/>
      </rPr>
      <t>FB</t>
    </r>
  </si>
  <si>
    <r>
      <t xml:space="preserve"> </t>
    </r>
    <r>
      <rPr>
        <sz val="12"/>
        <color theme="1"/>
        <rFont val="標楷體"/>
        <family val="4"/>
        <charset val="136"/>
      </rPr>
      <t>富邦台灣心</t>
    </r>
  </si>
  <si>
    <r>
      <t xml:space="preserve"> </t>
    </r>
    <r>
      <rPr>
        <sz val="12"/>
        <color theme="1"/>
        <rFont val="標楷體"/>
        <family val="4"/>
        <charset val="136"/>
      </rPr>
      <t>富邦台灣高股息基金</t>
    </r>
    <r>
      <rPr>
        <sz val="12"/>
        <color theme="1"/>
        <rFont val="Times New Roman"/>
        <family val="1"/>
      </rPr>
      <t>A</t>
    </r>
  </si>
  <si>
    <r>
      <t xml:space="preserve"> </t>
    </r>
    <r>
      <rPr>
        <sz val="12"/>
        <color theme="1"/>
        <rFont val="標楷體"/>
        <family val="4"/>
        <charset val="136"/>
      </rPr>
      <t>富邦台灣高股息基金</t>
    </r>
    <r>
      <rPr>
        <sz val="12"/>
        <color theme="1"/>
        <rFont val="Times New Roman"/>
        <family val="1"/>
      </rPr>
      <t>B</t>
    </r>
  </si>
  <si>
    <r>
      <t xml:space="preserve"> </t>
    </r>
    <r>
      <rPr>
        <sz val="12"/>
        <color theme="1"/>
        <rFont val="標楷體"/>
        <family val="4"/>
        <charset val="136"/>
      </rPr>
      <t>摩根台灣增長</t>
    </r>
  </si>
  <si>
    <r>
      <t xml:space="preserve"> </t>
    </r>
    <r>
      <rPr>
        <sz val="12"/>
        <color theme="1"/>
        <rFont val="標楷體"/>
        <family val="4"/>
        <charset val="136"/>
      </rPr>
      <t>摩根新興科技基金</t>
    </r>
    <r>
      <rPr>
        <sz val="12"/>
        <color theme="1"/>
        <rFont val="Times New Roman"/>
        <family val="1"/>
      </rPr>
      <t>DA T</t>
    </r>
  </si>
  <si>
    <r>
      <t xml:space="preserve"> </t>
    </r>
    <r>
      <rPr>
        <sz val="12"/>
        <color theme="1"/>
        <rFont val="標楷體"/>
        <family val="4"/>
        <charset val="136"/>
      </rPr>
      <t>摩根新興科技基金</t>
    </r>
    <r>
      <rPr>
        <sz val="12"/>
        <color theme="1"/>
        <rFont val="Times New Roman"/>
        <family val="1"/>
      </rPr>
      <t>A TW</t>
    </r>
  </si>
  <si>
    <r>
      <t xml:space="preserve"> </t>
    </r>
    <r>
      <rPr>
        <sz val="12"/>
        <color theme="1"/>
        <rFont val="標楷體"/>
        <family val="4"/>
        <charset val="136"/>
      </rPr>
      <t>摩根中小</t>
    </r>
  </si>
  <si>
    <r>
      <t xml:space="preserve"> </t>
    </r>
    <r>
      <rPr>
        <sz val="12"/>
        <color theme="1"/>
        <rFont val="標楷體"/>
        <family val="4"/>
        <charset val="136"/>
      </rPr>
      <t>摩根平衡</t>
    </r>
  </si>
  <si>
    <r>
      <t xml:space="preserve"> </t>
    </r>
    <r>
      <rPr>
        <sz val="12"/>
        <color theme="1"/>
        <rFont val="標楷體"/>
        <family val="4"/>
        <charset val="136"/>
      </rPr>
      <t>摩根台灣金磚</t>
    </r>
    <r>
      <rPr>
        <sz val="12"/>
        <color theme="1"/>
        <rFont val="Times New Roman"/>
        <family val="1"/>
      </rPr>
      <t>I</t>
    </r>
  </si>
  <si>
    <r>
      <t xml:space="preserve"> </t>
    </r>
    <r>
      <rPr>
        <sz val="12"/>
        <color theme="1"/>
        <rFont val="標楷體"/>
        <family val="4"/>
        <charset val="136"/>
      </rPr>
      <t>摩根台灣金磚基金</t>
    </r>
    <r>
      <rPr>
        <sz val="12"/>
        <color theme="1"/>
        <rFont val="Times New Roman"/>
        <family val="1"/>
      </rPr>
      <t>DA T</t>
    </r>
  </si>
  <si>
    <r>
      <t xml:space="preserve"> </t>
    </r>
    <r>
      <rPr>
        <sz val="12"/>
        <color theme="1"/>
        <rFont val="標楷體"/>
        <family val="4"/>
        <charset val="136"/>
      </rPr>
      <t>摩根台灣金磚</t>
    </r>
    <r>
      <rPr>
        <sz val="12"/>
        <color theme="1"/>
        <rFont val="Times New Roman"/>
        <family val="1"/>
      </rPr>
      <t>A</t>
    </r>
  </si>
  <si>
    <r>
      <t xml:space="preserve"> </t>
    </r>
    <r>
      <rPr>
        <sz val="12"/>
        <color theme="1"/>
        <rFont val="標楷體"/>
        <family val="4"/>
        <charset val="136"/>
      </rPr>
      <t>華南永昌永昌</t>
    </r>
  </si>
  <si>
    <r>
      <t xml:space="preserve"> </t>
    </r>
    <r>
      <rPr>
        <sz val="12"/>
        <color theme="1"/>
        <rFont val="標楷體"/>
        <family val="4"/>
        <charset val="136"/>
      </rPr>
      <t>華南永昌台灣環境永續</t>
    </r>
  </si>
  <si>
    <r>
      <t xml:space="preserve"> </t>
    </r>
    <r>
      <rPr>
        <sz val="12"/>
        <color theme="1"/>
        <rFont val="標楷體"/>
        <family val="4"/>
        <charset val="136"/>
      </rPr>
      <t>新光創新科技</t>
    </r>
  </si>
  <si>
    <r>
      <t xml:space="preserve"> </t>
    </r>
    <r>
      <rPr>
        <sz val="12"/>
        <color theme="1"/>
        <rFont val="標楷體"/>
        <family val="4"/>
        <charset val="136"/>
      </rPr>
      <t>新光大三通</t>
    </r>
  </si>
  <si>
    <r>
      <t xml:space="preserve"> </t>
    </r>
    <r>
      <rPr>
        <sz val="12"/>
        <color theme="1"/>
        <rFont val="標楷體"/>
        <family val="4"/>
        <charset val="136"/>
      </rPr>
      <t>新光台灣富貴</t>
    </r>
  </si>
  <si>
    <r>
      <t xml:space="preserve"> </t>
    </r>
    <r>
      <rPr>
        <sz val="12"/>
        <color theme="1"/>
        <rFont val="標楷體"/>
        <family val="4"/>
        <charset val="136"/>
      </rPr>
      <t>新光臺高股息</t>
    </r>
    <r>
      <rPr>
        <sz val="12"/>
        <color theme="1"/>
        <rFont val="Times New Roman"/>
        <family val="1"/>
      </rPr>
      <t>Aa</t>
    </r>
  </si>
  <si>
    <r>
      <t xml:space="preserve"> </t>
    </r>
    <r>
      <rPr>
        <sz val="12"/>
        <color theme="1"/>
        <rFont val="標楷體"/>
        <family val="4"/>
        <charset val="136"/>
      </rPr>
      <t>新光臺高股息</t>
    </r>
    <r>
      <rPr>
        <sz val="12"/>
        <color theme="1"/>
        <rFont val="Times New Roman"/>
        <family val="1"/>
      </rPr>
      <t>Bd</t>
    </r>
  </si>
  <si>
    <r>
      <t xml:space="preserve"> </t>
    </r>
    <r>
      <rPr>
        <sz val="12"/>
        <color theme="1"/>
        <rFont val="標楷體"/>
        <family val="4"/>
        <charset val="136"/>
      </rPr>
      <t>群益奧斯卡</t>
    </r>
  </si>
  <si>
    <r>
      <t xml:space="preserve"> </t>
    </r>
    <r>
      <rPr>
        <sz val="12"/>
        <color theme="1"/>
        <rFont val="標楷體"/>
        <family val="4"/>
        <charset val="136"/>
      </rPr>
      <t>群益葛萊美</t>
    </r>
  </si>
  <si>
    <r>
      <t xml:space="preserve"> </t>
    </r>
    <r>
      <rPr>
        <sz val="12"/>
        <color theme="1"/>
        <rFont val="標楷體"/>
        <family val="4"/>
        <charset val="136"/>
      </rPr>
      <t>群益中小</t>
    </r>
  </si>
  <si>
    <r>
      <t xml:space="preserve"> </t>
    </r>
    <r>
      <rPr>
        <sz val="12"/>
        <color theme="1"/>
        <rFont val="標楷體"/>
        <family val="4"/>
        <charset val="136"/>
      </rPr>
      <t>群益馬拉松</t>
    </r>
    <r>
      <rPr>
        <sz val="12"/>
        <color theme="1"/>
        <rFont val="Times New Roman"/>
        <family val="1"/>
      </rPr>
      <t>Ia</t>
    </r>
  </si>
  <si>
    <r>
      <t xml:space="preserve"> </t>
    </r>
    <r>
      <rPr>
        <sz val="12"/>
        <color theme="1"/>
        <rFont val="標楷體"/>
        <family val="4"/>
        <charset val="136"/>
      </rPr>
      <t>群益馬拉松</t>
    </r>
    <r>
      <rPr>
        <sz val="12"/>
        <color theme="1"/>
        <rFont val="Times New Roman"/>
        <family val="1"/>
      </rPr>
      <t>Na</t>
    </r>
  </si>
  <si>
    <r>
      <t xml:space="preserve"> </t>
    </r>
    <r>
      <rPr>
        <sz val="12"/>
        <color theme="1"/>
        <rFont val="標楷體"/>
        <family val="4"/>
        <charset val="136"/>
      </rPr>
      <t>群益馬拉松</t>
    </r>
    <r>
      <rPr>
        <sz val="12"/>
        <color theme="1"/>
        <rFont val="Times New Roman"/>
        <family val="1"/>
      </rPr>
      <t>Fa</t>
    </r>
  </si>
  <si>
    <r>
      <t xml:space="preserve"> </t>
    </r>
    <r>
      <rPr>
        <sz val="12"/>
        <color theme="1"/>
        <rFont val="標楷體"/>
        <family val="4"/>
        <charset val="136"/>
      </rPr>
      <t>群益長安</t>
    </r>
  </si>
  <si>
    <r>
      <t xml:space="preserve"> </t>
    </r>
    <r>
      <rPr>
        <sz val="12"/>
        <color theme="1"/>
        <rFont val="標楷體"/>
        <family val="4"/>
        <charset val="136"/>
      </rPr>
      <t>群益創新科技</t>
    </r>
    <r>
      <rPr>
        <sz val="12"/>
        <color theme="1"/>
        <rFont val="Times New Roman"/>
        <family val="1"/>
      </rPr>
      <t>Na</t>
    </r>
  </si>
  <si>
    <r>
      <t xml:space="preserve"> </t>
    </r>
    <r>
      <rPr>
        <sz val="12"/>
        <color theme="1"/>
        <rFont val="標楷體"/>
        <family val="4"/>
        <charset val="136"/>
      </rPr>
      <t>群益創新科技</t>
    </r>
    <r>
      <rPr>
        <sz val="12"/>
        <color theme="1"/>
        <rFont val="Times New Roman"/>
        <family val="1"/>
      </rPr>
      <t>Fa</t>
    </r>
  </si>
  <si>
    <r>
      <t xml:space="preserve"> </t>
    </r>
    <r>
      <rPr>
        <sz val="12"/>
        <color theme="1"/>
        <rFont val="標楷體"/>
        <family val="4"/>
        <charset val="136"/>
      </rPr>
      <t>群益真善美</t>
    </r>
  </si>
  <si>
    <r>
      <t xml:space="preserve"> </t>
    </r>
    <r>
      <rPr>
        <sz val="12"/>
        <color theme="1"/>
        <rFont val="標楷體"/>
        <family val="4"/>
        <charset val="136"/>
      </rPr>
      <t>群益平衡王</t>
    </r>
  </si>
  <si>
    <r>
      <t xml:space="preserve"> </t>
    </r>
    <r>
      <rPr>
        <sz val="12"/>
        <color theme="1"/>
        <rFont val="標楷體"/>
        <family val="4"/>
        <charset val="136"/>
      </rPr>
      <t>群益安家</t>
    </r>
  </si>
  <si>
    <r>
      <t xml:space="preserve"> </t>
    </r>
    <r>
      <rPr>
        <sz val="12"/>
        <color theme="1"/>
        <rFont val="標楷體"/>
        <family val="4"/>
        <charset val="136"/>
      </rPr>
      <t>台中銀大發</t>
    </r>
    <r>
      <rPr>
        <sz val="12"/>
        <color theme="1"/>
        <rFont val="Times New Roman"/>
        <family val="1"/>
      </rPr>
      <t>Aa</t>
    </r>
  </si>
  <si>
    <r>
      <t xml:space="preserve"> </t>
    </r>
    <r>
      <rPr>
        <sz val="12"/>
        <color theme="1"/>
        <rFont val="標楷體"/>
        <family val="4"/>
        <charset val="136"/>
      </rPr>
      <t>台中銀數位</t>
    </r>
    <r>
      <rPr>
        <sz val="12"/>
        <color theme="1"/>
        <rFont val="Times New Roman"/>
        <family val="1"/>
      </rPr>
      <t>Aa</t>
    </r>
  </si>
  <si>
    <r>
      <t xml:space="preserve"> </t>
    </r>
    <r>
      <rPr>
        <sz val="12"/>
        <color theme="1"/>
        <rFont val="標楷體"/>
        <family val="4"/>
        <charset val="136"/>
      </rPr>
      <t>台中銀台優息</t>
    </r>
    <r>
      <rPr>
        <sz val="12"/>
        <color theme="1"/>
        <rFont val="Times New Roman"/>
        <family val="1"/>
      </rPr>
      <t>Aa</t>
    </r>
  </si>
  <si>
    <r>
      <t xml:space="preserve"> </t>
    </r>
    <r>
      <rPr>
        <sz val="12"/>
        <color theme="1"/>
        <rFont val="標楷體"/>
        <family val="4"/>
        <charset val="136"/>
      </rPr>
      <t>台中銀台優息</t>
    </r>
    <r>
      <rPr>
        <sz val="12"/>
        <color theme="1"/>
        <rFont val="Times New Roman"/>
        <family val="1"/>
      </rPr>
      <t>Bd</t>
    </r>
  </si>
  <si>
    <r>
      <t xml:space="preserve"> </t>
    </r>
    <r>
      <rPr>
        <sz val="12"/>
        <color theme="1"/>
        <rFont val="標楷體"/>
        <family val="4"/>
        <charset val="136"/>
      </rPr>
      <t>台中銀台優息</t>
    </r>
    <r>
      <rPr>
        <sz val="12"/>
        <color theme="1"/>
        <rFont val="Times New Roman"/>
        <family val="1"/>
      </rPr>
      <t>Ca</t>
    </r>
  </si>
  <si>
    <r>
      <t xml:space="preserve"> </t>
    </r>
    <r>
      <rPr>
        <sz val="12"/>
        <color theme="1"/>
        <rFont val="標楷體"/>
        <family val="4"/>
        <charset val="136"/>
      </rPr>
      <t>台中銀台優息</t>
    </r>
    <r>
      <rPr>
        <sz val="12"/>
        <color theme="1"/>
        <rFont val="Times New Roman"/>
        <family val="1"/>
      </rPr>
      <t>Nd</t>
    </r>
  </si>
  <si>
    <r>
      <t xml:space="preserve"> </t>
    </r>
    <r>
      <rPr>
        <sz val="12"/>
        <color theme="1"/>
        <rFont val="標楷體"/>
        <family val="4"/>
        <charset val="136"/>
      </rPr>
      <t>聯博大利</t>
    </r>
  </si>
  <si>
    <r>
      <t xml:space="preserve"> </t>
    </r>
    <r>
      <rPr>
        <sz val="12"/>
        <color theme="1"/>
        <rFont val="標楷體"/>
        <family val="4"/>
        <charset val="136"/>
      </rPr>
      <t>日盛上選</t>
    </r>
    <r>
      <rPr>
        <sz val="12"/>
        <color theme="1"/>
        <rFont val="Times New Roman"/>
        <family val="1"/>
      </rPr>
      <t>Na</t>
    </r>
  </si>
  <si>
    <r>
      <t xml:space="preserve"> </t>
    </r>
    <r>
      <rPr>
        <sz val="12"/>
        <color theme="1"/>
        <rFont val="標楷體"/>
        <family val="4"/>
        <charset val="136"/>
      </rPr>
      <t>日盛上選</t>
    </r>
    <r>
      <rPr>
        <sz val="12"/>
        <color theme="1"/>
        <rFont val="Times New Roman"/>
        <family val="1"/>
      </rPr>
      <t>Aa</t>
    </r>
  </si>
  <si>
    <r>
      <t xml:space="preserve"> </t>
    </r>
    <r>
      <rPr>
        <sz val="12"/>
        <color theme="1"/>
        <rFont val="標楷體"/>
        <family val="4"/>
        <charset val="136"/>
      </rPr>
      <t>日盛小而美</t>
    </r>
    <r>
      <rPr>
        <sz val="12"/>
        <color theme="1"/>
        <rFont val="Times New Roman"/>
        <family val="1"/>
      </rPr>
      <t>Aa</t>
    </r>
  </si>
  <si>
    <r>
      <t xml:space="preserve"> </t>
    </r>
    <r>
      <rPr>
        <sz val="12"/>
        <color theme="1"/>
        <rFont val="標楷體"/>
        <family val="4"/>
        <charset val="136"/>
      </rPr>
      <t>日盛精選五虎</t>
    </r>
    <r>
      <rPr>
        <sz val="12"/>
        <color theme="1"/>
        <rFont val="Times New Roman"/>
        <family val="1"/>
      </rPr>
      <t>Aa</t>
    </r>
  </si>
  <si>
    <r>
      <t xml:space="preserve"> </t>
    </r>
    <r>
      <rPr>
        <sz val="12"/>
        <color theme="1"/>
        <rFont val="標楷體"/>
        <family val="4"/>
        <charset val="136"/>
      </rPr>
      <t>日盛高科技</t>
    </r>
    <r>
      <rPr>
        <sz val="12"/>
        <color theme="1"/>
        <rFont val="Times New Roman"/>
        <family val="1"/>
      </rPr>
      <t>Aa</t>
    </r>
  </si>
  <si>
    <r>
      <t xml:space="preserve"> </t>
    </r>
    <r>
      <rPr>
        <sz val="12"/>
        <color theme="1"/>
        <rFont val="標楷體"/>
        <family val="4"/>
        <charset val="136"/>
      </rPr>
      <t>日盛日盛</t>
    </r>
    <r>
      <rPr>
        <sz val="12"/>
        <color theme="1"/>
        <rFont val="Times New Roman"/>
        <family val="1"/>
      </rPr>
      <t>Ad</t>
    </r>
  </si>
  <si>
    <r>
      <t xml:space="preserve"> </t>
    </r>
    <r>
      <rPr>
        <sz val="12"/>
        <color theme="1"/>
        <rFont val="標楷體"/>
        <family val="4"/>
        <charset val="136"/>
      </rPr>
      <t>日盛新台商</t>
    </r>
    <r>
      <rPr>
        <sz val="12"/>
        <color theme="1"/>
        <rFont val="Times New Roman"/>
        <family val="1"/>
      </rPr>
      <t>Aa</t>
    </r>
  </si>
  <si>
    <r>
      <t xml:space="preserve"> </t>
    </r>
    <r>
      <rPr>
        <sz val="12"/>
        <color theme="1"/>
        <rFont val="標楷體"/>
        <family val="4"/>
        <charset val="136"/>
      </rPr>
      <t>日盛首選</t>
    </r>
    <r>
      <rPr>
        <sz val="12"/>
        <color theme="1"/>
        <rFont val="Times New Roman"/>
        <family val="1"/>
      </rPr>
      <t>Aa</t>
    </r>
  </si>
  <si>
    <r>
      <t xml:space="preserve"> </t>
    </r>
    <r>
      <rPr>
        <sz val="12"/>
        <color theme="1"/>
        <rFont val="標楷體"/>
        <family val="4"/>
        <charset val="136"/>
      </rPr>
      <t>日盛</t>
    </r>
    <r>
      <rPr>
        <sz val="12"/>
        <color theme="1"/>
        <rFont val="Times New Roman"/>
        <family val="1"/>
      </rPr>
      <t xml:space="preserve">MIT </t>
    </r>
    <r>
      <rPr>
        <sz val="12"/>
        <color theme="1"/>
        <rFont val="標楷體"/>
        <family val="4"/>
        <charset val="136"/>
      </rPr>
      <t>主流</t>
    </r>
    <r>
      <rPr>
        <sz val="12"/>
        <color theme="1"/>
        <rFont val="Times New Roman"/>
        <family val="1"/>
      </rPr>
      <t>Aa</t>
    </r>
  </si>
  <si>
    <r>
      <t xml:space="preserve"> </t>
    </r>
    <r>
      <rPr>
        <sz val="12"/>
        <color theme="1"/>
        <rFont val="標楷體"/>
        <family val="4"/>
        <charset val="136"/>
      </rPr>
      <t>日盛台灣成股</t>
    </r>
    <r>
      <rPr>
        <sz val="12"/>
        <color theme="1"/>
        <rFont val="Times New Roman"/>
        <family val="1"/>
      </rPr>
      <t>Aa</t>
    </r>
  </si>
  <si>
    <r>
      <t xml:space="preserve"> </t>
    </r>
    <r>
      <rPr>
        <sz val="12"/>
        <color theme="1"/>
        <rFont val="標楷體"/>
        <family val="4"/>
        <charset val="136"/>
      </rPr>
      <t>日盛台灣多重資產基金</t>
    </r>
  </si>
  <si>
    <r>
      <t xml:space="preserve"> </t>
    </r>
    <r>
      <rPr>
        <sz val="12"/>
        <color theme="1"/>
        <rFont val="標楷體"/>
        <family val="4"/>
        <charset val="136"/>
      </rPr>
      <t>柏瑞巨人</t>
    </r>
    <r>
      <rPr>
        <sz val="12"/>
        <color theme="1"/>
        <rFont val="Times New Roman"/>
        <family val="1"/>
      </rPr>
      <t xml:space="preserve"> A</t>
    </r>
  </si>
  <si>
    <r>
      <t xml:space="preserve"> </t>
    </r>
    <r>
      <rPr>
        <sz val="12"/>
        <color theme="1"/>
        <rFont val="標楷體"/>
        <family val="4"/>
        <charset val="136"/>
      </rPr>
      <t>復華基金</t>
    </r>
  </si>
  <si>
    <r>
      <t xml:space="preserve"> FH</t>
    </r>
    <r>
      <rPr>
        <sz val="12"/>
        <color theme="1"/>
        <rFont val="標楷體"/>
        <family val="4"/>
        <charset val="136"/>
      </rPr>
      <t>高成</t>
    </r>
  </si>
  <si>
    <r>
      <t xml:space="preserve"> </t>
    </r>
    <r>
      <rPr>
        <sz val="12"/>
        <color theme="1"/>
        <rFont val="標楷體"/>
        <family val="4"/>
        <charset val="136"/>
      </rPr>
      <t>復華傳家</t>
    </r>
  </si>
  <si>
    <r>
      <t xml:space="preserve"> FH</t>
    </r>
    <r>
      <rPr>
        <sz val="12"/>
        <color theme="1"/>
        <rFont val="標楷體"/>
        <family val="4"/>
        <charset val="136"/>
      </rPr>
      <t>數位</t>
    </r>
  </si>
  <si>
    <r>
      <t xml:space="preserve"> </t>
    </r>
    <r>
      <rPr>
        <sz val="12"/>
        <color theme="1"/>
        <rFont val="標楷體"/>
        <family val="4"/>
        <charset val="136"/>
      </rPr>
      <t>復華傳家二號</t>
    </r>
  </si>
  <si>
    <r>
      <t xml:space="preserve"> FH</t>
    </r>
    <r>
      <rPr>
        <sz val="12"/>
        <color theme="1"/>
        <rFont val="標楷體"/>
        <family val="4"/>
        <charset val="136"/>
      </rPr>
      <t>中小</t>
    </r>
  </si>
  <si>
    <r>
      <t xml:space="preserve"> </t>
    </r>
    <r>
      <rPr>
        <sz val="12"/>
        <color theme="1"/>
        <rFont val="標楷體"/>
        <family val="4"/>
        <charset val="136"/>
      </rPr>
      <t>復華人生目標</t>
    </r>
  </si>
  <si>
    <r>
      <t xml:space="preserve"> </t>
    </r>
    <r>
      <rPr>
        <sz val="12"/>
        <color theme="1"/>
        <rFont val="標楷體"/>
        <family val="4"/>
        <charset val="136"/>
      </rPr>
      <t>復華神盾</t>
    </r>
  </si>
  <si>
    <r>
      <t xml:space="preserve"> </t>
    </r>
    <r>
      <rPr>
        <sz val="12"/>
        <color theme="1"/>
        <rFont val="標楷體"/>
        <family val="4"/>
        <charset val="136"/>
      </rPr>
      <t>復華全方位</t>
    </r>
  </si>
  <si>
    <r>
      <t xml:space="preserve"> </t>
    </r>
    <r>
      <rPr>
        <sz val="12"/>
        <color theme="1"/>
        <rFont val="標楷體"/>
        <family val="4"/>
        <charset val="136"/>
      </rPr>
      <t>復華台灣智能基金</t>
    </r>
  </si>
  <si>
    <r>
      <t xml:space="preserve"> </t>
    </r>
    <r>
      <rPr>
        <sz val="12"/>
        <color theme="1"/>
        <rFont val="標楷體"/>
        <family val="4"/>
        <charset val="136"/>
      </rPr>
      <t>復華台灣好收益</t>
    </r>
    <r>
      <rPr>
        <sz val="12"/>
        <color theme="1"/>
        <rFont val="Times New Roman"/>
        <family val="1"/>
      </rPr>
      <t>Bd</t>
    </r>
  </si>
  <si>
    <r>
      <t xml:space="preserve"> </t>
    </r>
    <r>
      <rPr>
        <sz val="12"/>
        <color theme="1"/>
        <rFont val="標楷體"/>
        <family val="4"/>
        <charset val="136"/>
      </rPr>
      <t>永豐永豐</t>
    </r>
    <r>
      <rPr>
        <sz val="12"/>
        <color theme="1"/>
        <rFont val="Times New Roman"/>
        <family val="1"/>
      </rPr>
      <t>Ia</t>
    </r>
  </si>
  <si>
    <r>
      <t xml:space="preserve"> </t>
    </r>
    <r>
      <rPr>
        <sz val="12"/>
        <color theme="1"/>
        <rFont val="標楷體"/>
        <family val="4"/>
        <charset val="136"/>
      </rPr>
      <t>永豐永豐</t>
    </r>
    <r>
      <rPr>
        <sz val="12"/>
        <color theme="1"/>
        <rFont val="Times New Roman"/>
        <family val="1"/>
      </rPr>
      <t>Ra</t>
    </r>
  </si>
  <si>
    <r>
      <t xml:space="preserve"> </t>
    </r>
    <r>
      <rPr>
        <sz val="12"/>
        <color theme="1"/>
        <rFont val="標楷體"/>
        <family val="4"/>
        <charset val="136"/>
      </rPr>
      <t>永豐永豐</t>
    </r>
    <r>
      <rPr>
        <sz val="12"/>
        <color theme="1"/>
        <rFont val="Times New Roman"/>
        <family val="1"/>
      </rPr>
      <t>Aa</t>
    </r>
  </si>
  <si>
    <r>
      <t xml:space="preserve"> </t>
    </r>
    <r>
      <rPr>
        <sz val="12"/>
        <color theme="1"/>
        <rFont val="標楷體"/>
        <family val="4"/>
        <charset val="136"/>
      </rPr>
      <t>永豐中小</t>
    </r>
    <r>
      <rPr>
        <sz val="12"/>
        <color theme="1"/>
        <rFont val="Times New Roman"/>
        <family val="1"/>
      </rPr>
      <t>Ia</t>
    </r>
  </si>
  <si>
    <r>
      <t xml:space="preserve"> </t>
    </r>
    <r>
      <rPr>
        <sz val="12"/>
        <color theme="1"/>
        <rFont val="標楷體"/>
        <family val="4"/>
        <charset val="136"/>
      </rPr>
      <t>永豐中小</t>
    </r>
    <r>
      <rPr>
        <sz val="12"/>
        <color theme="1"/>
        <rFont val="Times New Roman"/>
        <family val="1"/>
      </rPr>
      <t>Aa</t>
    </r>
  </si>
  <si>
    <r>
      <t xml:space="preserve"> </t>
    </r>
    <r>
      <rPr>
        <sz val="12"/>
        <color theme="1"/>
        <rFont val="標楷體"/>
        <family val="4"/>
        <charset val="136"/>
      </rPr>
      <t>永豐趨勢平衡</t>
    </r>
  </si>
  <si>
    <r>
      <t xml:space="preserve"> </t>
    </r>
    <r>
      <rPr>
        <sz val="12"/>
        <color theme="1"/>
        <rFont val="標楷體"/>
        <family val="4"/>
        <charset val="136"/>
      </rPr>
      <t>永豐領航科技</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</si>
  <si>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Aa</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</si>
  <si>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Ad</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</si>
  <si>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Ia</t>
    </r>
  </si>
  <si>
    <r>
      <t xml:space="preserve"> </t>
    </r>
    <r>
      <rPr>
        <sz val="12"/>
        <color theme="1"/>
        <rFont val="標楷體"/>
        <family val="4"/>
        <charset val="136"/>
      </rPr>
      <t>中信台灣活力</t>
    </r>
    <r>
      <rPr>
        <sz val="12"/>
        <color theme="1"/>
        <rFont val="Times New Roman"/>
        <family val="1"/>
      </rPr>
      <t>A</t>
    </r>
  </si>
  <si>
    <r>
      <t xml:space="preserve"> </t>
    </r>
    <r>
      <rPr>
        <sz val="12"/>
        <color theme="1"/>
        <rFont val="標楷體"/>
        <family val="4"/>
        <charset val="136"/>
      </rPr>
      <t>宏利臺灣股息</t>
    </r>
    <r>
      <rPr>
        <sz val="12"/>
        <color theme="1"/>
        <rFont val="Times New Roman"/>
        <family val="1"/>
      </rPr>
      <t>Aa</t>
    </r>
  </si>
  <si>
    <r>
      <t xml:space="preserve"> </t>
    </r>
    <r>
      <rPr>
        <sz val="12"/>
        <color theme="1"/>
        <rFont val="標楷體"/>
        <family val="4"/>
        <charset val="136"/>
      </rPr>
      <t>宏利台灣動力</t>
    </r>
    <r>
      <rPr>
        <sz val="12"/>
        <color theme="1"/>
        <rFont val="Times New Roman"/>
        <family val="1"/>
      </rPr>
      <t>Ia</t>
    </r>
  </si>
  <si>
    <r>
      <t xml:space="preserve"> </t>
    </r>
    <r>
      <rPr>
        <sz val="12"/>
        <color theme="1"/>
        <rFont val="標楷體"/>
        <family val="4"/>
        <charset val="136"/>
      </rPr>
      <t>宏利台灣動力</t>
    </r>
    <r>
      <rPr>
        <sz val="12"/>
        <color theme="1"/>
        <rFont val="Times New Roman"/>
        <family val="1"/>
      </rPr>
      <t>Aa</t>
    </r>
  </si>
  <si>
    <r>
      <t xml:space="preserve"> </t>
    </r>
    <r>
      <rPr>
        <sz val="12"/>
        <color theme="1"/>
        <rFont val="標楷體"/>
        <family val="4"/>
        <charset val="136"/>
      </rPr>
      <t>貝萊德寶利基金</t>
    </r>
  </si>
  <si>
    <r>
      <t xml:space="preserve"> </t>
    </r>
    <r>
      <rPr>
        <sz val="12"/>
        <color theme="1"/>
        <rFont val="標楷體"/>
        <family val="4"/>
        <charset val="136"/>
      </rPr>
      <t>野村優質</t>
    </r>
    <r>
      <rPr>
        <sz val="12"/>
        <color theme="1"/>
        <rFont val="Times New Roman"/>
        <family val="1"/>
      </rPr>
      <t>S</t>
    </r>
  </si>
  <si>
    <r>
      <t xml:space="preserve"> </t>
    </r>
    <r>
      <rPr>
        <sz val="12"/>
        <color theme="1"/>
        <rFont val="標楷體"/>
        <family val="4"/>
        <charset val="136"/>
      </rPr>
      <t>野村優質</t>
    </r>
  </si>
  <si>
    <r>
      <t xml:space="preserve"> </t>
    </r>
    <r>
      <rPr>
        <sz val="12"/>
        <color theme="1"/>
        <rFont val="標楷體"/>
        <family val="4"/>
        <charset val="136"/>
      </rPr>
      <t>野村成長</t>
    </r>
  </si>
  <si>
    <r>
      <t xml:space="preserve"> </t>
    </r>
    <r>
      <rPr>
        <sz val="12"/>
        <color theme="1"/>
        <rFont val="標楷體"/>
        <family val="4"/>
        <charset val="136"/>
      </rPr>
      <t>野村平衡</t>
    </r>
  </si>
  <si>
    <r>
      <t xml:space="preserve"> </t>
    </r>
    <r>
      <rPr>
        <sz val="12"/>
        <color theme="1"/>
        <rFont val="標楷體"/>
        <family val="4"/>
        <charset val="136"/>
      </rPr>
      <t>野村</t>
    </r>
    <r>
      <rPr>
        <sz val="12"/>
        <color theme="1"/>
        <rFont val="Times New Roman"/>
        <family val="1"/>
      </rPr>
      <t xml:space="preserve">e </t>
    </r>
    <r>
      <rPr>
        <sz val="12"/>
        <color theme="1"/>
        <rFont val="標楷體"/>
        <family val="4"/>
        <charset val="136"/>
      </rPr>
      <t>科技</t>
    </r>
  </si>
  <si>
    <r>
      <t xml:space="preserve"> </t>
    </r>
    <r>
      <rPr>
        <sz val="12"/>
        <color theme="1"/>
        <rFont val="標楷體"/>
        <family val="4"/>
        <charset val="136"/>
      </rPr>
      <t>野村中小</t>
    </r>
    <r>
      <rPr>
        <sz val="12"/>
        <color theme="1"/>
        <rFont val="Times New Roman"/>
        <family val="1"/>
      </rPr>
      <t>S</t>
    </r>
  </si>
  <si>
    <r>
      <t xml:space="preserve"> </t>
    </r>
    <r>
      <rPr>
        <sz val="12"/>
        <color theme="1"/>
        <rFont val="標楷體"/>
        <family val="4"/>
        <charset val="136"/>
      </rPr>
      <t>野村中小</t>
    </r>
  </si>
  <si>
    <r>
      <t xml:space="preserve"> </t>
    </r>
    <r>
      <rPr>
        <sz val="12"/>
        <color theme="1"/>
        <rFont val="標楷體"/>
        <family val="4"/>
        <charset val="136"/>
      </rPr>
      <t>野村台灣運籌</t>
    </r>
  </si>
  <si>
    <r>
      <t xml:space="preserve"> </t>
    </r>
    <r>
      <rPr>
        <sz val="12"/>
        <color theme="1"/>
        <rFont val="標楷體"/>
        <family val="4"/>
        <charset val="136"/>
      </rPr>
      <t>野村鴻運</t>
    </r>
  </si>
  <si>
    <r>
      <t xml:space="preserve"> </t>
    </r>
    <r>
      <rPr>
        <sz val="12"/>
        <color theme="1"/>
        <rFont val="標楷體"/>
        <family val="4"/>
        <charset val="136"/>
      </rPr>
      <t>野村鴻利</t>
    </r>
  </si>
  <si>
    <r>
      <t xml:space="preserve"> </t>
    </r>
    <r>
      <rPr>
        <sz val="12"/>
        <color theme="1"/>
        <rFont val="標楷體"/>
        <family val="4"/>
        <charset val="136"/>
      </rPr>
      <t>野村積極成長</t>
    </r>
  </si>
  <si>
    <r>
      <t xml:space="preserve"> </t>
    </r>
    <r>
      <rPr>
        <sz val="12"/>
        <color theme="1"/>
        <rFont val="標楷體"/>
        <family val="4"/>
        <charset val="136"/>
      </rPr>
      <t>野村高科技</t>
    </r>
  </si>
  <si>
    <r>
      <t xml:space="preserve"> </t>
    </r>
    <r>
      <rPr>
        <sz val="12"/>
        <color theme="1"/>
        <rFont val="標楷體"/>
        <family val="4"/>
        <charset val="136"/>
      </rPr>
      <t>野村台灣高股</t>
    </r>
  </si>
  <si>
    <r>
      <t xml:space="preserve"> </t>
    </r>
    <r>
      <rPr>
        <sz val="12"/>
        <color theme="1"/>
        <rFont val="標楷體"/>
        <family val="4"/>
        <charset val="136"/>
      </rPr>
      <t>聯邦精選科技</t>
    </r>
  </si>
  <si>
    <r>
      <t xml:space="preserve"> </t>
    </r>
    <r>
      <rPr>
        <sz val="12"/>
        <color theme="1"/>
        <rFont val="標楷體"/>
        <family val="4"/>
        <charset val="136"/>
      </rPr>
      <t>聯邦中國龍</t>
    </r>
  </si>
  <si>
    <r>
      <t xml:space="preserve"> </t>
    </r>
    <r>
      <rPr>
        <sz val="12"/>
        <color theme="1"/>
        <rFont val="標楷體"/>
        <family val="4"/>
        <charset val="136"/>
      </rPr>
      <t>聯邦金鑽平衡</t>
    </r>
  </si>
  <si>
    <r>
      <t xml:space="preserve"> </t>
    </r>
    <r>
      <rPr>
        <sz val="12"/>
        <color theme="1"/>
        <rFont val="標楷體"/>
        <family val="4"/>
        <charset val="136"/>
      </rPr>
      <t>聯邦臺灣精選收益多重</t>
    </r>
  </si>
  <si>
    <r>
      <t xml:space="preserve"> </t>
    </r>
    <r>
      <rPr>
        <sz val="12"/>
        <color theme="1"/>
        <rFont val="標楷體"/>
        <family val="4"/>
        <charset val="136"/>
      </rPr>
      <t>安聯台灣大壩</t>
    </r>
    <r>
      <rPr>
        <sz val="12"/>
        <color theme="1"/>
        <rFont val="Times New Roman"/>
        <family val="1"/>
      </rPr>
      <t>Ga</t>
    </r>
  </si>
  <si>
    <r>
      <t xml:space="preserve"> </t>
    </r>
    <r>
      <rPr>
        <sz val="12"/>
        <color theme="1"/>
        <rFont val="標楷體"/>
        <family val="4"/>
        <charset val="136"/>
      </rPr>
      <t>安聯台灣大壩</t>
    </r>
    <r>
      <rPr>
        <sz val="12"/>
        <color theme="1"/>
        <rFont val="Times New Roman"/>
        <family val="1"/>
      </rPr>
      <t>Aa</t>
    </r>
  </si>
  <si>
    <r>
      <t xml:space="preserve"> </t>
    </r>
    <r>
      <rPr>
        <sz val="12"/>
        <color theme="1"/>
        <rFont val="標楷體"/>
        <family val="4"/>
        <charset val="136"/>
      </rPr>
      <t>安聯台灣科技</t>
    </r>
  </si>
  <si>
    <r>
      <t xml:space="preserve"> </t>
    </r>
    <r>
      <rPr>
        <sz val="12"/>
        <color theme="1"/>
        <rFont val="標楷體"/>
        <family val="4"/>
        <charset val="136"/>
      </rPr>
      <t>安聯台灣智慧</t>
    </r>
  </si>
  <si>
    <r>
      <t xml:space="preserve"> </t>
    </r>
    <r>
      <rPr>
        <sz val="12"/>
        <color theme="1"/>
        <rFont val="標楷體"/>
        <family val="4"/>
        <charset val="136"/>
      </rPr>
      <t>國泰國泰</t>
    </r>
    <r>
      <rPr>
        <sz val="12"/>
        <color theme="1"/>
        <rFont val="Times New Roman"/>
        <family val="1"/>
      </rPr>
      <t>I</t>
    </r>
  </si>
  <si>
    <r>
      <t xml:space="preserve"> </t>
    </r>
    <r>
      <rPr>
        <sz val="12"/>
        <color theme="1"/>
        <rFont val="標楷體"/>
        <family val="4"/>
        <charset val="136"/>
      </rPr>
      <t>國泰國泰</t>
    </r>
    <r>
      <rPr>
        <sz val="12"/>
        <color theme="1"/>
        <rFont val="Times New Roman"/>
        <family val="1"/>
      </rPr>
      <t>A</t>
    </r>
  </si>
  <si>
    <r>
      <t xml:space="preserve"> </t>
    </r>
    <r>
      <rPr>
        <sz val="12"/>
        <color theme="1"/>
        <rFont val="標楷體"/>
        <family val="4"/>
        <charset val="136"/>
      </rPr>
      <t>國泰中小成長</t>
    </r>
    <r>
      <rPr>
        <sz val="12"/>
        <color theme="1"/>
        <rFont val="Times New Roman"/>
        <family val="1"/>
      </rPr>
      <t>Ia</t>
    </r>
  </si>
  <si>
    <r>
      <t xml:space="preserve"> </t>
    </r>
    <r>
      <rPr>
        <sz val="12"/>
        <color theme="1"/>
        <rFont val="標楷體"/>
        <family val="4"/>
        <charset val="136"/>
      </rPr>
      <t>國泰中小成長</t>
    </r>
  </si>
  <si>
    <r>
      <t xml:space="preserve"> </t>
    </r>
    <r>
      <rPr>
        <sz val="12"/>
        <color theme="1"/>
        <rFont val="標楷體"/>
        <family val="4"/>
        <charset val="136"/>
      </rPr>
      <t>國泰大中華</t>
    </r>
  </si>
  <si>
    <r>
      <t xml:space="preserve"> </t>
    </r>
    <r>
      <rPr>
        <sz val="12"/>
        <color theme="1"/>
        <rFont val="標楷體"/>
        <family val="4"/>
        <charset val="136"/>
      </rPr>
      <t>國泰科技生化</t>
    </r>
  </si>
  <si>
    <r>
      <t xml:space="preserve"> </t>
    </r>
    <r>
      <rPr>
        <sz val="12"/>
        <color theme="1"/>
        <rFont val="標楷體"/>
        <family val="4"/>
        <charset val="136"/>
      </rPr>
      <t>國泰小龍</t>
    </r>
    <r>
      <rPr>
        <sz val="12"/>
        <color theme="1"/>
        <rFont val="Times New Roman"/>
        <family val="1"/>
      </rPr>
      <t>Ra</t>
    </r>
  </si>
  <si>
    <r>
      <t xml:space="preserve"> </t>
    </r>
    <r>
      <rPr>
        <sz val="12"/>
        <color theme="1"/>
        <rFont val="標楷體"/>
        <family val="4"/>
        <charset val="136"/>
      </rPr>
      <t>國泰小龍</t>
    </r>
    <r>
      <rPr>
        <sz val="12"/>
        <color theme="1"/>
        <rFont val="Times New Roman"/>
        <family val="1"/>
      </rPr>
      <t>Ia</t>
    </r>
  </si>
  <si>
    <r>
      <t xml:space="preserve"> </t>
    </r>
    <r>
      <rPr>
        <sz val="12"/>
        <color theme="1"/>
        <rFont val="標楷體"/>
        <family val="4"/>
        <charset val="136"/>
      </rPr>
      <t>國泰小龍</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</si>
  <si>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</si>
  <si>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Bd</t>
    </r>
  </si>
  <si>
    <r>
      <t xml:space="preserve"> </t>
    </r>
    <r>
      <rPr>
        <sz val="12"/>
        <color theme="1"/>
        <rFont val="標楷體"/>
        <family val="4"/>
        <charset val="136"/>
      </rPr>
      <t>富達台灣成長</t>
    </r>
  </si>
  <si>
    <r>
      <t xml:space="preserve"> </t>
    </r>
    <r>
      <rPr>
        <sz val="12"/>
        <color theme="1"/>
        <rFont val="標楷體"/>
        <family val="4"/>
        <charset val="136"/>
      </rPr>
      <t>德銀遠東</t>
    </r>
    <r>
      <rPr>
        <sz val="12"/>
        <color theme="1"/>
        <rFont val="Times New Roman"/>
        <family val="1"/>
      </rPr>
      <t xml:space="preserve">DWS </t>
    </r>
    <r>
      <rPr>
        <sz val="12"/>
        <color theme="1"/>
        <rFont val="標楷體"/>
        <family val="4"/>
        <charset val="136"/>
      </rPr>
      <t>台灣</t>
    </r>
  </si>
  <si>
    <r>
      <t xml:space="preserve"> </t>
    </r>
    <r>
      <rPr>
        <sz val="12"/>
        <color theme="1"/>
        <rFont val="標楷體"/>
        <family val="4"/>
        <charset val="136"/>
      </rPr>
      <t>凱基開創</t>
    </r>
  </si>
  <si>
    <r>
      <t xml:space="preserve"> </t>
    </r>
    <r>
      <rPr>
        <sz val="12"/>
        <color theme="1"/>
        <rFont val="標楷體"/>
        <family val="4"/>
        <charset val="136"/>
      </rPr>
      <t>凱基台灣精五門</t>
    </r>
  </si>
  <si>
    <r>
      <t xml:space="preserve"> </t>
    </r>
    <r>
      <rPr>
        <sz val="12"/>
        <color theme="1"/>
        <rFont val="標楷體"/>
        <family val="4"/>
        <charset val="136"/>
      </rPr>
      <t>施羅德台樂活</t>
    </r>
    <r>
      <rPr>
        <sz val="12"/>
        <color theme="1"/>
        <rFont val="Times New Roman"/>
        <family val="1"/>
      </rPr>
      <t>Ia</t>
    </r>
  </si>
  <si>
    <r>
      <t xml:space="preserve"> </t>
    </r>
    <r>
      <rPr>
        <sz val="12"/>
        <color theme="1"/>
        <rFont val="標楷體"/>
        <family val="4"/>
        <charset val="136"/>
      </rPr>
      <t>施羅德台樂活</t>
    </r>
    <r>
      <rPr>
        <sz val="12"/>
        <color theme="1"/>
        <rFont val="Times New Roman"/>
        <family val="1"/>
      </rPr>
      <t>Ca</t>
    </r>
  </si>
  <si>
    <r>
      <t xml:space="preserve"> </t>
    </r>
    <r>
      <rPr>
        <sz val="12"/>
        <color theme="1"/>
        <rFont val="標楷體"/>
        <family val="4"/>
        <charset val="136"/>
      </rPr>
      <t>施羅德台樂活</t>
    </r>
    <r>
      <rPr>
        <sz val="12"/>
        <color theme="1"/>
        <rFont val="Times New Roman"/>
        <family val="1"/>
      </rPr>
      <t>Aa</t>
    </r>
  </si>
  <si>
    <r>
      <t xml:space="preserve"> </t>
    </r>
    <r>
      <rPr>
        <sz val="12"/>
        <color theme="1"/>
        <rFont val="標楷體"/>
        <family val="4"/>
        <charset val="136"/>
      </rPr>
      <t>街口台灣</t>
    </r>
    <r>
      <rPr>
        <sz val="12"/>
        <color theme="1"/>
        <rFont val="Times New Roman"/>
        <family val="1"/>
      </rPr>
      <t>Aa</t>
    </r>
  </si>
  <si>
    <r>
      <t xml:space="preserve"> </t>
    </r>
    <r>
      <rPr>
        <sz val="12"/>
        <color theme="1"/>
        <rFont val="標楷體"/>
        <family val="4"/>
        <charset val="136"/>
      </rPr>
      <t>街口中小型</t>
    </r>
    <r>
      <rPr>
        <sz val="12"/>
        <color theme="1"/>
        <rFont val="Times New Roman"/>
        <family val="1"/>
      </rPr>
      <t>Aa</t>
    </r>
  </si>
  <si>
    <r>
      <t xml:space="preserve"> </t>
    </r>
    <r>
      <rPr>
        <sz val="12"/>
        <color theme="1"/>
        <rFont val="標楷體"/>
        <family val="4"/>
        <charset val="136"/>
      </rPr>
      <t>富蘭克林華美第一</t>
    </r>
  </si>
  <si>
    <r>
      <t xml:space="preserve"> </t>
    </r>
    <r>
      <rPr>
        <sz val="12"/>
        <color theme="1"/>
        <rFont val="標楷體"/>
        <family val="4"/>
        <charset val="136"/>
      </rPr>
      <t>富蘭克林高科技</t>
    </r>
  </si>
  <si>
    <r>
      <t xml:space="preserve"> </t>
    </r>
    <r>
      <rPr>
        <sz val="12"/>
        <color theme="1"/>
        <rFont val="標楷體"/>
        <family val="4"/>
        <charset val="136"/>
      </rPr>
      <t>台新高息平衡</t>
    </r>
    <r>
      <rPr>
        <sz val="12"/>
        <color theme="1"/>
        <rFont val="Times New Roman"/>
        <family val="1"/>
      </rPr>
      <t>Bd</t>
    </r>
  </si>
  <si>
    <r>
      <t xml:space="preserve"> </t>
    </r>
    <r>
      <rPr>
        <sz val="12"/>
        <color theme="1"/>
        <rFont val="標楷體"/>
        <family val="4"/>
        <charset val="136"/>
      </rPr>
      <t>台新高息平衡</t>
    </r>
    <r>
      <rPr>
        <sz val="12"/>
        <color theme="1"/>
        <rFont val="Times New Roman"/>
        <family val="1"/>
      </rPr>
      <t>NAa</t>
    </r>
  </si>
  <si>
    <r>
      <t xml:space="preserve"> </t>
    </r>
    <r>
      <rPr>
        <sz val="12"/>
        <color theme="1"/>
        <rFont val="標楷體"/>
        <family val="4"/>
        <charset val="136"/>
      </rPr>
      <t>台新高息平衡</t>
    </r>
    <r>
      <rPr>
        <sz val="12"/>
        <color theme="1"/>
        <rFont val="Times New Roman"/>
        <family val="1"/>
      </rPr>
      <t>NBd</t>
    </r>
  </si>
  <si>
    <r>
      <t xml:space="preserve"> </t>
    </r>
    <r>
      <rPr>
        <sz val="12"/>
        <color theme="1"/>
        <rFont val="標楷體"/>
        <family val="4"/>
        <charset val="136"/>
      </rPr>
      <t>台新高息平衡</t>
    </r>
    <r>
      <rPr>
        <sz val="12"/>
        <color theme="1"/>
        <rFont val="Times New Roman"/>
        <family val="1"/>
      </rPr>
      <t>Aa</t>
    </r>
  </si>
  <si>
    <r>
      <t xml:space="preserve"> </t>
    </r>
    <r>
      <rPr>
        <sz val="12"/>
        <color theme="1"/>
        <rFont val="標楷體"/>
        <family val="4"/>
        <charset val="136"/>
      </rPr>
      <t>台新主流</t>
    </r>
  </si>
  <si>
    <r>
      <t xml:space="preserve"> </t>
    </r>
    <r>
      <rPr>
        <sz val="12"/>
        <color theme="1"/>
        <rFont val="標楷體"/>
        <family val="4"/>
        <charset val="136"/>
      </rPr>
      <t>台新台灣中小基金</t>
    </r>
  </si>
  <si>
    <r>
      <t xml:space="preserve"> </t>
    </r>
    <r>
      <rPr>
        <sz val="12"/>
        <color theme="1"/>
        <rFont val="標楷體"/>
        <family val="4"/>
        <charset val="136"/>
      </rPr>
      <t>台新中國通</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</si>
  <si>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Ia</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</si>
  <si>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Aa</t>
    </r>
  </si>
  <si>
    <r>
      <t xml:space="preserve"> </t>
    </r>
    <r>
      <rPr>
        <sz val="12"/>
        <color theme="1"/>
        <rFont val="標楷體"/>
        <family val="4"/>
        <charset val="136"/>
      </rPr>
      <t>合庫台灣基金</t>
    </r>
    <r>
      <rPr>
        <sz val="12"/>
        <color theme="1"/>
        <rFont val="Times New Roman"/>
        <family val="1"/>
      </rPr>
      <t>A TWD</t>
    </r>
  </si>
  <si>
    <r>
      <t xml:space="preserve"> </t>
    </r>
    <r>
      <rPr>
        <sz val="12"/>
        <color theme="1"/>
        <rFont val="標楷體"/>
        <family val="4"/>
        <charset val="136"/>
      </rPr>
      <t>合庫台高科技</t>
    </r>
    <r>
      <rPr>
        <sz val="12"/>
        <color theme="1"/>
        <rFont val="Times New Roman"/>
        <family val="1"/>
      </rPr>
      <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</si>
  <si>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</si>
  <si>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TBd</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</si>
  <si>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</si>
  <si>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NBd</t>
    </r>
  </si>
  <si>
    <r>
      <t xml:space="preserve"> </t>
    </r>
    <r>
      <rPr>
        <sz val="12"/>
        <color theme="1"/>
        <rFont val="標楷體"/>
        <family val="4"/>
        <charset val="136"/>
      </rPr>
      <t>元大台卓</t>
    </r>
    <r>
      <rPr>
        <sz val="12"/>
        <color theme="1"/>
        <rFont val="Times New Roman"/>
        <family val="1"/>
      </rPr>
      <t>50</t>
    </r>
    <r>
      <rPr>
        <sz val="12"/>
        <color theme="1"/>
        <rFont val="標楷體"/>
        <family val="4"/>
        <charset val="136"/>
      </rPr>
      <t>連</t>
    </r>
    <r>
      <rPr>
        <sz val="12"/>
        <color theme="1"/>
        <rFont val="Times New Roman"/>
        <family val="1"/>
      </rPr>
      <t>Bd</t>
    </r>
    <phoneticPr fontId="30" type="noConversion"/>
  </si>
  <si>
    <r>
      <rPr>
        <sz val="12"/>
        <color theme="1"/>
        <rFont val="標楷體"/>
        <family val="4"/>
        <charset val="136"/>
      </rPr>
      <t>鴻華先進</t>
    </r>
    <r>
      <rPr>
        <sz val="12"/>
        <color theme="1"/>
        <rFont val="Times New Roman"/>
        <family val="1"/>
      </rPr>
      <t>-</t>
    </r>
    <r>
      <rPr>
        <sz val="12"/>
        <color theme="1"/>
        <rFont val="標楷體"/>
        <family val="4"/>
        <charset val="136"/>
      </rPr>
      <t>創</t>
    </r>
    <phoneticPr fontId="30" type="noConversion"/>
  </si>
  <si>
    <r>
      <rPr>
        <sz val="12"/>
        <color theme="1"/>
        <rFont val="標楷體"/>
        <family val="4"/>
        <charset val="136"/>
      </rPr>
      <t>台灣虎航</t>
    </r>
    <r>
      <rPr>
        <sz val="12"/>
        <color theme="1"/>
        <rFont val="Times New Roman"/>
        <family val="1"/>
      </rPr>
      <t>-</t>
    </r>
    <r>
      <rPr>
        <sz val="12"/>
        <color theme="1"/>
        <rFont val="標楷體"/>
        <family val="4"/>
        <charset val="136"/>
      </rPr>
      <t>創</t>
    </r>
    <phoneticPr fontId="30" type="noConversion"/>
  </si>
  <si>
    <r>
      <rPr>
        <sz val="12"/>
        <color theme="1"/>
        <rFont val="標楷體"/>
        <family val="4"/>
        <charset val="136"/>
      </rPr>
      <t>錼創科技</t>
    </r>
    <r>
      <rPr>
        <sz val="12"/>
        <color theme="1"/>
        <rFont val="Times New Roman"/>
        <family val="1"/>
      </rPr>
      <t>-KY</t>
    </r>
    <r>
      <rPr>
        <sz val="12"/>
        <color theme="1"/>
        <rFont val="標楷體"/>
        <family val="4"/>
        <charset val="136"/>
      </rPr>
      <t>創</t>
    </r>
    <phoneticPr fontId="30" type="noConversion"/>
  </si>
  <si>
    <r>
      <rPr>
        <sz val="12"/>
        <color theme="1"/>
        <rFont val="標楷體"/>
        <family val="4"/>
        <charset val="136"/>
      </rPr>
      <t>雲豹能源</t>
    </r>
    <r>
      <rPr>
        <sz val="12"/>
        <color theme="1"/>
        <rFont val="Times New Roman"/>
        <family val="1"/>
      </rPr>
      <t>-</t>
    </r>
    <r>
      <rPr>
        <sz val="12"/>
        <color theme="1"/>
        <rFont val="標楷體"/>
        <family val="4"/>
        <charset val="136"/>
      </rPr>
      <t>創</t>
    </r>
    <phoneticPr fontId="30" type="noConversion"/>
  </si>
  <si>
    <r>
      <rPr>
        <sz val="12"/>
        <color theme="1"/>
        <rFont val="標楷體"/>
        <family val="4"/>
        <charset val="136"/>
      </rPr>
      <t>泓德能源</t>
    </r>
    <r>
      <rPr>
        <sz val="12"/>
        <color theme="1"/>
        <rFont val="Times New Roman"/>
        <family val="1"/>
      </rPr>
      <t>-</t>
    </r>
    <r>
      <rPr>
        <sz val="12"/>
        <color theme="1"/>
        <rFont val="標楷體"/>
        <family val="4"/>
        <charset val="136"/>
      </rPr>
      <t>創</t>
    </r>
    <phoneticPr fontId="30" type="noConversion"/>
  </si>
  <si>
    <r>
      <rPr>
        <sz val="12"/>
        <color theme="1"/>
        <rFont val="標楷體"/>
        <family val="4"/>
        <charset val="136"/>
      </rPr>
      <t>係指投資國內私募股權基金如屬於</t>
    </r>
    <r>
      <rPr>
        <sz val="12"/>
        <color theme="1"/>
        <rFont val="Times New Roman"/>
        <family val="1"/>
      </rPr>
      <t>111.1.28</t>
    </r>
    <r>
      <rPr>
        <sz val="12"/>
        <color theme="1"/>
        <rFont val="標楷體"/>
        <family val="4"/>
        <charset val="136"/>
      </rPr>
      <t>金管保財字第</t>
    </r>
    <r>
      <rPr>
        <sz val="12"/>
        <color theme="1"/>
        <rFont val="Times New Roman"/>
        <family val="1"/>
      </rPr>
      <t>11104902763</t>
    </r>
    <r>
      <rPr>
        <sz val="12"/>
        <color theme="1"/>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color theme="1"/>
        <rFont val="Times New Roman"/>
        <family val="1"/>
      </rPr>
      <t>50%(</t>
    </r>
    <r>
      <rPr>
        <sz val="12"/>
        <color theme="1"/>
        <rFont val="標楷體"/>
        <family val="4"/>
        <charset val="136"/>
      </rPr>
      <t>包含</t>
    </r>
    <r>
      <rPr>
        <sz val="12"/>
        <color theme="1"/>
        <rFont val="Times New Roman"/>
        <family val="1"/>
      </rPr>
      <t>)</t>
    </r>
    <r>
      <rPr>
        <sz val="12"/>
        <color theme="1"/>
        <rFont val="標楷體"/>
        <family val="4"/>
        <charset val="136"/>
      </rPr>
      <t>以上者屬之。</t>
    </r>
    <phoneticPr fontId="30"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</si>
  <si>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112/1/1~112/12/31)</t>
    </r>
    <phoneticPr fontId="30" type="noConversion"/>
  </si>
  <si>
    <r>
      <t xml:space="preserve"> </t>
    </r>
    <r>
      <rPr>
        <sz val="12"/>
        <color theme="1"/>
        <rFont val="標楷體"/>
        <family val="4"/>
        <charset val="136"/>
      </rPr>
      <t>元大富櫃</t>
    </r>
    <r>
      <rPr>
        <sz val="12"/>
        <color theme="1"/>
        <rFont val="Times New Roman"/>
        <family val="1"/>
      </rPr>
      <t>50</t>
    </r>
  </si>
  <si>
    <r>
      <rPr>
        <sz val="12"/>
        <color theme="1"/>
        <rFont val="標楷體"/>
        <family val="4"/>
        <charset val="136"/>
      </rPr>
      <t>永豐台灣</t>
    </r>
    <r>
      <rPr>
        <sz val="12"/>
        <color theme="1"/>
        <rFont val="Times New Roman"/>
        <family val="1"/>
      </rPr>
      <t>ESG</t>
    </r>
  </si>
  <si>
    <r>
      <rPr>
        <sz val="12"/>
        <color theme="1"/>
        <rFont val="標楷體"/>
        <family val="4"/>
        <charset val="136"/>
      </rPr>
      <t>中信上櫃</t>
    </r>
    <r>
      <rPr>
        <sz val="12"/>
        <color theme="1"/>
        <rFont val="Times New Roman"/>
        <family val="1"/>
      </rPr>
      <t>ESG 30</t>
    </r>
  </si>
  <si>
    <r>
      <t xml:space="preserve"> </t>
    </r>
    <r>
      <rPr>
        <sz val="12"/>
        <color theme="1"/>
        <rFont val="標楷體"/>
        <family val="4"/>
        <charset val="136"/>
      </rPr>
      <t>茂生農經</t>
    </r>
  </si>
  <si>
    <r>
      <t xml:space="preserve"> </t>
    </r>
    <r>
      <rPr>
        <sz val="12"/>
        <color theme="1"/>
        <rFont val="標楷體"/>
        <family val="4"/>
        <charset val="136"/>
      </rPr>
      <t>安心</t>
    </r>
  </si>
  <si>
    <r>
      <t xml:space="preserve"> </t>
    </r>
    <r>
      <rPr>
        <sz val="12"/>
        <color theme="1"/>
        <rFont val="標楷體"/>
        <family val="4"/>
        <charset val="136"/>
      </rPr>
      <t>德麥</t>
    </r>
  </si>
  <si>
    <r>
      <t xml:space="preserve"> </t>
    </r>
    <r>
      <rPr>
        <sz val="12"/>
        <color theme="1"/>
        <rFont val="標楷體"/>
        <family val="4"/>
        <charset val="136"/>
      </rPr>
      <t>漢來美食</t>
    </r>
  </si>
  <si>
    <r>
      <t xml:space="preserve"> </t>
    </r>
    <r>
      <rPr>
        <sz val="12"/>
        <color theme="1"/>
        <rFont val="標楷體"/>
        <family val="4"/>
        <charset val="136"/>
      </rPr>
      <t>台翰</t>
    </r>
  </si>
  <si>
    <r>
      <t xml:space="preserve"> </t>
    </r>
    <r>
      <rPr>
        <sz val="12"/>
        <color theme="1"/>
        <rFont val="標楷體"/>
        <family val="4"/>
        <charset val="136"/>
      </rPr>
      <t>精華</t>
    </r>
  </si>
  <si>
    <r>
      <t xml:space="preserve"> </t>
    </r>
    <r>
      <rPr>
        <sz val="12"/>
        <color theme="1"/>
        <rFont val="標楷體"/>
        <family val="4"/>
        <charset val="136"/>
      </rPr>
      <t>濱川</t>
    </r>
  </si>
  <si>
    <r>
      <t xml:space="preserve"> </t>
    </r>
    <r>
      <rPr>
        <sz val="12"/>
        <color theme="1"/>
        <rFont val="標楷體"/>
        <family val="4"/>
        <charset val="136"/>
      </rPr>
      <t>力肯</t>
    </r>
  </si>
  <si>
    <r>
      <t xml:space="preserve"> </t>
    </r>
    <r>
      <rPr>
        <sz val="12"/>
        <color theme="1"/>
        <rFont val="標楷體"/>
        <family val="4"/>
        <charset val="136"/>
      </rPr>
      <t>新麥</t>
    </r>
  </si>
  <si>
    <r>
      <t xml:space="preserve"> </t>
    </r>
    <r>
      <rPr>
        <sz val="12"/>
        <color theme="1"/>
        <rFont val="標楷體"/>
        <family val="4"/>
        <charset val="136"/>
      </rPr>
      <t>精剛</t>
    </r>
  </si>
  <si>
    <r>
      <t xml:space="preserve"> </t>
    </r>
    <r>
      <rPr>
        <sz val="12"/>
        <color theme="1"/>
        <rFont val="標楷體"/>
        <family val="4"/>
        <charset val="136"/>
      </rPr>
      <t>和勤</t>
    </r>
  </si>
  <si>
    <r>
      <t xml:space="preserve"> </t>
    </r>
    <r>
      <rPr>
        <sz val="12"/>
        <color theme="1"/>
        <rFont val="標楷體"/>
        <family val="4"/>
        <charset val="136"/>
      </rPr>
      <t>駿吉</t>
    </r>
    <r>
      <rPr>
        <sz val="12"/>
        <color theme="1"/>
        <rFont val="Times New Roman"/>
        <family val="1"/>
      </rPr>
      <t>-KY</t>
    </r>
  </si>
  <si>
    <r>
      <t xml:space="preserve"> </t>
    </r>
    <r>
      <rPr>
        <sz val="12"/>
        <color theme="1"/>
        <rFont val="標楷體"/>
        <family val="4"/>
        <charset val="136"/>
      </rPr>
      <t>祺驊</t>
    </r>
  </si>
  <si>
    <r>
      <t xml:space="preserve"> </t>
    </r>
    <r>
      <rPr>
        <sz val="12"/>
        <color theme="1"/>
        <rFont val="標楷體"/>
        <family val="4"/>
        <charset val="136"/>
      </rPr>
      <t>川寶</t>
    </r>
  </si>
  <si>
    <r>
      <t xml:space="preserve"> </t>
    </r>
    <r>
      <rPr>
        <sz val="12"/>
        <color theme="1"/>
        <rFont val="標楷體"/>
        <family val="4"/>
        <charset val="136"/>
      </rPr>
      <t>宏佳騰</t>
    </r>
  </si>
  <si>
    <r>
      <t xml:space="preserve"> </t>
    </r>
    <r>
      <rPr>
        <sz val="12"/>
        <color theme="1"/>
        <rFont val="標楷體"/>
        <family val="4"/>
        <charset val="136"/>
      </rPr>
      <t>台蠟</t>
    </r>
  </si>
  <si>
    <r>
      <t xml:space="preserve"> </t>
    </r>
    <r>
      <rPr>
        <sz val="12"/>
        <color theme="1"/>
        <rFont val="標楷體"/>
        <family val="4"/>
        <charset val="136"/>
      </rPr>
      <t>生泰</t>
    </r>
  </si>
  <si>
    <r>
      <t xml:space="preserve"> </t>
    </r>
    <r>
      <rPr>
        <sz val="12"/>
        <color theme="1"/>
        <rFont val="標楷體"/>
        <family val="4"/>
        <charset val="136"/>
      </rPr>
      <t>合世</t>
    </r>
  </si>
  <si>
    <r>
      <t xml:space="preserve"> </t>
    </r>
    <r>
      <rPr>
        <sz val="12"/>
        <color theme="1"/>
        <rFont val="標楷體"/>
        <family val="4"/>
        <charset val="136"/>
      </rPr>
      <t>訊聯</t>
    </r>
  </si>
  <si>
    <r>
      <t xml:space="preserve"> </t>
    </r>
    <r>
      <rPr>
        <sz val="12"/>
        <color theme="1"/>
        <rFont val="標楷體"/>
        <family val="4"/>
        <charset val="136"/>
      </rPr>
      <t>光洋科</t>
    </r>
  </si>
  <si>
    <r>
      <t xml:space="preserve"> </t>
    </r>
    <r>
      <rPr>
        <sz val="12"/>
        <color theme="1"/>
        <rFont val="標楷體"/>
        <family val="4"/>
        <charset val="136"/>
      </rPr>
      <t>杏昌</t>
    </r>
  </si>
  <si>
    <r>
      <t xml:space="preserve"> </t>
    </r>
    <r>
      <rPr>
        <sz val="12"/>
        <color theme="1"/>
        <rFont val="標楷體"/>
        <family val="4"/>
        <charset val="136"/>
      </rPr>
      <t>金穎生技</t>
    </r>
  </si>
  <si>
    <r>
      <t xml:space="preserve"> </t>
    </r>
    <r>
      <rPr>
        <sz val="12"/>
        <color theme="1"/>
        <rFont val="標楷體"/>
        <family val="4"/>
        <charset val="136"/>
      </rPr>
      <t>易威</t>
    </r>
  </si>
  <si>
    <r>
      <t xml:space="preserve"> </t>
    </r>
    <r>
      <rPr>
        <sz val="12"/>
        <color theme="1"/>
        <rFont val="標楷體"/>
        <family val="4"/>
        <charset val="136"/>
      </rPr>
      <t>寶利徠</t>
    </r>
  </si>
  <si>
    <r>
      <t xml:space="preserve"> </t>
    </r>
    <r>
      <rPr>
        <sz val="12"/>
        <color theme="1"/>
        <rFont val="標楷體"/>
        <family val="4"/>
        <charset val="136"/>
      </rPr>
      <t>富喬</t>
    </r>
  </si>
  <si>
    <r>
      <t xml:space="preserve"> </t>
    </r>
    <r>
      <rPr>
        <sz val="12"/>
        <color theme="1"/>
        <rFont val="標楷體"/>
        <family val="4"/>
        <charset val="136"/>
      </rPr>
      <t>唐榮</t>
    </r>
  </si>
  <si>
    <r>
      <t xml:space="preserve"> </t>
    </r>
    <r>
      <rPr>
        <sz val="12"/>
        <color theme="1"/>
        <rFont val="標楷體"/>
        <family val="4"/>
        <charset val="136"/>
      </rPr>
      <t>風青</t>
    </r>
  </si>
  <si>
    <r>
      <t xml:space="preserve"> </t>
    </r>
    <r>
      <rPr>
        <sz val="12"/>
        <color theme="1"/>
        <rFont val="標楷體"/>
        <family val="4"/>
        <charset val="136"/>
      </rPr>
      <t>世鎧</t>
    </r>
  </si>
  <si>
    <r>
      <t xml:space="preserve"> </t>
    </r>
    <r>
      <rPr>
        <sz val="12"/>
        <color theme="1"/>
        <rFont val="標楷體"/>
        <family val="4"/>
        <charset val="136"/>
      </rPr>
      <t>晉椿</t>
    </r>
  </si>
  <si>
    <r>
      <t xml:space="preserve"> </t>
    </r>
    <r>
      <rPr>
        <sz val="12"/>
        <color theme="1"/>
        <rFont val="標楷體"/>
        <family val="4"/>
        <charset val="136"/>
      </rPr>
      <t>世豐</t>
    </r>
  </si>
  <si>
    <r>
      <t xml:space="preserve"> </t>
    </r>
    <r>
      <rPr>
        <sz val="12"/>
        <color theme="1"/>
        <rFont val="標楷體"/>
        <family val="4"/>
        <charset val="136"/>
      </rPr>
      <t>世德</t>
    </r>
  </si>
  <si>
    <r>
      <t xml:space="preserve"> </t>
    </r>
    <r>
      <rPr>
        <sz val="12"/>
        <color theme="1"/>
        <rFont val="標楷體"/>
        <family val="4"/>
        <charset val="136"/>
      </rPr>
      <t>嘉鋼</t>
    </r>
  </si>
  <si>
    <r>
      <t xml:space="preserve"> </t>
    </r>
    <r>
      <rPr>
        <sz val="12"/>
        <color theme="1"/>
        <rFont val="標楷體"/>
        <family val="4"/>
        <charset val="136"/>
      </rPr>
      <t>精湛</t>
    </r>
  </si>
  <si>
    <r>
      <t xml:space="preserve"> </t>
    </r>
    <r>
      <rPr>
        <sz val="12"/>
        <color theme="1"/>
        <rFont val="標楷體"/>
        <family val="4"/>
        <charset val="136"/>
      </rPr>
      <t>雄順</t>
    </r>
  </si>
  <si>
    <r>
      <rPr>
        <sz val="12"/>
        <color theme="1"/>
        <rFont val="標楷體"/>
        <family val="4"/>
        <charset val="136"/>
      </rPr>
      <t>上櫃未滿一年。</t>
    </r>
  </si>
  <si>
    <r>
      <t xml:space="preserve"> </t>
    </r>
    <r>
      <rPr>
        <sz val="12"/>
        <color theme="1"/>
        <rFont val="標楷體"/>
        <family val="4"/>
        <charset val="136"/>
      </rPr>
      <t>大甲</t>
    </r>
  </si>
  <si>
    <r>
      <t xml:space="preserve"> </t>
    </r>
    <r>
      <rPr>
        <sz val="12"/>
        <color theme="1"/>
        <rFont val="標楷體"/>
        <family val="4"/>
        <charset val="136"/>
      </rPr>
      <t>泰茂</t>
    </r>
  </si>
  <si>
    <r>
      <t xml:space="preserve"> </t>
    </r>
    <r>
      <rPr>
        <sz val="12"/>
        <color theme="1"/>
        <rFont val="標楷體"/>
        <family val="4"/>
        <charset val="136"/>
      </rPr>
      <t>謚源</t>
    </r>
  </si>
  <si>
    <r>
      <t xml:space="preserve"> </t>
    </r>
    <r>
      <rPr>
        <sz val="12"/>
        <color theme="1"/>
        <rFont val="標楷體"/>
        <family val="4"/>
        <charset val="136"/>
      </rPr>
      <t>綠意</t>
    </r>
  </si>
  <si>
    <r>
      <t xml:space="preserve"> </t>
    </r>
    <r>
      <rPr>
        <sz val="12"/>
        <color theme="1"/>
        <rFont val="標楷體"/>
        <family val="4"/>
        <charset val="136"/>
      </rPr>
      <t>大車隊</t>
    </r>
  </si>
  <si>
    <r>
      <t xml:space="preserve"> </t>
    </r>
    <r>
      <rPr>
        <sz val="12"/>
        <color theme="1"/>
        <rFont val="標楷體"/>
        <family val="4"/>
        <charset val="136"/>
      </rPr>
      <t>正德</t>
    </r>
  </si>
  <si>
    <r>
      <t xml:space="preserve"> </t>
    </r>
    <r>
      <rPr>
        <sz val="12"/>
        <color theme="1"/>
        <rFont val="標楷體"/>
        <family val="4"/>
        <charset val="136"/>
      </rPr>
      <t>捷迅</t>
    </r>
  </si>
  <si>
    <r>
      <t xml:space="preserve"> </t>
    </r>
    <r>
      <rPr>
        <sz val="12"/>
        <color theme="1"/>
        <rFont val="標楷體"/>
        <family val="4"/>
        <charset val="136"/>
      </rPr>
      <t>晶悅</t>
    </r>
  </si>
  <si>
    <r>
      <t xml:space="preserve"> </t>
    </r>
    <r>
      <rPr>
        <sz val="12"/>
        <color theme="1"/>
        <rFont val="標楷體"/>
        <family val="4"/>
        <charset val="136"/>
      </rPr>
      <t>燦星旅</t>
    </r>
  </si>
  <si>
    <r>
      <t xml:space="preserve"> </t>
    </r>
    <r>
      <rPr>
        <sz val="12"/>
        <color theme="1"/>
        <rFont val="標楷體"/>
        <family val="4"/>
        <charset val="136"/>
      </rPr>
      <t>富驛</t>
    </r>
    <r>
      <rPr>
        <sz val="12"/>
        <color theme="1"/>
        <rFont val="Times New Roman"/>
        <family val="1"/>
      </rPr>
      <t>-KY</t>
    </r>
  </si>
  <si>
    <r>
      <t xml:space="preserve"> </t>
    </r>
    <r>
      <rPr>
        <sz val="12"/>
        <color theme="1"/>
        <rFont val="標楷體"/>
        <family val="4"/>
        <charset val="136"/>
      </rPr>
      <t>雅茗</t>
    </r>
    <r>
      <rPr>
        <sz val="12"/>
        <color theme="1"/>
        <rFont val="Times New Roman"/>
        <family val="1"/>
      </rPr>
      <t>-KY</t>
    </r>
  </si>
  <si>
    <r>
      <t xml:space="preserve"> </t>
    </r>
    <r>
      <rPr>
        <sz val="12"/>
        <color theme="1"/>
        <rFont val="標楷體"/>
        <family val="4"/>
        <charset val="136"/>
      </rPr>
      <t>瓦城</t>
    </r>
  </si>
  <si>
    <r>
      <t xml:space="preserve"> </t>
    </r>
    <r>
      <rPr>
        <sz val="12"/>
        <color theme="1"/>
        <rFont val="標楷體"/>
        <family val="4"/>
        <charset val="136"/>
      </rPr>
      <t>六角</t>
    </r>
  </si>
  <si>
    <r>
      <t xml:space="preserve"> </t>
    </r>
    <r>
      <rPr>
        <sz val="12"/>
        <color theme="1"/>
        <rFont val="標楷體"/>
        <family val="4"/>
        <charset val="136"/>
      </rPr>
      <t>易飛網</t>
    </r>
  </si>
  <si>
    <r>
      <t xml:space="preserve"> </t>
    </r>
    <r>
      <rPr>
        <sz val="12"/>
        <color theme="1"/>
        <rFont val="標楷體"/>
        <family val="4"/>
        <charset val="136"/>
      </rPr>
      <t>富野</t>
    </r>
  </si>
  <si>
    <r>
      <t xml:space="preserve"> </t>
    </r>
    <r>
      <rPr>
        <sz val="12"/>
        <color theme="1"/>
        <rFont val="標楷體"/>
        <family val="4"/>
        <charset val="136"/>
      </rPr>
      <t>天蔥</t>
    </r>
  </si>
  <si>
    <r>
      <t xml:space="preserve"> </t>
    </r>
    <r>
      <rPr>
        <sz val="12"/>
        <color theme="1"/>
        <rFont val="標楷體"/>
        <family val="4"/>
        <charset val="136"/>
      </rPr>
      <t>山富</t>
    </r>
  </si>
  <si>
    <r>
      <t xml:space="preserve"> </t>
    </r>
    <r>
      <rPr>
        <sz val="12"/>
        <color theme="1"/>
        <rFont val="標楷體"/>
        <family val="4"/>
        <charset val="136"/>
      </rPr>
      <t>五福</t>
    </r>
  </si>
  <si>
    <r>
      <t xml:space="preserve"> </t>
    </r>
    <r>
      <rPr>
        <sz val="12"/>
        <color theme="1"/>
        <rFont val="標楷體"/>
        <family val="4"/>
        <charset val="136"/>
      </rPr>
      <t>豆府</t>
    </r>
  </si>
  <si>
    <r>
      <t xml:space="preserve"> </t>
    </r>
    <r>
      <rPr>
        <sz val="12"/>
        <color theme="1"/>
        <rFont val="標楷體"/>
        <family val="4"/>
        <charset val="136"/>
      </rPr>
      <t>亞洲藏壽司</t>
    </r>
  </si>
  <si>
    <r>
      <t xml:space="preserve"> </t>
    </r>
    <r>
      <rPr>
        <sz val="12"/>
        <color theme="1"/>
        <rFont val="標楷體"/>
        <family val="4"/>
        <charset val="136"/>
      </rPr>
      <t>揚秦</t>
    </r>
  </si>
  <si>
    <r>
      <t xml:space="preserve"> </t>
    </r>
    <r>
      <rPr>
        <sz val="12"/>
        <color theme="1"/>
        <rFont val="標楷體"/>
        <family val="4"/>
        <charset val="136"/>
      </rPr>
      <t>聯發國際</t>
    </r>
  </si>
  <si>
    <r>
      <t xml:space="preserve"> </t>
    </r>
    <r>
      <rPr>
        <sz val="12"/>
        <color theme="1"/>
        <rFont val="標楷體"/>
        <family val="4"/>
        <charset val="136"/>
      </rPr>
      <t>滿心</t>
    </r>
  </si>
  <si>
    <r>
      <t xml:space="preserve"> </t>
    </r>
    <r>
      <rPr>
        <sz val="12"/>
        <color theme="1"/>
        <rFont val="標楷體"/>
        <family val="4"/>
        <charset val="136"/>
      </rPr>
      <t>宏太</t>
    </r>
    <r>
      <rPr>
        <sz val="12"/>
        <color theme="1"/>
        <rFont val="Times New Roman"/>
        <family val="1"/>
      </rPr>
      <t>-KY</t>
    </r>
  </si>
  <si>
    <r>
      <t xml:space="preserve"> </t>
    </r>
    <r>
      <rPr>
        <sz val="12"/>
        <color theme="1"/>
        <rFont val="標楷體"/>
        <family val="4"/>
        <charset val="136"/>
      </rPr>
      <t>誠品生活</t>
    </r>
  </si>
  <si>
    <r>
      <t xml:space="preserve"> </t>
    </r>
    <r>
      <rPr>
        <sz val="12"/>
        <color theme="1"/>
        <rFont val="標楷體"/>
        <family val="4"/>
        <charset val="136"/>
      </rPr>
      <t>集雅社</t>
    </r>
  </si>
  <si>
    <r>
      <t xml:space="preserve"> </t>
    </r>
    <r>
      <rPr>
        <sz val="12"/>
        <color theme="1"/>
        <rFont val="標楷體"/>
        <family val="4"/>
        <charset val="136"/>
      </rPr>
      <t>振宇五金</t>
    </r>
  </si>
  <si>
    <r>
      <t xml:space="preserve"> </t>
    </r>
    <r>
      <rPr>
        <sz val="12"/>
        <color theme="1"/>
        <rFont val="標楷體"/>
        <family val="4"/>
        <charset val="136"/>
      </rPr>
      <t>寶陞</t>
    </r>
  </si>
  <si>
    <r>
      <t xml:space="preserve"> </t>
    </r>
    <r>
      <rPr>
        <sz val="12"/>
        <color theme="1"/>
        <rFont val="標楷體"/>
        <family val="4"/>
        <charset val="136"/>
      </rPr>
      <t>欣新網</t>
    </r>
  </si>
  <si>
    <r>
      <t xml:space="preserve"> </t>
    </r>
    <r>
      <rPr>
        <sz val="12"/>
        <color theme="1"/>
        <rFont val="標楷體"/>
        <family val="4"/>
        <charset val="136"/>
      </rPr>
      <t>泰偉</t>
    </r>
  </si>
  <si>
    <r>
      <t xml:space="preserve"> </t>
    </r>
    <r>
      <rPr>
        <sz val="12"/>
        <color theme="1"/>
        <rFont val="標楷體"/>
        <family val="4"/>
        <charset val="136"/>
      </rPr>
      <t>李洲</t>
    </r>
  </si>
  <si>
    <r>
      <t xml:space="preserve"> </t>
    </r>
    <r>
      <rPr>
        <sz val="12"/>
        <color theme="1"/>
        <rFont val="標楷體"/>
        <family val="4"/>
        <charset val="136"/>
      </rPr>
      <t>全域</t>
    </r>
  </si>
  <si>
    <r>
      <t xml:space="preserve"> </t>
    </r>
    <r>
      <rPr>
        <sz val="12"/>
        <color theme="1"/>
        <rFont val="標楷體"/>
        <family val="4"/>
        <charset val="136"/>
      </rPr>
      <t>協禧</t>
    </r>
  </si>
  <si>
    <r>
      <t xml:space="preserve"> </t>
    </r>
    <r>
      <rPr>
        <sz val="12"/>
        <color theme="1"/>
        <rFont val="標楷體"/>
        <family val="4"/>
        <charset val="136"/>
      </rPr>
      <t>天方能源</t>
    </r>
  </si>
  <si>
    <r>
      <t xml:space="preserve"> </t>
    </r>
    <r>
      <rPr>
        <sz val="12"/>
        <color theme="1"/>
        <rFont val="標楷體"/>
        <family val="4"/>
        <charset val="136"/>
      </rPr>
      <t>僑威</t>
    </r>
  </si>
  <si>
    <r>
      <t xml:space="preserve"> </t>
    </r>
    <r>
      <rPr>
        <sz val="12"/>
        <color theme="1"/>
        <rFont val="標楷體"/>
        <family val="4"/>
        <charset val="136"/>
      </rPr>
      <t>聯亞</t>
    </r>
  </si>
  <si>
    <r>
      <t xml:space="preserve"> </t>
    </r>
    <r>
      <rPr>
        <sz val="12"/>
        <color theme="1"/>
        <rFont val="標楷體"/>
        <family val="4"/>
        <charset val="136"/>
      </rPr>
      <t>網龍</t>
    </r>
  </si>
  <si>
    <r>
      <t xml:space="preserve"> </t>
    </r>
    <r>
      <rPr>
        <sz val="12"/>
        <color theme="1"/>
        <rFont val="標楷體"/>
        <family val="4"/>
        <charset val="136"/>
      </rPr>
      <t>新零售</t>
    </r>
  </si>
  <si>
    <r>
      <t xml:space="preserve"> </t>
    </r>
    <r>
      <rPr>
        <sz val="12"/>
        <color theme="1"/>
        <rFont val="標楷體"/>
        <family val="4"/>
        <charset val="136"/>
      </rPr>
      <t>華義</t>
    </r>
  </si>
  <si>
    <r>
      <t xml:space="preserve"> </t>
    </r>
    <r>
      <rPr>
        <sz val="12"/>
        <color theme="1"/>
        <rFont val="標楷體"/>
        <family val="4"/>
        <charset val="136"/>
      </rPr>
      <t>艾訊</t>
    </r>
  </si>
  <si>
    <r>
      <t xml:space="preserve"> </t>
    </r>
    <r>
      <rPr>
        <sz val="12"/>
        <color theme="1"/>
        <rFont val="標楷體"/>
        <family val="4"/>
        <charset val="136"/>
      </rPr>
      <t>億杰</t>
    </r>
  </si>
  <si>
    <r>
      <t xml:space="preserve"> </t>
    </r>
    <r>
      <rPr>
        <sz val="12"/>
        <color theme="1"/>
        <rFont val="標楷體"/>
        <family val="4"/>
        <charset val="136"/>
      </rPr>
      <t>港建</t>
    </r>
    <r>
      <rPr>
        <sz val="12"/>
        <color theme="1"/>
        <rFont val="Times New Roman"/>
        <family val="1"/>
      </rPr>
      <t>*</t>
    </r>
  </si>
  <si>
    <r>
      <t xml:space="preserve"> </t>
    </r>
    <r>
      <rPr>
        <sz val="12"/>
        <color theme="1"/>
        <rFont val="標楷體"/>
        <family val="4"/>
        <charset val="136"/>
      </rPr>
      <t>及成</t>
    </r>
  </si>
  <si>
    <r>
      <t xml:space="preserve"> </t>
    </r>
    <r>
      <rPr>
        <sz val="12"/>
        <color theme="1"/>
        <rFont val="標楷體"/>
        <family val="4"/>
        <charset val="136"/>
      </rPr>
      <t>穩懋</t>
    </r>
  </si>
  <si>
    <r>
      <t xml:space="preserve"> </t>
    </r>
    <r>
      <rPr>
        <sz val="12"/>
        <color theme="1"/>
        <rFont val="標楷體"/>
        <family val="4"/>
        <charset val="136"/>
      </rPr>
      <t>好德</t>
    </r>
  </si>
  <si>
    <r>
      <t xml:space="preserve"> </t>
    </r>
    <r>
      <rPr>
        <sz val="12"/>
        <color theme="1"/>
        <rFont val="標楷體"/>
        <family val="4"/>
        <charset val="136"/>
      </rPr>
      <t>富榮綱</t>
    </r>
  </si>
  <si>
    <r>
      <t xml:space="preserve"> </t>
    </r>
    <r>
      <rPr>
        <sz val="12"/>
        <color theme="1"/>
        <rFont val="標楷體"/>
        <family val="4"/>
        <charset val="136"/>
      </rPr>
      <t>進階</t>
    </r>
  </si>
  <si>
    <r>
      <t xml:space="preserve"> </t>
    </r>
    <r>
      <rPr>
        <sz val="12"/>
        <color theme="1"/>
        <rFont val="標楷體"/>
        <family val="4"/>
        <charset val="136"/>
      </rPr>
      <t>笙泉</t>
    </r>
  </si>
  <si>
    <r>
      <t xml:space="preserve"> </t>
    </r>
    <r>
      <rPr>
        <sz val="12"/>
        <color theme="1"/>
        <rFont val="標楷體"/>
        <family val="4"/>
        <charset val="136"/>
      </rPr>
      <t>昇銳</t>
    </r>
  </si>
  <si>
    <r>
      <t xml:space="preserve"> </t>
    </r>
    <r>
      <rPr>
        <sz val="12"/>
        <color theme="1"/>
        <rFont val="標楷體"/>
        <family val="4"/>
        <charset val="136"/>
      </rPr>
      <t>弘塑</t>
    </r>
  </si>
  <si>
    <r>
      <t xml:space="preserve"> </t>
    </r>
    <r>
      <rPr>
        <sz val="12"/>
        <color theme="1"/>
        <rFont val="標楷體"/>
        <family val="4"/>
        <charset val="136"/>
      </rPr>
      <t>晶宏</t>
    </r>
  </si>
  <si>
    <r>
      <t xml:space="preserve"> </t>
    </r>
    <r>
      <rPr>
        <sz val="12"/>
        <color theme="1"/>
        <rFont val="標楷體"/>
        <family val="4"/>
        <charset val="136"/>
      </rPr>
      <t>大綜</t>
    </r>
  </si>
  <si>
    <r>
      <t xml:space="preserve"> </t>
    </r>
    <r>
      <rPr>
        <sz val="12"/>
        <color theme="1"/>
        <rFont val="標楷體"/>
        <family val="4"/>
        <charset val="136"/>
      </rPr>
      <t>璟德</t>
    </r>
  </si>
  <si>
    <r>
      <t xml:space="preserve"> </t>
    </r>
    <r>
      <rPr>
        <sz val="12"/>
        <color theme="1"/>
        <rFont val="標楷體"/>
        <family val="4"/>
        <charset val="136"/>
      </rPr>
      <t>精確</t>
    </r>
  </si>
  <si>
    <r>
      <t xml:space="preserve"> </t>
    </r>
    <r>
      <rPr>
        <sz val="12"/>
        <color theme="1"/>
        <rFont val="標楷體"/>
        <family val="4"/>
        <charset val="136"/>
      </rPr>
      <t>波若威</t>
    </r>
  </si>
  <si>
    <r>
      <t xml:space="preserve"> </t>
    </r>
    <r>
      <rPr>
        <sz val="12"/>
        <color theme="1"/>
        <rFont val="標楷體"/>
        <family val="4"/>
        <charset val="136"/>
      </rPr>
      <t>亞信</t>
    </r>
  </si>
  <si>
    <r>
      <t xml:space="preserve"> </t>
    </r>
    <r>
      <rPr>
        <sz val="12"/>
        <color theme="1"/>
        <rFont val="標楷體"/>
        <family val="4"/>
        <charset val="136"/>
      </rPr>
      <t>新洲</t>
    </r>
  </si>
  <si>
    <r>
      <t xml:space="preserve"> </t>
    </r>
    <r>
      <rPr>
        <sz val="12"/>
        <color theme="1"/>
        <rFont val="標楷體"/>
        <family val="4"/>
        <charset val="136"/>
      </rPr>
      <t>基亞</t>
    </r>
  </si>
  <si>
    <r>
      <t xml:space="preserve"> </t>
    </r>
    <r>
      <rPr>
        <sz val="12"/>
        <color theme="1"/>
        <rFont val="標楷體"/>
        <family val="4"/>
        <charset val="136"/>
      </rPr>
      <t>公準</t>
    </r>
  </si>
  <si>
    <r>
      <t xml:space="preserve"> </t>
    </r>
    <r>
      <rPr>
        <sz val="12"/>
        <color theme="1"/>
        <rFont val="標楷體"/>
        <family val="4"/>
        <charset val="136"/>
      </rPr>
      <t>鑫龍騰</t>
    </r>
  </si>
  <si>
    <r>
      <t xml:space="preserve"> </t>
    </r>
    <r>
      <rPr>
        <sz val="12"/>
        <color theme="1"/>
        <rFont val="標楷體"/>
        <family val="4"/>
        <charset val="136"/>
      </rPr>
      <t>和進</t>
    </r>
  </si>
  <si>
    <r>
      <t xml:space="preserve"> </t>
    </r>
    <r>
      <rPr>
        <sz val="12"/>
        <color theme="1"/>
        <rFont val="標楷體"/>
        <family val="4"/>
        <charset val="136"/>
      </rPr>
      <t>樺晟</t>
    </r>
  </si>
  <si>
    <r>
      <t xml:space="preserve"> </t>
    </r>
    <r>
      <rPr>
        <sz val="12"/>
        <color theme="1"/>
        <rFont val="標楷體"/>
        <family val="4"/>
        <charset val="136"/>
      </rPr>
      <t>佰研</t>
    </r>
  </si>
  <si>
    <r>
      <t xml:space="preserve"> </t>
    </r>
    <r>
      <rPr>
        <sz val="12"/>
        <color theme="1"/>
        <rFont val="標楷體"/>
        <family val="4"/>
        <charset val="136"/>
      </rPr>
      <t>志豐</t>
    </r>
  </si>
  <si>
    <r>
      <t xml:space="preserve"> </t>
    </r>
    <r>
      <rPr>
        <sz val="12"/>
        <color theme="1"/>
        <rFont val="標楷體"/>
        <family val="4"/>
        <charset val="136"/>
      </rPr>
      <t>耀勝</t>
    </r>
  </si>
  <si>
    <r>
      <t xml:space="preserve"> </t>
    </r>
    <r>
      <rPr>
        <sz val="12"/>
        <color theme="1"/>
        <rFont val="標楷體"/>
        <family val="4"/>
        <charset val="136"/>
      </rPr>
      <t>順達</t>
    </r>
  </si>
  <si>
    <r>
      <t xml:space="preserve"> </t>
    </r>
    <r>
      <rPr>
        <sz val="12"/>
        <color theme="1"/>
        <rFont val="標楷體"/>
        <family val="4"/>
        <charset val="136"/>
      </rPr>
      <t>茂訊</t>
    </r>
  </si>
  <si>
    <r>
      <t xml:space="preserve"> </t>
    </r>
    <r>
      <rPr>
        <sz val="12"/>
        <color theme="1"/>
        <rFont val="標楷體"/>
        <family val="4"/>
        <charset val="136"/>
      </rPr>
      <t>優群</t>
    </r>
  </si>
  <si>
    <r>
      <t xml:space="preserve"> </t>
    </r>
    <r>
      <rPr>
        <sz val="12"/>
        <color theme="1"/>
        <rFont val="標楷體"/>
        <family val="4"/>
        <charset val="136"/>
      </rPr>
      <t>大學光</t>
    </r>
  </si>
  <si>
    <r>
      <t xml:space="preserve"> </t>
    </r>
    <r>
      <rPr>
        <sz val="12"/>
        <color theme="1"/>
        <rFont val="標楷體"/>
        <family val="4"/>
        <charset val="136"/>
      </rPr>
      <t>倚強科</t>
    </r>
  </si>
  <si>
    <r>
      <t xml:space="preserve"> </t>
    </r>
    <r>
      <rPr>
        <sz val="12"/>
        <color theme="1"/>
        <rFont val="標楷體"/>
        <family val="4"/>
        <charset val="136"/>
      </rPr>
      <t>台嘉碩</t>
    </r>
  </si>
  <si>
    <r>
      <t xml:space="preserve"> </t>
    </r>
    <r>
      <rPr>
        <sz val="12"/>
        <color theme="1"/>
        <rFont val="標楷體"/>
        <family val="4"/>
        <charset val="136"/>
      </rPr>
      <t>三顧</t>
    </r>
  </si>
  <si>
    <r>
      <t xml:space="preserve"> </t>
    </r>
    <r>
      <rPr>
        <sz val="12"/>
        <color theme="1"/>
        <rFont val="標楷體"/>
        <family val="4"/>
        <charset val="136"/>
      </rPr>
      <t>至寶電</t>
    </r>
  </si>
  <si>
    <r>
      <t xml:space="preserve"> </t>
    </r>
    <r>
      <rPr>
        <sz val="12"/>
        <color theme="1"/>
        <rFont val="標楷體"/>
        <family val="4"/>
        <charset val="136"/>
      </rPr>
      <t>原相</t>
    </r>
  </si>
  <si>
    <r>
      <t xml:space="preserve"> </t>
    </r>
    <r>
      <rPr>
        <sz val="12"/>
        <color theme="1"/>
        <rFont val="標楷體"/>
        <family val="4"/>
        <charset val="136"/>
      </rPr>
      <t>金麗科</t>
    </r>
  </si>
  <si>
    <r>
      <t xml:space="preserve"> </t>
    </r>
    <r>
      <rPr>
        <sz val="12"/>
        <color theme="1"/>
        <rFont val="標楷體"/>
        <family val="4"/>
        <charset val="136"/>
      </rPr>
      <t>錦明</t>
    </r>
  </si>
  <si>
    <r>
      <t xml:space="preserve"> </t>
    </r>
    <r>
      <rPr>
        <sz val="12"/>
        <color theme="1"/>
        <rFont val="標楷體"/>
        <family val="4"/>
        <charset val="136"/>
      </rPr>
      <t>昱捷</t>
    </r>
  </si>
  <si>
    <r>
      <t xml:space="preserve"> </t>
    </r>
    <r>
      <rPr>
        <sz val="12"/>
        <color theme="1"/>
        <rFont val="標楷體"/>
        <family val="4"/>
        <charset val="136"/>
      </rPr>
      <t>光環</t>
    </r>
  </si>
  <si>
    <r>
      <t xml:space="preserve"> </t>
    </r>
    <r>
      <rPr>
        <sz val="12"/>
        <color theme="1"/>
        <rFont val="標楷體"/>
        <family val="4"/>
        <charset val="136"/>
      </rPr>
      <t>千如</t>
    </r>
  </si>
  <si>
    <r>
      <t xml:space="preserve"> </t>
    </r>
    <r>
      <rPr>
        <sz val="12"/>
        <color theme="1"/>
        <rFont val="標楷體"/>
        <family val="4"/>
        <charset val="136"/>
      </rPr>
      <t>海灣</t>
    </r>
  </si>
  <si>
    <r>
      <t xml:space="preserve"> </t>
    </r>
    <r>
      <rPr>
        <sz val="12"/>
        <color theme="1"/>
        <rFont val="標楷體"/>
        <family val="4"/>
        <charset val="136"/>
      </rPr>
      <t>鑫創</t>
    </r>
  </si>
  <si>
    <r>
      <t xml:space="preserve"> </t>
    </r>
    <r>
      <rPr>
        <sz val="12"/>
        <color theme="1"/>
        <rFont val="標楷體"/>
        <family val="4"/>
        <charset val="136"/>
      </rPr>
      <t>威剛</t>
    </r>
  </si>
  <si>
    <r>
      <t xml:space="preserve"> </t>
    </r>
    <r>
      <rPr>
        <sz val="12"/>
        <color theme="1"/>
        <rFont val="標楷體"/>
        <family val="4"/>
        <charset val="136"/>
      </rPr>
      <t>欣銓</t>
    </r>
  </si>
  <si>
    <r>
      <t xml:space="preserve"> </t>
    </r>
    <r>
      <rPr>
        <sz val="12"/>
        <color theme="1"/>
        <rFont val="標楷體"/>
        <family val="4"/>
        <charset val="136"/>
      </rPr>
      <t>台星科</t>
    </r>
  </si>
  <si>
    <r>
      <t xml:space="preserve"> </t>
    </r>
    <r>
      <rPr>
        <sz val="12"/>
        <color theme="1"/>
        <rFont val="標楷體"/>
        <family val="4"/>
        <charset val="136"/>
      </rPr>
      <t>海德威</t>
    </r>
  </si>
  <si>
    <r>
      <t xml:space="preserve"> </t>
    </r>
    <r>
      <rPr>
        <sz val="12"/>
        <color theme="1"/>
        <rFont val="標楷體"/>
        <family val="4"/>
        <charset val="136"/>
      </rPr>
      <t>東碩</t>
    </r>
  </si>
  <si>
    <r>
      <t xml:space="preserve"> </t>
    </r>
    <r>
      <rPr>
        <sz val="12"/>
        <color theme="1"/>
        <rFont val="標楷體"/>
        <family val="4"/>
        <charset val="136"/>
      </rPr>
      <t>宇環</t>
    </r>
  </si>
  <si>
    <r>
      <t xml:space="preserve"> </t>
    </r>
    <r>
      <rPr>
        <sz val="12"/>
        <color theme="1"/>
        <rFont val="標楷體"/>
        <family val="4"/>
        <charset val="136"/>
      </rPr>
      <t>太普高</t>
    </r>
  </si>
  <si>
    <r>
      <t xml:space="preserve"> </t>
    </r>
    <r>
      <rPr>
        <sz val="12"/>
        <color theme="1"/>
        <rFont val="標楷體"/>
        <family val="4"/>
        <charset val="136"/>
      </rPr>
      <t>微端</t>
    </r>
  </si>
  <si>
    <r>
      <t xml:space="preserve"> </t>
    </r>
    <r>
      <rPr>
        <sz val="12"/>
        <color theme="1"/>
        <rFont val="標楷體"/>
        <family val="4"/>
        <charset val="136"/>
      </rPr>
      <t>廣寰科</t>
    </r>
  </si>
  <si>
    <r>
      <t xml:space="preserve"> </t>
    </r>
    <r>
      <rPr>
        <sz val="12"/>
        <color theme="1"/>
        <rFont val="標楷體"/>
        <family val="4"/>
        <charset val="136"/>
      </rPr>
      <t>點晶</t>
    </r>
  </si>
  <si>
    <r>
      <t xml:space="preserve"> </t>
    </r>
    <r>
      <rPr>
        <sz val="12"/>
        <color theme="1"/>
        <rFont val="標楷體"/>
        <family val="4"/>
        <charset val="136"/>
      </rPr>
      <t>宜特</t>
    </r>
  </si>
  <si>
    <r>
      <t xml:space="preserve"> </t>
    </r>
    <r>
      <rPr>
        <sz val="12"/>
        <color theme="1"/>
        <rFont val="標楷體"/>
        <family val="4"/>
        <charset val="136"/>
      </rPr>
      <t>東浦</t>
    </r>
  </si>
  <si>
    <r>
      <t xml:space="preserve"> </t>
    </r>
    <r>
      <rPr>
        <sz val="12"/>
        <color theme="1"/>
        <rFont val="標楷體"/>
        <family val="4"/>
        <charset val="136"/>
      </rPr>
      <t>鈊象</t>
    </r>
  </si>
  <si>
    <r>
      <t xml:space="preserve"> </t>
    </r>
    <r>
      <rPr>
        <sz val="12"/>
        <color theme="1"/>
        <rFont val="標楷體"/>
        <family val="4"/>
        <charset val="136"/>
      </rPr>
      <t>英濟</t>
    </r>
  </si>
  <si>
    <r>
      <t xml:space="preserve"> </t>
    </r>
    <r>
      <rPr>
        <sz val="12"/>
        <color theme="1"/>
        <rFont val="標楷體"/>
        <family val="4"/>
        <charset val="136"/>
      </rPr>
      <t>杭特</t>
    </r>
  </si>
  <si>
    <r>
      <t xml:space="preserve"> </t>
    </r>
    <r>
      <rPr>
        <sz val="12"/>
        <color theme="1"/>
        <rFont val="標楷體"/>
        <family val="4"/>
        <charset val="136"/>
      </rPr>
      <t>岱稜</t>
    </r>
  </si>
  <si>
    <r>
      <t xml:space="preserve"> </t>
    </r>
    <r>
      <rPr>
        <sz val="12"/>
        <color theme="1"/>
        <rFont val="標楷體"/>
        <family val="4"/>
        <charset val="136"/>
      </rPr>
      <t>鼎天</t>
    </r>
  </si>
  <si>
    <r>
      <t xml:space="preserve"> </t>
    </r>
    <r>
      <rPr>
        <sz val="12"/>
        <color theme="1"/>
        <rFont val="標楷體"/>
        <family val="4"/>
        <charset val="136"/>
      </rPr>
      <t>佳穎</t>
    </r>
  </si>
  <si>
    <r>
      <t xml:space="preserve"> </t>
    </r>
    <r>
      <rPr>
        <sz val="12"/>
        <color theme="1"/>
        <rFont val="標楷體"/>
        <family val="4"/>
        <charset val="136"/>
      </rPr>
      <t>斐成</t>
    </r>
  </si>
  <si>
    <r>
      <t xml:space="preserve"> </t>
    </r>
    <r>
      <rPr>
        <sz val="12"/>
        <color theme="1"/>
        <rFont val="標楷體"/>
        <family val="4"/>
        <charset val="136"/>
      </rPr>
      <t>尼克森</t>
    </r>
  </si>
  <si>
    <r>
      <t xml:space="preserve"> </t>
    </r>
    <r>
      <rPr>
        <sz val="12"/>
        <color theme="1"/>
        <rFont val="標楷體"/>
        <family val="4"/>
        <charset val="136"/>
      </rPr>
      <t>建舜電</t>
    </r>
  </si>
  <si>
    <r>
      <t xml:space="preserve"> </t>
    </r>
    <r>
      <rPr>
        <sz val="12"/>
        <color theme="1"/>
        <rFont val="標楷體"/>
        <family val="4"/>
        <charset val="136"/>
      </rPr>
      <t>加百裕</t>
    </r>
  </si>
  <si>
    <r>
      <t xml:space="preserve"> </t>
    </r>
    <r>
      <rPr>
        <sz val="12"/>
        <color theme="1"/>
        <rFont val="標楷體"/>
        <family val="4"/>
        <charset val="136"/>
      </rPr>
      <t>雙鴻</t>
    </r>
  </si>
  <si>
    <r>
      <t xml:space="preserve"> </t>
    </r>
    <r>
      <rPr>
        <sz val="12"/>
        <color theme="1"/>
        <rFont val="標楷體"/>
        <family val="4"/>
        <charset val="136"/>
      </rPr>
      <t>旭品</t>
    </r>
  </si>
  <si>
    <r>
      <t xml:space="preserve"> </t>
    </r>
    <r>
      <rPr>
        <sz val="12"/>
        <color theme="1"/>
        <rFont val="標楷體"/>
        <family val="4"/>
        <charset val="136"/>
      </rPr>
      <t>幸康</t>
    </r>
  </si>
  <si>
    <r>
      <t xml:space="preserve"> </t>
    </r>
    <r>
      <rPr>
        <sz val="12"/>
        <color theme="1"/>
        <rFont val="標楷體"/>
        <family val="4"/>
        <charset val="136"/>
      </rPr>
      <t>泰谷</t>
    </r>
  </si>
  <si>
    <r>
      <t xml:space="preserve"> </t>
    </r>
    <r>
      <rPr>
        <sz val="12"/>
        <color theme="1"/>
        <rFont val="標楷體"/>
        <family val="4"/>
        <charset val="136"/>
      </rPr>
      <t>寶德</t>
    </r>
  </si>
  <si>
    <r>
      <t xml:space="preserve"> </t>
    </r>
    <r>
      <rPr>
        <sz val="12"/>
        <color theme="1"/>
        <rFont val="標楷體"/>
        <family val="4"/>
        <charset val="136"/>
      </rPr>
      <t>律勝</t>
    </r>
  </si>
  <si>
    <r>
      <t xml:space="preserve"> </t>
    </r>
    <r>
      <rPr>
        <sz val="12"/>
        <color theme="1"/>
        <rFont val="標楷體"/>
        <family val="4"/>
        <charset val="136"/>
      </rPr>
      <t>臺慶科</t>
    </r>
  </si>
  <si>
    <r>
      <t xml:space="preserve"> </t>
    </r>
    <r>
      <rPr>
        <sz val="12"/>
        <color theme="1"/>
        <rFont val="標楷體"/>
        <family val="4"/>
        <charset val="136"/>
      </rPr>
      <t>尚立</t>
    </r>
  </si>
  <si>
    <r>
      <t xml:space="preserve"> </t>
    </r>
    <r>
      <rPr>
        <sz val="12"/>
        <color theme="1"/>
        <rFont val="標楷體"/>
        <family val="4"/>
        <charset val="136"/>
      </rPr>
      <t>先進光</t>
    </r>
  </si>
  <si>
    <r>
      <t xml:space="preserve"> </t>
    </r>
    <r>
      <rPr>
        <sz val="12"/>
        <color theme="1"/>
        <rFont val="標楷體"/>
        <family val="4"/>
        <charset val="136"/>
      </rPr>
      <t>上詮</t>
    </r>
  </si>
  <si>
    <r>
      <t xml:space="preserve"> </t>
    </r>
    <r>
      <rPr>
        <sz val="12"/>
        <color theme="1"/>
        <rFont val="標楷體"/>
        <family val="4"/>
        <charset val="136"/>
      </rPr>
      <t>典範</t>
    </r>
  </si>
  <si>
    <r>
      <t xml:space="preserve"> </t>
    </r>
    <r>
      <rPr>
        <sz val="12"/>
        <color theme="1"/>
        <rFont val="標楷體"/>
        <family val="4"/>
        <charset val="136"/>
      </rPr>
      <t>熱映</t>
    </r>
  </si>
  <si>
    <r>
      <t xml:space="preserve"> </t>
    </r>
    <r>
      <rPr>
        <sz val="12"/>
        <color theme="1"/>
        <rFont val="標楷體"/>
        <family val="4"/>
        <charset val="136"/>
      </rPr>
      <t>精材</t>
    </r>
  </si>
  <si>
    <r>
      <t xml:space="preserve"> </t>
    </r>
    <r>
      <rPr>
        <sz val="12"/>
        <color theme="1"/>
        <rFont val="標楷體"/>
        <family val="4"/>
        <charset val="136"/>
      </rPr>
      <t>彬台</t>
    </r>
  </si>
  <si>
    <r>
      <t xml:space="preserve"> </t>
    </r>
    <r>
      <rPr>
        <sz val="12"/>
        <color theme="1"/>
        <rFont val="標楷體"/>
        <family val="4"/>
        <charset val="136"/>
      </rPr>
      <t>崇越電</t>
    </r>
  </si>
  <si>
    <r>
      <t xml:space="preserve"> </t>
    </r>
    <r>
      <rPr>
        <sz val="12"/>
        <color theme="1"/>
        <rFont val="標楷體"/>
        <family val="4"/>
        <charset val="136"/>
      </rPr>
      <t>旭軟</t>
    </r>
  </si>
  <si>
    <r>
      <t xml:space="preserve"> </t>
    </r>
    <r>
      <rPr>
        <sz val="12"/>
        <color theme="1"/>
        <rFont val="標楷體"/>
        <family val="4"/>
        <charset val="136"/>
      </rPr>
      <t>漢科</t>
    </r>
  </si>
  <si>
    <r>
      <t xml:space="preserve"> </t>
    </r>
    <r>
      <rPr>
        <sz val="12"/>
        <color theme="1"/>
        <rFont val="標楷體"/>
        <family val="4"/>
        <charset val="136"/>
      </rPr>
      <t>台興</t>
    </r>
  </si>
  <si>
    <r>
      <t xml:space="preserve"> </t>
    </r>
    <r>
      <rPr>
        <sz val="12"/>
        <color theme="1"/>
        <rFont val="標楷體"/>
        <family val="4"/>
        <charset val="136"/>
      </rPr>
      <t>奇鈦科</t>
    </r>
  </si>
  <si>
    <r>
      <t xml:space="preserve"> </t>
    </r>
    <r>
      <rPr>
        <sz val="12"/>
        <color theme="1"/>
        <rFont val="標楷體"/>
        <family val="4"/>
        <charset val="136"/>
      </rPr>
      <t>哲固</t>
    </r>
  </si>
  <si>
    <r>
      <t xml:space="preserve"> </t>
    </r>
    <r>
      <rPr>
        <sz val="12"/>
        <color theme="1"/>
        <rFont val="標楷體"/>
        <family val="4"/>
        <charset val="136"/>
      </rPr>
      <t>類比科</t>
    </r>
  </si>
  <si>
    <r>
      <t xml:space="preserve"> </t>
    </r>
    <r>
      <rPr>
        <sz val="12"/>
        <color theme="1"/>
        <rFont val="標楷體"/>
        <family val="4"/>
        <charset val="136"/>
      </rPr>
      <t>聯一光</t>
    </r>
  </si>
  <si>
    <r>
      <t xml:space="preserve"> </t>
    </r>
    <r>
      <rPr>
        <sz val="12"/>
        <color theme="1"/>
        <rFont val="標楷體"/>
        <family val="4"/>
        <charset val="136"/>
      </rPr>
      <t>利機</t>
    </r>
  </si>
  <si>
    <r>
      <t xml:space="preserve"> </t>
    </r>
    <r>
      <rPr>
        <sz val="12"/>
        <color theme="1"/>
        <rFont val="標楷體"/>
        <family val="4"/>
        <charset val="136"/>
      </rPr>
      <t>由田</t>
    </r>
  </si>
  <si>
    <r>
      <t xml:space="preserve"> </t>
    </r>
    <r>
      <rPr>
        <sz val="12"/>
        <color theme="1"/>
        <rFont val="標楷體"/>
        <family val="4"/>
        <charset val="136"/>
      </rPr>
      <t>進泰電子</t>
    </r>
  </si>
  <si>
    <r>
      <t xml:space="preserve"> </t>
    </r>
    <r>
      <rPr>
        <sz val="12"/>
        <color theme="1"/>
        <rFont val="標楷體"/>
        <family val="4"/>
        <charset val="136"/>
      </rPr>
      <t>德晉</t>
    </r>
  </si>
  <si>
    <r>
      <t xml:space="preserve"> </t>
    </r>
    <r>
      <rPr>
        <sz val="12"/>
        <color theme="1"/>
        <rFont val="標楷體"/>
        <family val="4"/>
        <charset val="136"/>
      </rPr>
      <t>安勤</t>
    </r>
  </si>
  <si>
    <r>
      <t xml:space="preserve"> </t>
    </r>
    <r>
      <rPr>
        <sz val="12"/>
        <color theme="1"/>
        <rFont val="標楷體"/>
        <family val="4"/>
        <charset val="136"/>
      </rPr>
      <t>力致</t>
    </r>
  </si>
  <si>
    <r>
      <t xml:space="preserve"> </t>
    </r>
    <r>
      <rPr>
        <sz val="12"/>
        <color theme="1"/>
        <rFont val="標楷體"/>
        <family val="4"/>
        <charset val="136"/>
      </rPr>
      <t>崧騰</t>
    </r>
  </si>
  <si>
    <r>
      <t xml:space="preserve"> </t>
    </r>
    <r>
      <rPr>
        <sz val="12"/>
        <color theme="1"/>
        <rFont val="標楷體"/>
        <family val="4"/>
        <charset val="136"/>
      </rPr>
      <t>森寶</t>
    </r>
  </si>
  <si>
    <r>
      <t xml:space="preserve"> </t>
    </r>
    <r>
      <rPr>
        <sz val="12"/>
        <color theme="1"/>
        <rFont val="標楷體"/>
        <family val="4"/>
        <charset val="136"/>
      </rPr>
      <t>單井</t>
    </r>
  </si>
  <si>
    <r>
      <t xml:space="preserve"> </t>
    </r>
    <r>
      <rPr>
        <sz val="12"/>
        <color theme="1"/>
        <rFont val="標楷體"/>
        <family val="4"/>
        <charset val="136"/>
      </rPr>
      <t>昇達科</t>
    </r>
  </si>
  <si>
    <r>
      <t xml:space="preserve"> </t>
    </r>
    <r>
      <rPr>
        <sz val="12"/>
        <color theme="1"/>
        <rFont val="標楷體"/>
        <family val="4"/>
        <charset val="136"/>
      </rPr>
      <t>長盛</t>
    </r>
  </si>
  <si>
    <r>
      <t xml:space="preserve"> </t>
    </r>
    <r>
      <rPr>
        <sz val="12"/>
        <color theme="1"/>
        <rFont val="標楷體"/>
        <family val="4"/>
        <charset val="136"/>
      </rPr>
      <t>陽程</t>
    </r>
  </si>
  <si>
    <r>
      <t xml:space="preserve"> </t>
    </r>
    <r>
      <rPr>
        <sz val="12"/>
        <color theme="1"/>
        <rFont val="標楷體"/>
        <family val="4"/>
        <charset val="136"/>
      </rPr>
      <t>環天科</t>
    </r>
  </si>
  <si>
    <r>
      <t xml:space="preserve"> </t>
    </r>
    <r>
      <rPr>
        <sz val="12"/>
        <color theme="1"/>
        <rFont val="標楷體"/>
        <family val="4"/>
        <charset val="136"/>
      </rPr>
      <t>位速</t>
    </r>
  </si>
  <si>
    <r>
      <t xml:space="preserve"> </t>
    </r>
    <r>
      <rPr>
        <sz val="12"/>
        <color theme="1"/>
        <rFont val="標楷體"/>
        <family val="4"/>
        <charset val="136"/>
      </rPr>
      <t>矽瑪</t>
    </r>
  </si>
  <si>
    <r>
      <t xml:space="preserve"> </t>
    </r>
    <r>
      <rPr>
        <sz val="12"/>
        <color theme="1"/>
        <rFont val="標楷體"/>
        <family val="4"/>
        <charset val="136"/>
      </rPr>
      <t>皇龍</t>
    </r>
  </si>
  <si>
    <r>
      <t xml:space="preserve"> </t>
    </r>
    <r>
      <rPr>
        <sz val="12"/>
        <color theme="1"/>
        <rFont val="標楷體"/>
        <family val="4"/>
        <charset val="136"/>
      </rPr>
      <t>亞帝歐</t>
    </r>
  </si>
  <si>
    <r>
      <t xml:space="preserve"> </t>
    </r>
    <r>
      <rPr>
        <sz val="12"/>
        <color theme="1"/>
        <rFont val="標楷體"/>
        <family val="4"/>
        <charset val="136"/>
      </rPr>
      <t>華盈</t>
    </r>
  </si>
  <si>
    <r>
      <t xml:space="preserve"> </t>
    </r>
    <r>
      <rPr>
        <sz val="12"/>
        <color theme="1"/>
        <rFont val="標楷體"/>
        <family val="4"/>
        <charset val="136"/>
      </rPr>
      <t>鴻翊</t>
    </r>
  </si>
  <si>
    <r>
      <t xml:space="preserve"> </t>
    </r>
    <r>
      <rPr>
        <sz val="12"/>
        <color theme="1"/>
        <rFont val="標楷體"/>
        <family val="4"/>
        <charset val="136"/>
      </rPr>
      <t>御頂</t>
    </r>
  </si>
  <si>
    <r>
      <t xml:space="preserve"> </t>
    </r>
    <r>
      <rPr>
        <sz val="12"/>
        <color theme="1"/>
        <rFont val="標楷體"/>
        <family val="4"/>
        <charset val="136"/>
      </rPr>
      <t>迎輝</t>
    </r>
  </si>
  <si>
    <r>
      <t xml:space="preserve"> </t>
    </r>
    <r>
      <rPr>
        <sz val="12"/>
        <color theme="1"/>
        <rFont val="標楷體"/>
        <family val="4"/>
        <charset val="136"/>
      </rPr>
      <t>凡甲</t>
    </r>
  </si>
  <si>
    <r>
      <t xml:space="preserve"> </t>
    </r>
    <r>
      <rPr>
        <sz val="12"/>
        <color theme="1"/>
        <rFont val="標楷體"/>
        <family val="4"/>
        <charset val="136"/>
      </rPr>
      <t>聚積</t>
    </r>
  </si>
  <si>
    <r>
      <t xml:space="preserve"> </t>
    </r>
    <r>
      <rPr>
        <sz val="12"/>
        <color theme="1"/>
        <rFont val="標楷體"/>
        <family val="4"/>
        <charset val="136"/>
      </rPr>
      <t>力旺</t>
    </r>
  </si>
  <si>
    <r>
      <t xml:space="preserve"> </t>
    </r>
    <r>
      <rPr>
        <sz val="12"/>
        <color theme="1"/>
        <rFont val="標楷體"/>
        <family val="4"/>
        <charset val="136"/>
      </rPr>
      <t>先益</t>
    </r>
  </si>
  <si>
    <r>
      <t xml:space="preserve"> </t>
    </r>
    <r>
      <rPr>
        <sz val="12"/>
        <color theme="1"/>
        <rFont val="標楷體"/>
        <family val="4"/>
        <charset val="136"/>
      </rPr>
      <t>堡達</t>
    </r>
  </si>
  <si>
    <r>
      <t xml:space="preserve"> </t>
    </r>
    <r>
      <rPr>
        <sz val="12"/>
        <color theme="1"/>
        <rFont val="標楷體"/>
        <family val="4"/>
        <charset val="136"/>
      </rPr>
      <t>曜越</t>
    </r>
  </si>
  <si>
    <r>
      <t xml:space="preserve"> </t>
    </r>
    <r>
      <rPr>
        <sz val="12"/>
        <color theme="1"/>
        <rFont val="標楷體"/>
        <family val="4"/>
        <charset val="136"/>
      </rPr>
      <t>西柏</t>
    </r>
  </si>
  <si>
    <r>
      <t xml:space="preserve"> </t>
    </r>
    <r>
      <rPr>
        <sz val="12"/>
        <color theme="1"/>
        <rFont val="標楷體"/>
        <family val="4"/>
        <charset val="136"/>
      </rPr>
      <t>宇峻</t>
    </r>
  </si>
  <si>
    <r>
      <t xml:space="preserve"> </t>
    </r>
    <r>
      <rPr>
        <sz val="12"/>
        <color theme="1"/>
        <rFont val="標楷體"/>
        <family val="4"/>
        <charset val="136"/>
      </rPr>
      <t>兆利</t>
    </r>
  </si>
  <si>
    <r>
      <t xml:space="preserve"> </t>
    </r>
    <r>
      <rPr>
        <sz val="12"/>
        <color theme="1"/>
        <rFont val="標楷體"/>
        <family val="4"/>
        <charset val="136"/>
      </rPr>
      <t>世禾</t>
    </r>
  </si>
  <si>
    <r>
      <t xml:space="preserve"> </t>
    </r>
    <r>
      <rPr>
        <sz val="12"/>
        <color theme="1"/>
        <rFont val="標楷體"/>
        <family val="4"/>
        <charset val="136"/>
      </rPr>
      <t>同致</t>
    </r>
  </si>
  <si>
    <r>
      <t xml:space="preserve"> </t>
    </r>
    <r>
      <rPr>
        <sz val="12"/>
        <color theme="1"/>
        <rFont val="標楷體"/>
        <family val="4"/>
        <charset val="136"/>
      </rPr>
      <t>博士旺</t>
    </r>
  </si>
  <si>
    <r>
      <t xml:space="preserve"> </t>
    </r>
    <r>
      <rPr>
        <sz val="12"/>
        <color theme="1"/>
        <rFont val="標楷體"/>
        <family val="4"/>
        <charset val="136"/>
      </rPr>
      <t>禾瑞亞</t>
    </r>
  </si>
  <si>
    <r>
      <t xml:space="preserve"> </t>
    </r>
    <r>
      <rPr>
        <sz val="12"/>
        <color theme="1"/>
        <rFont val="標楷體"/>
        <family val="4"/>
        <charset val="136"/>
      </rPr>
      <t>神準</t>
    </r>
  </si>
  <si>
    <r>
      <t xml:space="preserve"> </t>
    </r>
    <r>
      <rPr>
        <sz val="12"/>
        <color theme="1"/>
        <rFont val="標楷體"/>
        <family val="4"/>
        <charset val="136"/>
      </rPr>
      <t>其陽</t>
    </r>
  </si>
  <si>
    <r>
      <t xml:space="preserve"> </t>
    </r>
    <r>
      <rPr>
        <sz val="12"/>
        <color theme="1"/>
        <rFont val="標楷體"/>
        <family val="4"/>
        <charset val="136"/>
      </rPr>
      <t>逸昌</t>
    </r>
  </si>
  <si>
    <r>
      <t xml:space="preserve"> </t>
    </r>
    <r>
      <rPr>
        <sz val="12"/>
        <color theme="1"/>
        <rFont val="標楷體"/>
        <family val="4"/>
        <charset val="136"/>
      </rPr>
      <t>大塚</t>
    </r>
  </si>
  <si>
    <r>
      <t xml:space="preserve"> </t>
    </r>
    <r>
      <rPr>
        <sz val="12"/>
        <color theme="1"/>
        <rFont val="標楷體"/>
        <family val="4"/>
        <charset val="136"/>
      </rPr>
      <t>泓格</t>
    </r>
  </si>
  <si>
    <r>
      <t xml:space="preserve"> </t>
    </r>
    <r>
      <rPr>
        <sz val="12"/>
        <color theme="1"/>
        <rFont val="標楷體"/>
        <family val="4"/>
        <charset val="136"/>
      </rPr>
      <t>友威科</t>
    </r>
  </si>
  <si>
    <r>
      <t xml:space="preserve"> </t>
    </r>
    <r>
      <rPr>
        <sz val="12"/>
        <color theme="1"/>
        <rFont val="標楷體"/>
        <family val="4"/>
        <charset val="136"/>
      </rPr>
      <t>博磊</t>
    </r>
  </si>
  <si>
    <r>
      <t xml:space="preserve"> </t>
    </r>
    <r>
      <rPr>
        <sz val="12"/>
        <color theme="1"/>
        <rFont val="標楷體"/>
        <family val="4"/>
        <charset val="136"/>
      </rPr>
      <t>閎康</t>
    </r>
  </si>
  <si>
    <r>
      <t xml:space="preserve"> </t>
    </r>
    <r>
      <rPr>
        <sz val="12"/>
        <color theme="1"/>
        <rFont val="標楷體"/>
        <family val="4"/>
        <charset val="136"/>
      </rPr>
      <t>磐儀</t>
    </r>
  </si>
  <si>
    <r>
      <t xml:space="preserve"> </t>
    </r>
    <r>
      <rPr>
        <sz val="12"/>
        <color theme="1"/>
        <rFont val="標楷體"/>
        <family val="4"/>
        <charset val="136"/>
      </rPr>
      <t>映興</t>
    </r>
  </si>
  <si>
    <r>
      <t xml:space="preserve"> </t>
    </r>
    <r>
      <rPr>
        <sz val="12"/>
        <color theme="1"/>
        <rFont val="標楷體"/>
        <family val="4"/>
        <charset val="136"/>
      </rPr>
      <t>三一東林</t>
    </r>
  </si>
  <si>
    <r>
      <t xml:space="preserve"> </t>
    </r>
    <r>
      <rPr>
        <sz val="12"/>
        <color theme="1"/>
        <rFont val="標楷體"/>
        <family val="4"/>
        <charset val="136"/>
      </rPr>
      <t>鼎翰</t>
    </r>
  </si>
  <si>
    <r>
      <t xml:space="preserve"> </t>
    </r>
    <r>
      <rPr>
        <sz val="12"/>
        <color theme="1"/>
        <rFont val="標楷體"/>
        <family val="4"/>
        <charset val="136"/>
      </rPr>
      <t>安可</t>
    </r>
  </si>
  <si>
    <r>
      <t xml:space="preserve"> </t>
    </r>
    <r>
      <rPr>
        <sz val="12"/>
        <color theme="1"/>
        <rFont val="標楷體"/>
        <family val="4"/>
        <charset val="136"/>
      </rPr>
      <t>富晶通</t>
    </r>
  </si>
  <si>
    <r>
      <t xml:space="preserve"> </t>
    </r>
    <r>
      <rPr>
        <sz val="12"/>
        <color theme="1"/>
        <rFont val="標楷體"/>
        <family val="4"/>
        <charset val="136"/>
      </rPr>
      <t>光頡</t>
    </r>
  </si>
  <si>
    <r>
      <t xml:space="preserve"> </t>
    </r>
    <r>
      <rPr>
        <sz val="12"/>
        <color theme="1"/>
        <rFont val="標楷體"/>
        <family val="4"/>
        <charset val="136"/>
      </rPr>
      <t>西勝</t>
    </r>
  </si>
  <si>
    <r>
      <t xml:space="preserve"> </t>
    </r>
    <r>
      <rPr>
        <sz val="12"/>
        <color theme="1"/>
        <rFont val="標楷體"/>
        <family val="4"/>
        <charset val="136"/>
      </rPr>
      <t>盈正</t>
    </r>
  </si>
  <si>
    <r>
      <t xml:space="preserve"> </t>
    </r>
    <r>
      <rPr>
        <sz val="12"/>
        <color theme="1"/>
        <rFont val="標楷體"/>
        <family val="4"/>
        <charset val="136"/>
      </rPr>
      <t>地心引力</t>
    </r>
  </si>
  <si>
    <r>
      <t xml:space="preserve"> </t>
    </r>
    <r>
      <rPr>
        <sz val="12"/>
        <color theme="1"/>
        <rFont val="標楷體"/>
        <family val="4"/>
        <charset val="136"/>
      </rPr>
      <t>新鉅科</t>
    </r>
  </si>
  <si>
    <r>
      <t xml:space="preserve"> </t>
    </r>
    <r>
      <rPr>
        <sz val="12"/>
        <color theme="1"/>
        <rFont val="標楷體"/>
        <family val="4"/>
        <charset val="136"/>
      </rPr>
      <t>晟楠</t>
    </r>
  </si>
  <si>
    <r>
      <t xml:space="preserve"> </t>
    </r>
    <r>
      <rPr>
        <sz val="12"/>
        <color theme="1"/>
        <rFont val="標楷體"/>
        <family val="4"/>
        <charset val="136"/>
      </rPr>
      <t>研勤</t>
    </r>
  </si>
  <si>
    <r>
      <t xml:space="preserve"> </t>
    </r>
    <r>
      <rPr>
        <sz val="12"/>
        <color theme="1"/>
        <rFont val="標楷體"/>
        <family val="4"/>
        <charset val="136"/>
      </rPr>
      <t>艾恩特</t>
    </r>
  </si>
  <si>
    <r>
      <t xml:space="preserve"> </t>
    </r>
    <r>
      <rPr>
        <sz val="12"/>
        <color theme="1"/>
        <rFont val="標楷體"/>
        <family val="4"/>
        <charset val="136"/>
      </rPr>
      <t>鑫科</t>
    </r>
  </si>
  <si>
    <r>
      <t xml:space="preserve"> </t>
    </r>
    <r>
      <rPr>
        <sz val="12"/>
        <color theme="1"/>
        <rFont val="標楷體"/>
        <family val="4"/>
        <charset val="136"/>
      </rPr>
      <t>安瑞</t>
    </r>
    <r>
      <rPr>
        <sz val="12"/>
        <color theme="1"/>
        <rFont val="Times New Roman"/>
        <family val="1"/>
      </rPr>
      <t>-KY</t>
    </r>
  </si>
  <si>
    <r>
      <t xml:space="preserve"> </t>
    </r>
    <r>
      <rPr>
        <sz val="12"/>
        <color theme="1"/>
        <rFont val="標楷體"/>
        <family val="4"/>
        <charset val="136"/>
      </rPr>
      <t>光耀</t>
    </r>
  </si>
  <si>
    <r>
      <t xml:space="preserve"> </t>
    </r>
    <r>
      <rPr>
        <sz val="12"/>
        <color theme="1"/>
        <rFont val="標楷體"/>
        <family val="4"/>
        <charset val="136"/>
      </rPr>
      <t>康聯訊</t>
    </r>
  </si>
  <si>
    <r>
      <t xml:space="preserve"> </t>
    </r>
    <r>
      <rPr>
        <sz val="12"/>
        <color theme="1"/>
        <rFont val="標楷體"/>
        <family val="4"/>
        <charset val="136"/>
      </rPr>
      <t>德微</t>
    </r>
  </si>
  <si>
    <r>
      <t xml:space="preserve"> </t>
    </r>
    <r>
      <rPr>
        <sz val="12"/>
        <color theme="1"/>
        <rFont val="標楷體"/>
        <family val="4"/>
        <charset val="136"/>
      </rPr>
      <t>家登</t>
    </r>
  </si>
  <si>
    <r>
      <t xml:space="preserve"> </t>
    </r>
    <r>
      <rPr>
        <sz val="12"/>
        <color theme="1"/>
        <rFont val="標楷體"/>
        <family val="4"/>
        <charset val="136"/>
      </rPr>
      <t>榮昌</t>
    </r>
  </si>
  <si>
    <r>
      <t xml:space="preserve"> </t>
    </r>
    <r>
      <rPr>
        <sz val="12"/>
        <color theme="1"/>
        <rFont val="標楷體"/>
        <family val="4"/>
        <charset val="136"/>
      </rPr>
      <t>元創精密</t>
    </r>
  </si>
  <si>
    <r>
      <t xml:space="preserve"> </t>
    </r>
    <r>
      <rPr>
        <sz val="12"/>
        <color theme="1"/>
        <rFont val="標楷體"/>
        <family val="4"/>
        <charset val="136"/>
      </rPr>
      <t>歐買尬</t>
    </r>
  </si>
  <si>
    <r>
      <t xml:space="preserve"> </t>
    </r>
    <r>
      <rPr>
        <sz val="12"/>
        <color theme="1"/>
        <rFont val="標楷體"/>
        <family val="4"/>
        <charset val="136"/>
      </rPr>
      <t>湧德</t>
    </r>
  </si>
  <si>
    <r>
      <t xml:space="preserve"> </t>
    </r>
    <r>
      <rPr>
        <sz val="12"/>
        <color theme="1"/>
        <rFont val="標楷體"/>
        <family val="4"/>
        <charset val="136"/>
      </rPr>
      <t>碩禾</t>
    </r>
  </si>
  <si>
    <r>
      <t xml:space="preserve"> </t>
    </r>
    <r>
      <rPr>
        <sz val="12"/>
        <color theme="1"/>
        <rFont val="標楷體"/>
        <family val="4"/>
        <charset val="136"/>
      </rPr>
      <t>營邦</t>
    </r>
  </si>
  <si>
    <r>
      <t xml:space="preserve"> </t>
    </r>
    <r>
      <rPr>
        <sz val="12"/>
        <color theme="1"/>
        <rFont val="標楷體"/>
        <family val="4"/>
        <charset val="136"/>
      </rPr>
      <t>漢磊</t>
    </r>
  </si>
  <si>
    <r>
      <t xml:space="preserve"> </t>
    </r>
    <r>
      <rPr>
        <sz val="12"/>
        <color theme="1"/>
        <rFont val="標楷體"/>
        <family val="4"/>
        <charset val="136"/>
      </rPr>
      <t>鑫聯大投控</t>
    </r>
  </si>
  <si>
    <r>
      <t xml:space="preserve"> </t>
    </r>
    <r>
      <rPr>
        <sz val="12"/>
        <color theme="1"/>
        <rFont val="標楷體"/>
        <family val="4"/>
        <charset val="136"/>
      </rPr>
      <t>連展投控</t>
    </r>
  </si>
  <si>
    <r>
      <t xml:space="preserve"> </t>
    </r>
    <r>
      <rPr>
        <sz val="12"/>
        <color theme="1"/>
        <rFont val="標楷體"/>
        <family val="4"/>
        <charset val="136"/>
      </rPr>
      <t>新晶投控</t>
    </r>
  </si>
  <si>
    <r>
      <t xml:space="preserve"> </t>
    </r>
    <r>
      <rPr>
        <sz val="12"/>
        <color theme="1"/>
        <rFont val="標楷體"/>
        <family val="4"/>
        <charset val="136"/>
      </rPr>
      <t>永日</t>
    </r>
  </si>
  <si>
    <r>
      <t xml:space="preserve"> </t>
    </r>
    <r>
      <rPr>
        <sz val="12"/>
        <color theme="1"/>
        <rFont val="標楷體"/>
        <family val="4"/>
        <charset val="136"/>
      </rPr>
      <t>東洋</t>
    </r>
  </si>
  <si>
    <r>
      <t xml:space="preserve"> </t>
    </r>
    <r>
      <rPr>
        <sz val="12"/>
        <color theme="1"/>
        <rFont val="標楷體"/>
        <family val="4"/>
        <charset val="136"/>
      </rPr>
      <t>邦特</t>
    </r>
  </si>
  <si>
    <r>
      <t xml:space="preserve"> </t>
    </r>
    <r>
      <rPr>
        <sz val="12"/>
        <color theme="1"/>
        <rFont val="標楷體"/>
        <family val="4"/>
        <charset val="136"/>
      </rPr>
      <t>加捷生醫</t>
    </r>
  </si>
  <si>
    <r>
      <t xml:space="preserve"> </t>
    </r>
    <r>
      <rPr>
        <sz val="12"/>
        <color theme="1"/>
        <rFont val="標楷體"/>
        <family val="4"/>
        <charset val="136"/>
      </rPr>
      <t>濟生</t>
    </r>
  </si>
  <si>
    <r>
      <t xml:space="preserve"> </t>
    </r>
    <r>
      <rPr>
        <sz val="12"/>
        <color theme="1"/>
        <rFont val="標楷體"/>
        <family val="4"/>
        <charset val="136"/>
      </rPr>
      <t>聯上</t>
    </r>
  </si>
  <si>
    <r>
      <t xml:space="preserve"> </t>
    </r>
    <r>
      <rPr>
        <sz val="12"/>
        <color theme="1"/>
        <rFont val="標楷體"/>
        <family val="4"/>
        <charset val="136"/>
      </rPr>
      <t>健喬</t>
    </r>
  </si>
  <si>
    <r>
      <t xml:space="preserve"> </t>
    </r>
    <r>
      <rPr>
        <sz val="12"/>
        <color theme="1"/>
        <rFont val="標楷體"/>
        <family val="4"/>
        <charset val="136"/>
      </rPr>
      <t>明基醫</t>
    </r>
  </si>
  <si>
    <r>
      <t xml:space="preserve"> </t>
    </r>
    <r>
      <rPr>
        <sz val="12"/>
        <color theme="1"/>
        <rFont val="標楷體"/>
        <family val="4"/>
        <charset val="136"/>
      </rPr>
      <t>友華</t>
    </r>
  </si>
  <si>
    <r>
      <t xml:space="preserve"> </t>
    </r>
    <r>
      <rPr>
        <sz val="12"/>
        <color theme="1"/>
        <rFont val="標楷體"/>
        <family val="4"/>
        <charset val="136"/>
      </rPr>
      <t>優盛</t>
    </r>
  </si>
  <si>
    <r>
      <t xml:space="preserve"> </t>
    </r>
    <r>
      <rPr>
        <sz val="12"/>
        <color theme="1"/>
        <rFont val="標楷體"/>
        <family val="4"/>
        <charset val="136"/>
      </rPr>
      <t>晟德</t>
    </r>
  </si>
  <si>
    <r>
      <t xml:space="preserve"> </t>
    </r>
    <r>
      <rPr>
        <sz val="12"/>
        <color theme="1"/>
        <rFont val="標楷體"/>
        <family val="4"/>
        <charset val="136"/>
      </rPr>
      <t>太醫</t>
    </r>
  </si>
  <si>
    <r>
      <t xml:space="preserve"> </t>
    </r>
    <r>
      <rPr>
        <sz val="12"/>
        <color theme="1"/>
        <rFont val="標楷體"/>
        <family val="4"/>
        <charset val="136"/>
      </rPr>
      <t>天良</t>
    </r>
  </si>
  <si>
    <r>
      <t xml:space="preserve"> </t>
    </r>
    <r>
      <rPr>
        <sz val="12"/>
        <color theme="1"/>
        <rFont val="標楷體"/>
        <family val="4"/>
        <charset val="136"/>
      </rPr>
      <t>中天</t>
    </r>
  </si>
  <si>
    <r>
      <t xml:space="preserve"> </t>
    </r>
    <r>
      <rPr>
        <sz val="12"/>
        <color theme="1"/>
        <rFont val="標楷體"/>
        <family val="4"/>
        <charset val="136"/>
      </rPr>
      <t>聯合</t>
    </r>
  </si>
  <si>
    <r>
      <t xml:space="preserve"> </t>
    </r>
    <r>
      <rPr>
        <sz val="12"/>
        <color theme="1"/>
        <rFont val="標楷體"/>
        <family val="4"/>
        <charset val="136"/>
      </rPr>
      <t>健亞</t>
    </r>
  </si>
  <si>
    <r>
      <t xml:space="preserve"> </t>
    </r>
    <r>
      <rPr>
        <sz val="12"/>
        <color theme="1"/>
        <rFont val="標楷體"/>
        <family val="4"/>
        <charset val="136"/>
      </rPr>
      <t>浩泰</t>
    </r>
  </si>
  <si>
    <r>
      <t xml:space="preserve"> </t>
    </r>
    <r>
      <rPr>
        <sz val="12"/>
        <color theme="1"/>
        <rFont val="標楷體"/>
        <family val="4"/>
        <charset val="136"/>
      </rPr>
      <t>曜亞</t>
    </r>
  </si>
  <si>
    <r>
      <t xml:space="preserve"> </t>
    </r>
    <r>
      <rPr>
        <sz val="12"/>
        <color theme="1"/>
        <rFont val="標楷體"/>
        <family val="4"/>
        <charset val="136"/>
      </rPr>
      <t>馬光</t>
    </r>
    <r>
      <rPr>
        <sz val="12"/>
        <color theme="1"/>
        <rFont val="Times New Roman"/>
        <family val="1"/>
      </rPr>
      <t>-KY</t>
    </r>
  </si>
  <si>
    <r>
      <t xml:space="preserve"> </t>
    </r>
    <r>
      <rPr>
        <sz val="12"/>
        <color theme="1"/>
        <rFont val="標楷體"/>
        <family val="4"/>
        <charset val="136"/>
      </rPr>
      <t>中裕</t>
    </r>
  </si>
  <si>
    <r>
      <t xml:space="preserve"> </t>
    </r>
    <r>
      <rPr>
        <sz val="12"/>
        <color theme="1"/>
        <rFont val="標楷體"/>
        <family val="4"/>
        <charset val="136"/>
      </rPr>
      <t>鈺緯</t>
    </r>
  </si>
  <si>
    <r>
      <t xml:space="preserve"> </t>
    </r>
    <r>
      <rPr>
        <sz val="12"/>
        <color theme="1"/>
        <rFont val="標楷體"/>
        <family val="4"/>
        <charset val="136"/>
      </rPr>
      <t>樂威科</t>
    </r>
    <r>
      <rPr>
        <sz val="12"/>
        <color theme="1"/>
        <rFont val="Times New Roman"/>
        <family val="1"/>
      </rPr>
      <t>-KY</t>
    </r>
  </si>
  <si>
    <r>
      <t xml:space="preserve"> </t>
    </r>
    <r>
      <rPr>
        <sz val="12"/>
        <color theme="1"/>
        <rFont val="標楷體"/>
        <family val="4"/>
        <charset val="136"/>
      </rPr>
      <t>太景</t>
    </r>
    <r>
      <rPr>
        <sz val="12"/>
        <color theme="1"/>
        <rFont val="Times New Roman"/>
        <family val="1"/>
      </rPr>
      <t>*-KY</t>
    </r>
  </si>
  <si>
    <r>
      <t xml:space="preserve"> </t>
    </r>
    <r>
      <rPr>
        <sz val="12"/>
        <color theme="1"/>
        <rFont val="標楷體"/>
        <family val="4"/>
        <charset val="136"/>
      </rPr>
      <t>訊聯基因</t>
    </r>
  </si>
  <si>
    <r>
      <t xml:space="preserve"> </t>
    </r>
    <r>
      <rPr>
        <sz val="12"/>
        <color theme="1"/>
        <rFont val="標楷體"/>
        <family val="4"/>
        <charset val="136"/>
      </rPr>
      <t>聿新科</t>
    </r>
  </si>
  <si>
    <r>
      <t xml:space="preserve"> </t>
    </r>
    <r>
      <rPr>
        <sz val="12"/>
        <color theme="1"/>
        <rFont val="標楷體"/>
        <family val="4"/>
        <charset val="136"/>
      </rPr>
      <t>智擎</t>
    </r>
  </si>
  <si>
    <r>
      <t xml:space="preserve"> </t>
    </r>
    <r>
      <rPr>
        <sz val="12"/>
        <color theme="1"/>
        <rFont val="標楷體"/>
        <family val="4"/>
        <charset val="136"/>
      </rPr>
      <t>鐿鈦</t>
    </r>
  </si>
  <si>
    <r>
      <t xml:space="preserve"> </t>
    </r>
    <r>
      <rPr>
        <sz val="12"/>
        <color theme="1"/>
        <rFont val="標楷體"/>
        <family val="4"/>
        <charset val="136"/>
      </rPr>
      <t>松瑞藥</t>
    </r>
  </si>
  <si>
    <r>
      <t xml:space="preserve"> </t>
    </r>
    <r>
      <rPr>
        <sz val="12"/>
        <color theme="1"/>
        <rFont val="標楷體"/>
        <family val="4"/>
        <charset val="136"/>
      </rPr>
      <t>醣聯</t>
    </r>
  </si>
  <si>
    <r>
      <t xml:space="preserve"> </t>
    </r>
    <r>
      <rPr>
        <sz val="12"/>
        <color theme="1"/>
        <rFont val="標楷體"/>
        <family val="4"/>
        <charset val="136"/>
      </rPr>
      <t>瑞基</t>
    </r>
  </si>
  <si>
    <r>
      <t xml:space="preserve"> </t>
    </r>
    <r>
      <rPr>
        <sz val="12"/>
        <color theme="1"/>
        <rFont val="標楷體"/>
        <family val="4"/>
        <charset val="136"/>
      </rPr>
      <t>久裕</t>
    </r>
  </si>
  <si>
    <r>
      <t xml:space="preserve"> </t>
    </r>
    <r>
      <rPr>
        <sz val="12"/>
        <color theme="1"/>
        <rFont val="標楷體"/>
        <family val="4"/>
        <charset val="136"/>
      </rPr>
      <t>浩鼎</t>
    </r>
  </si>
  <si>
    <r>
      <t xml:space="preserve"> </t>
    </r>
    <r>
      <rPr>
        <sz val="12"/>
        <color theme="1"/>
        <rFont val="標楷體"/>
        <family val="4"/>
        <charset val="136"/>
      </rPr>
      <t>杏一</t>
    </r>
  </si>
  <si>
    <r>
      <t xml:space="preserve"> </t>
    </r>
    <r>
      <rPr>
        <sz val="12"/>
        <color theme="1"/>
        <rFont val="標楷體"/>
        <family val="4"/>
        <charset val="136"/>
      </rPr>
      <t>福永生技</t>
    </r>
  </si>
  <si>
    <r>
      <t xml:space="preserve"> </t>
    </r>
    <r>
      <rPr>
        <sz val="12"/>
        <color theme="1"/>
        <rFont val="標楷體"/>
        <family val="4"/>
        <charset val="136"/>
      </rPr>
      <t>安克</t>
    </r>
  </si>
  <si>
    <r>
      <t xml:space="preserve"> </t>
    </r>
    <r>
      <rPr>
        <sz val="12"/>
        <color theme="1"/>
        <rFont val="標楷體"/>
        <family val="4"/>
        <charset val="136"/>
      </rPr>
      <t>杏國</t>
    </r>
  </si>
  <si>
    <r>
      <t xml:space="preserve"> </t>
    </r>
    <r>
      <rPr>
        <sz val="12"/>
        <color theme="1"/>
        <rFont val="標楷體"/>
        <family val="4"/>
        <charset val="136"/>
      </rPr>
      <t>欣大健康</t>
    </r>
  </si>
  <si>
    <r>
      <t xml:space="preserve"> </t>
    </r>
    <r>
      <rPr>
        <sz val="12"/>
        <color theme="1"/>
        <rFont val="標楷體"/>
        <family val="4"/>
        <charset val="136"/>
      </rPr>
      <t>中華食</t>
    </r>
  </si>
  <si>
    <r>
      <t xml:space="preserve"> </t>
    </r>
    <r>
      <rPr>
        <sz val="12"/>
        <color theme="1"/>
        <rFont val="標楷體"/>
        <family val="4"/>
        <charset val="136"/>
      </rPr>
      <t>環泰</t>
    </r>
  </si>
  <si>
    <r>
      <t xml:space="preserve"> </t>
    </r>
    <r>
      <rPr>
        <sz val="12"/>
        <color theme="1"/>
        <rFont val="標楷體"/>
        <family val="4"/>
        <charset val="136"/>
      </rPr>
      <t>信立</t>
    </r>
  </si>
  <si>
    <r>
      <t xml:space="preserve"> </t>
    </r>
    <r>
      <rPr>
        <sz val="12"/>
        <color theme="1"/>
        <rFont val="標楷體"/>
        <family val="4"/>
        <charset val="136"/>
      </rPr>
      <t>勝昱</t>
    </r>
  </si>
  <si>
    <r>
      <t xml:space="preserve"> </t>
    </r>
    <r>
      <rPr>
        <sz val="12"/>
        <color theme="1"/>
        <rFont val="標楷體"/>
        <family val="4"/>
        <charset val="136"/>
      </rPr>
      <t>世坤</t>
    </r>
  </si>
  <si>
    <r>
      <t xml:space="preserve"> </t>
    </r>
    <r>
      <rPr>
        <sz val="12"/>
        <color theme="1"/>
        <rFont val="標楷體"/>
        <family val="4"/>
        <charset val="136"/>
      </rPr>
      <t>東隆興</t>
    </r>
  </si>
  <si>
    <r>
      <t xml:space="preserve"> </t>
    </r>
    <r>
      <rPr>
        <sz val="12"/>
        <color theme="1"/>
        <rFont val="標楷體"/>
        <family val="4"/>
        <charset val="136"/>
      </rPr>
      <t>福大</t>
    </r>
  </si>
  <si>
    <r>
      <t xml:space="preserve"> </t>
    </r>
    <r>
      <rPr>
        <sz val="12"/>
        <color theme="1"/>
        <rFont val="標楷體"/>
        <family val="4"/>
        <charset val="136"/>
      </rPr>
      <t>新昕纖</t>
    </r>
  </si>
  <si>
    <r>
      <t xml:space="preserve"> </t>
    </r>
    <r>
      <rPr>
        <sz val="12"/>
        <color theme="1"/>
        <rFont val="標楷體"/>
        <family val="4"/>
        <charset val="136"/>
      </rPr>
      <t>飛寶企業</t>
    </r>
  </si>
  <si>
    <r>
      <t xml:space="preserve"> </t>
    </r>
    <r>
      <rPr>
        <sz val="12"/>
        <color theme="1"/>
        <rFont val="標楷體"/>
        <family val="4"/>
        <charset val="136"/>
      </rPr>
      <t>三圓</t>
    </r>
  </si>
  <si>
    <r>
      <t xml:space="preserve"> </t>
    </r>
    <r>
      <rPr>
        <sz val="12"/>
        <color theme="1"/>
        <rFont val="標楷體"/>
        <family val="4"/>
        <charset val="136"/>
      </rPr>
      <t>金洲</t>
    </r>
  </si>
  <si>
    <r>
      <t xml:space="preserve"> </t>
    </r>
    <r>
      <rPr>
        <sz val="12"/>
        <color theme="1"/>
        <rFont val="標楷體"/>
        <family val="4"/>
        <charset val="136"/>
      </rPr>
      <t>元勝</t>
    </r>
  </si>
  <si>
    <r>
      <t xml:space="preserve"> </t>
    </r>
    <r>
      <rPr>
        <sz val="12"/>
        <color theme="1"/>
        <rFont val="標楷體"/>
        <family val="4"/>
        <charset val="136"/>
      </rPr>
      <t>光明</t>
    </r>
  </si>
  <si>
    <r>
      <t xml:space="preserve"> </t>
    </r>
    <r>
      <rPr>
        <sz val="12"/>
        <color theme="1"/>
        <rFont val="標楷體"/>
        <family val="4"/>
        <charset val="136"/>
      </rPr>
      <t>耀億</t>
    </r>
  </si>
  <si>
    <r>
      <t xml:space="preserve"> </t>
    </r>
    <r>
      <rPr>
        <sz val="12"/>
        <color theme="1"/>
        <rFont val="標楷體"/>
        <family val="4"/>
        <charset val="136"/>
      </rPr>
      <t>銘旺實</t>
    </r>
  </si>
  <si>
    <r>
      <t xml:space="preserve"> </t>
    </r>
    <r>
      <rPr>
        <sz val="12"/>
        <color theme="1"/>
        <rFont val="標楷體"/>
        <family val="4"/>
        <charset val="136"/>
      </rPr>
      <t>興采</t>
    </r>
  </si>
  <si>
    <r>
      <t xml:space="preserve"> </t>
    </r>
    <r>
      <rPr>
        <sz val="12"/>
        <color theme="1"/>
        <rFont val="標楷體"/>
        <family val="4"/>
        <charset val="136"/>
      </rPr>
      <t>竣邦</t>
    </r>
    <r>
      <rPr>
        <sz val="12"/>
        <color theme="1"/>
        <rFont val="Times New Roman"/>
        <family val="1"/>
      </rPr>
      <t>-KY</t>
    </r>
  </si>
  <si>
    <r>
      <t xml:space="preserve"> </t>
    </r>
    <r>
      <rPr>
        <sz val="12"/>
        <color theme="1"/>
        <rFont val="標楷體"/>
        <family val="4"/>
        <charset val="136"/>
      </rPr>
      <t>健信</t>
    </r>
  </si>
  <si>
    <r>
      <t xml:space="preserve"> </t>
    </r>
    <r>
      <rPr>
        <sz val="12"/>
        <color theme="1"/>
        <rFont val="標楷體"/>
        <family val="4"/>
        <charset val="136"/>
      </rPr>
      <t>金雨</t>
    </r>
  </si>
  <si>
    <r>
      <t xml:space="preserve"> </t>
    </r>
    <r>
      <rPr>
        <sz val="12"/>
        <color theme="1"/>
        <rFont val="標楷體"/>
        <family val="4"/>
        <charset val="136"/>
      </rPr>
      <t>崇友</t>
    </r>
  </si>
  <si>
    <r>
      <t xml:space="preserve"> </t>
    </r>
    <r>
      <rPr>
        <sz val="12"/>
        <color theme="1"/>
        <rFont val="標楷體"/>
        <family val="4"/>
        <charset val="136"/>
      </rPr>
      <t>高鋒</t>
    </r>
  </si>
  <si>
    <r>
      <t xml:space="preserve"> </t>
    </r>
    <r>
      <rPr>
        <sz val="12"/>
        <color theme="1"/>
        <rFont val="標楷體"/>
        <family val="4"/>
        <charset val="136"/>
      </rPr>
      <t>福裕</t>
    </r>
  </si>
  <si>
    <r>
      <t xml:space="preserve"> </t>
    </r>
    <r>
      <rPr>
        <sz val="12"/>
        <color theme="1"/>
        <rFont val="標楷體"/>
        <family val="4"/>
        <charset val="136"/>
      </rPr>
      <t>永彰</t>
    </r>
  </si>
  <si>
    <r>
      <t xml:space="preserve"> </t>
    </r>
    <r>
      <rPr>
        <sz val="12"/>
        <color theme="1"/>
        <rFont val="標楷體"/>
        <family val="4"/>
        <charset val="136"/>
      </rPr>
      <t>方方土霖</t>
    </r>
  </si>
  <si>
    <r>
      <t xml:space="preserve"> </t>
    </r>
    <r>
      <rPr>
        <sz val="12"/>
        <color theme="1"/>
        <rFont val="標楷體"/>
        <family val="4"/>
        <charset val="136"/>
      </rPr>
      <t>江興鍛</t>
    </r>
  </si>
  <si>
    <r>
      <t xml:space="preserve"> </t>
    </r>
    <r>
      <rPr>
        <sz val="12"/>
        <color theme="1"/>
        <rFont val="標楷體"/>
        <family val="4"/>
        <charset val="136"/>
      </rPr>
      <t>淳紳</t>
    </r>
  </si>
  <si>
    <r>
      <t xml:space="preserve"> </t>
    </r>
    <r>
      <rPr>
        <sz val="12"/>
        <color theme="1"/>
        <rFont val="標楷體"/>
        <family val="4"/>
        <charset val="136"/>
      </rPr>
      <t>宏易</t>
    </r>
  </si>
  <si>
    <r>
      <t xml:space="preserve"> </t>
    </r>
    <r>
      <rPr>
        <sz val="12"/>
        <color theme="1"/>
        <rFont val="標楷體"/>
        <family val="4"/>
        <charset val="136"/>
      </rPr>
      <t>協易機</t>
    </r>
  </si>
  <si>
    <r>
      <t xml:space="preserve"> </t>
    </r>
    <r>
      <rPr>
        <sz val="12"/>
        <color theme="1"/>
        <rFont val="標楷體"/>
        <family val="4"/>
        <charset val="136"/>
      </rPr>
      <t>慶騰</t>
    </r>
  </si>
  <si>
    <r>
      <t xml:space="preserve"> </t>
    </r>
    <r>
      <rPr>
        <sz val="12"/>
        <color theme="1"/>
        <rFont val="標楷體"/>
        <family val="4"/>
        <charset val="136"/>
      </rPr>
      <t>至興</t>
    </r>
  </si>
  <si>
    <r>
      <t xml:space="preserve"> </t>
    </r>
    <r>
      <rPr>
        <sz val="12"/>
        <color theme="1"/>
        <rFont val="標楷體"/>
        <family val="4"/>
        <charset val="136"/>
      </rPr>
      <t>大詠城</t>
    </r>
  </si>
  <si>
    <r>
      <t xml:space="preserve"> </t>
    </r>
    <r>
      <rPr>
        <sz val="12"/>
        <color theme="1"/>
        <rFont val="標楷體"/>
        <family val="4"/>
        <charset val="136"/>
      </rPr>
      <t>晟田</t>
    </r>
  </si>
  <si>
    <r>
      <t xml:space="preserve"> </t>
    </r>
    <r>
      <rPr>
        <sz val="12"/>
        <color theme="1"/>
        <rFont val="標楷體"/>
        <family val="4"/>
        <charset val="136"/>
      </rPr>
      <t>科嶠</t>
    </r>
  </si>
  <si>
    <r>
      <t xml:space="preserve"> </t>
    </r>
    <r>
      <rPr>
        <sz val="12"/>
        <color theme="1"/>
        <rFont val="標楷體"/>
        <family val="4"/>
        <charset val="136"/>
      </rPr>
      <t>萬在</t>
    </r>
  </si>
  <si>
    <r>
      <t xml:space="preserve"> </t>
    </r>
    <r>
      <rPr>
        <sz val="12"/>
        <color theme="1"/>
        <rFont val="標楷體"/>
        <family val="4"/>
        <charset val="136"/>
      </rPr>
      <t>桓達</t>
    </r>
  </si>
  <si>
    <r>
      <t xml:space="preserve"> </t>
    </r>
    <r>
      <rPr>
        <sz val="12"/>
        <color theme="1"/>
        <rFont val="標楷體"/>
        <family val="4"/>
        <charset val="136"/>
      </rPr>
      <t>長佳</t>
    </r>
  </si>
  <si>
    <r>
      <t xml:space="preserve"> </t>
    </r>
    <r>
      <rPr>
        <sz val="12"/>
        <color theme="1"/>
        <rFont val="標楷體"/>
        <family val="4"/>
        <charset val="136"/>
      </rPr>
      <t>橙的</t>
    </r>
  </si>
  <si>
    <r>
      <t xml:space="preserve"> </t>
    </r>
    <r>
      <rPr>
        <sz val="12"/>
        <color theme="1"/>
        <rFont val="標楷體"/>
        <family val="4"/>
        <charset val="136"/>
      </rPr>
      <t>旭然</t>
    </r>
  </si>
  <si>
    <r>
      <t xml:space="preserve"> </t>
    </r>
    <r>
      <rPr>
        <sz val="12"/>
        <color theme="1"/>
        <rFont val="標楷體"/>
        <family val="4"/>
        <charset val="136"/>
      </rPr>
      <t>寶緯</t>
    </r>
  </si>
  <si>
    <r>
      <t xml:space="preserve"> </t>
    </r>
    <r>
      <rPr>
        <sz val="12"/>
        <color theme="1"/>
        <rFont val="標楷體"/>
        <family val="4"/>
        <charset val="136"/>
      </rPr>
      <t>健椿</t>
    </r>
  </si>
  <si>
    <r>
      <t xml:space="preserve"> </t>
    </r>
    <r>
      <rPr>
        <sz val="12"/>
        <color theme="1"/>
        <rFont val="標楷體"/>
        <family val="4"/>
        <charset val="136"/>
      </rPr>
      <t>百德</t>
    </r>
  </si>
  <si>
    <r>
      <t xml:space="preserve"> </t>
    </r>
    <r>
      <rPr>
        <sz val="12"/>
        <color theme="1"/>
        <rFont val="標楷體"/>
        <family val="4"/>
        <charset val="136"/>
      </rPr>
      <t>科際精密</t>
    </r>
  </si>
  <si>
    <r>
      <t xml:space="preserve"> </t>
    </r>
    <r>
      <rPr>
        <sz val="12"/>
        <color theme="1"/>
        <rFont val="標楷體"/>
        <family val="4"/>
        <charset val="136"/>
      </rPr>
      <t>達航</t>
    </r>
  </si>
  <si>
    <r>
      <t xml:space="preserve"> </t>
    </r>
    <r>
      <rPr>
        <sz val="12"/>
        <color theme="1"/>
        <rFont val="標楷體"/>
        <family val="4"/>
        <charset val="136"/>
      </rPr>
      <t>捷流閥業</t>
    </r>
  </si>
  <si>
    <r>
      <t xml:space="preserve"> </t>
    </r>
    <r>
      <rPr>
        <sz val="12"/>
        <color theme="1"/>
        <rFont val="標楷體"/>
        <family val="4"/>
        <charset val="136"/>
      </rPr>
      <t>君帆</t>
    </r>
  </si>
  <si>
    <r>
      <t xml:space="preserve"> </t>
    </r>
    <r>
      <rPr>
        <sz val="12"/>
        <color theme="1"/>
        <rFont val="標楷體"/>
        <family val="4"/>
        <charset val="136"/>
      </rPr>
      <t>唐鋒</t>
    </r>
  </si>
  <si>
    <r>
      <t xml:space="preserve"> </t>
    </r>
    <r>
      <rPr>
        <sz val="12"/>
        <color theme="1"/>
        <rFont val="標楷體"/>
        <family val="4"/>
        <charset val="136"/>
      </rPr>
      <t>中美實</t>
    </r>
  </si>
  <si>
    <r>
      <t xml:space="preserve"> </t>
    </r>
    <r>
      <rPr>
        <sz val="12"/>
        <color theme="1"/>
        <rFont val="標楷體"/>
        <family val="4"/>
        <charset val="136"/>
      </rPr>
      <t>大恭</t>
    </r>
  </si>
  <si>
    <r>
      <t xml:space="preserve"> </t>
    </r>
    <r>
      <rPr>
        <sz val="12"/>
        <color theme="1"/>
        <rFont val="標楷體"/>
        <family val="4"/>
        <charset val="136"/>
      </rPr>
      <t>磐亞</t>
    </r>
  </si>
  <si>
    <r>
      <t xml:space="preserve"> </t>
    </r>
    <r>
      <rPr>
        <sz val="12"/>
        <color theme="1"/>
        <rFont val="標楷體"/>
        <family val="4"/>
        <charset val="136"/>
      </rPr>
      <t>永純</t>
    </r>
  </si>
  <si>
    <r>
      <t xml:space="preserve"> </t>
    </r>
    <r>
      <rPr>
        <sz val="12"/>
        <color theme="1"/>
        <rFont val="標楷體"/>
        <family val="4"/>
        <charset val="136"/>
      </rPr>
      <t>南璋</t>
    </r>
  </si>
  <si>
    <r>
      <t xml:space="preserve"> </t>
    </r>
    <r>
      <rPr>
        <sz val="12"/>
        <color theme="1"/>
        <rFont val="標楷體"/>
        <family val="4"/>
        <charset val="136"/>
      </rPr>
      <t>永捷</t>
    </r>
  </si>
  <si>
    <r>
      <t xml:space="preserve"> </t>
    </r>
    <r>
      <rPr>
        <sz val="12"/>
        <color theme="1"/>
        <rFont val="標楷體"/>
        <family val="4"/>
        <charset val="136"/>
      </rPr>
      <t>大立</t>
    </r>
  </si>
  <si>
    <r>
      <t xml:space="preserve"> </t>
    </r>
    <r>
      <rPr>
        <sz val="12"/>
        <color theme="1"/>
        <rFont val="標楷體"/>
        <family val="4"/>
        <charset val="136"/>
      </rPr>
      <t>美琪瑪</t>
    </r>
  </si>
  <si>
    <r>
      <t xml:space="preserve"> </t>
    </r>
    <r>
      <rPr>
        <sz val="12"/>
        <color theme="1"/>
        <rFont val="標楷體"/>
        <family val="4"/>
        <charset val="136"/>
      </rPr>
      <t>永昕</t>
    </r>
  </si>
  <si>
    <r>
      <t xml:space="preserve"> </t>
    </r>
    <r>
      <rPr>
        <sz val="12"/>
        <color theme="1"/>
        <rFont val="標楷體"/>
        <family val="4"/>
        <charset val="136"/>
      </rPr>
      <t>雙美</t>
    </r>
  </si>
  <si>
    <r>
      <t xml:space="preserve"> </t>
    </r>
    <r>
      <rPr>
        <sz val="12"/>
        <color theme="1"/>
        <rFont val="標楷體"/>
        <family val="4"/>
        <charset val="136"/>
      </rPr>
      <t>熒茂</t>
    </r>
  </si>
  <si>
    <r>
      <t xml:space="preserve"> </t>
    </r>
    <r>
      <rPr>
        <sz val="12"/>
        <color theme="1"/>
        <rFont val="標楷體"/>
        <family val="4"/>
        <charset val="136"/>
      </rPr>
      <t>豪展</t>
    </r>
  </si>
  <si>
    <r>
      <t xml:space="preserve"> </t>
    </r>
    <r>
      <rPr>
        <sz val="12"/>
        <color theme="1"/>
        <rFont val="標楷體"/>
        <family val="4"/>
        <charset val="136"/>
      </rPr>
      <t>泓瀚</t>
    </r>
  </si>
  <si>
    <r>
      <t xml:space="preserve"> </t>
    </r>
    <r>
      <rPr>
        <sz val="12"/>
        <color theme="1"/>
        <rFont val="標楷體"/>
        <family val="4"/>
        <charset val="136"/>
      </rPr>
      <t>合一</t>
    </r>
  </si>
  <si>
    <r>
      <t xml:space="preserve"> </t>
    </r>
    <r>
      <rPr>
        <sz val="12"/>
        <color theme="1"/>
        <rFont val="標楷體"/>
        <family val="4"/>
        <charset val="136"/>
      </rPr>
      <t>皇將</t>
    </r>
  </si>
  <si>
    <r>
      <t xml:space="preserve"> </t>
    </r>
    <r>
      <rPr>
        <sz val="12"/>
        <color theme="1"/>
        <rFont val="標楷體"/>
        <family val="4"/>
        <charset val="136"/>
      </rPr>
      <t>合富</t>
    </r>
    <r>
      <rPr>
        <sz val="12"/>
        <color theme="1"/>
        <rFont val="Times New Roman"/>
        <family val="1"/>
      </rPr>
      <t>-KY</t>
    </r>
  </si>
  <si>
    <r>
      <t xml:space="preserve"> </t>
    </r>
    <r>
      <rPr>
        <sz val="12"/>
        <color theme="1"/>
        <rFont val="標楷體"/>
        <family val="4"/>
        <charset val="136"/>
      </rPr>
      <t>強生</t>
    </r>
  </si>
  <si>
    <r>
      <t xml:space="preserve"> </t>
    </r>
    <r>
      <rPr>
        <sz val="12"/>
        <color theme="1"/>
        <rFont val="標楷體"/>
        <family val="4"/>
        <charset val="136"/>
      </rPr>
      <t>國碳科</t>
    </r>
  </si>
  <si>
    <r>
      <t xml:space="preserve"> </t>
    </r>
    <r>
      <rPr>
        <sz val="12"/>
        <color theme="1"/>
        <rFont val="標楷體"/>
        <family val="4"/>
        <charset val="136"/>
      </rPr>
      <t>勤凱</t>
    </r>
  </si>
  <si>
    <r>
      <t xml:space="preserve"> </t>
    </r>
    <r>
      <rPr>
        <sz val="12"/>
        <color theme="1"/>
        <rFont val="標楷體"/>
        <family val="4"/>
        <charset val="136"/>
      </rPr>
      <t>誠泰科技</t>
    </r>
  </si>
  <si>
    <r>
      <t xml:space="preserve"> </t>
    </r>
    <r>
      <rPr>
        <sz val="12"/>
        <color theme="1"/>
        <rFont val="標楷體"/>
        <family val="4"/>
        <charset val="136"/>
      </rPr>
      <t>晶呈科技</t>
    </r>
  </si>
  <si>
    <r>
      <t xml:space="preserve"> </t>
    </r>
    <r>
      <rPr>
        <sz val="12"/>
        <color theme="1"/>
        <rFont val="標楷體"/>
        <family val="4"/>
        <charset val="136"/>
      </rPr>
      <t>大略</t>
    </r>
    <r>
      <rPr>
        <sz val="12"/>
        <color theme="1"/>
        <rFont val="Times New Roman"/>
        <family val="1"/>
      </rPr>
      <t>-KY</t>
    </r>
  </si>
  <si>
    <r>
      <t xml:space="preserve"> </t>
    </r>
    <r>
      <rPr>
        <sz val="12"/>
        <color theme="1"/>
        <rFont val="標楷體"/>
        <family val="4"/>
        <charset val="136"/>
      </rPr>
      <t>昇華</t>
    </r>
  </si>
  <si>
    <r>
      <t xml:space="preserve"> </t>
    </r>
    <r>
      <rPr>
        <sz val="12"/>
        <color theme="1"/>
        <rFont val="標楷體"/>
        <family val="4"/>
        <charset val="136"/>
      </rPr>
      <t>聯光通</t>
    </r>
  </si>
  <si>
    <r>
      <t xml:space="preserve"> </t>
    </r>
    <r>
      <rPr>
        <sz val="12"/>
        <color theme="1"/>
        <rFont val="標楷體"/>
        <family val="4"/>
        <charset val="136"/>
      </rPr>
      <t>台聯電</t>
    </r>
  </si>
  <si>
    <r>
      <t xml:space="preserve"> </t>
    </r>
    <r>
      <rPr>
        <sz val="12"/>
        <color theme="1"/>
        <rFont val="標楷體"/>
        <family val="4"/>
        <charset val="136"/>
      </rPr>
      <t>富宇</t>
    </r>
  </si>
  <si>
    <r>
      <t xml:space="preserve"> </t>
    </r>
    <r>
      <rPr>
        <sz val="12"/>
        <color theme="1"/>
        <rFont val="標楷體"/>
        <family val="4"/>
        <charset val="136"/>
      </rPr>
      <t>前鼎</t>
    </r>
  </si>
  <si>
    <r>
      <t xml:space="preserve"> </t>
    </r>
    <r>
      <rPr>
        <sz val="12"/>
        <color theme="1"/>
        <rFont val="標楷體"/>
        <family val="4"/>
        <charset val="136"/>
      </rPr>
      <t>新復興</t>
    </r>
  </si>
  <si>
    <r>
      <t xml:space="preserve"> </t>
    </r>
    <r>
      <rPr>
        <sz val="12"/>
        <color theme="1"/>
        <rFont val="標楷體"/>
        <family val="4"/>
        <charset val="136"/>
      </rPr>
      <t>德英</t>
    </r>
  </si>
  <si>
    <r>
      <t xml:space="preserve"> </t>
    </r>
    <r>
      <rPr>
        <sz val="12"/>
        <color theme="1"/>
        <rFont val="標楷體"/>
        <family val="4"/>
        <charset val="136"/>
      </rPr>
      <t>力士</t>
    </r>
  </si>
  <si>
    <r>
      <t xml:space="preserve"> </t>
    </r>
    <r>
      <rPr>
        <sz val="12"/>
        <color theme="1"/>
        <rFont val="標楷體"/>
        <family val="4"/>
        <charset val="136"/>
      </rPr>
      <t>欣厚</t>
    </r>
    <r>
      <rPr>
        <sz val="12"/>
        <color theme="1"/>
        <rFont val="Times New Roman"/>
        <family val="1"/>
      </rPr>
      <t>-KY</t>
    </r>
  </si>
  <si>
    <r>
      <t xml:space="preserve"> </t>
    </r>
    <r>
      <rPr>
        <sz val="12"/>
        <color theme="1"/>
        <rFont val="標楷體"/>
        <family val="4"/>
        <charset val="136"/>
      </rPr>
      <t>新盛力</t>
    </r>
  </si>
  <si>
    <r>
      <t xml:space="preserve"> </t>
    </r>
    <r>
      <rPr>
        <sz val="12"/>
        <color theme="1"/>
        <rFont val="標楷體"/>
        <family val="4"/>
        <charset val="136"/>
      </rPr>
      <t>友輝</t>
    </r>
  </si>
  <si>
    <r>
      <t xml:space="preserve"> </t>
    </r>
    <r>
      <rPr>
        <sz val="12"/>
        <color theme="1"/>
        <rFont val="標楷體"/>
        <family val="4"/>
        <charset val="136"/>
      </rPr>
      <t>亞電</t>
    </r>
  </si>
  <si>
    <r>
      <t xml:space="preserve"> </t>
    </r>
    <r>
      <rPr>
        <sz val="12"/>
        <color theme="1"/>
        <rFont val="標楷體"/>
        <family val="4"/>
        <charset val="136"/>
      </rPr>
      <t>陞達科技</t>
    </r>
  </si>
  <si>
    <r>
      <t xml:space="preserve"> </t>
    </r>
    <r>
      <rPr>
        <sz val="12"/>
        <color theme="1"/>
        <rFont val="標楷體"/>
        <family val="4"/>
        <charset val="136"/>
      </rPr>
      <t>辣椒</t>
    </r>
  </si>
  <si>
    <r>
      <t xml:space="preserve"> </t>
    </r>
    <r>
      <rPr>
        <sz val="12"/>
        <color theme="1"/>
        <rFont val="標楷體"/>
        <family val="4"/>
        <charset val="136"/>
      </rPr>
      <t>牧東</t>
    </r>
  </si>
  <si>
    <r>
      <t xml:space="preserve"> </t>
    </r>
    <r>
      <rPr>
        <sz val="12"/>
        <color theme="1"/>
        <rFont val="標楷體"/>
        <family val="4"/>
        <charset val="136"/>
      </rPr>
      <t>精拓科</t>
    </r>
  </si>
  <si>
    <r>
      <t xml:space="preserve"> </t>
    </r>
    <r>
      <rPr>
        <sz val="12"/>
        <color theme="1"/>
        <rFont val="標楷體"/>
        <family val="4"/>
        <charset val="136"/>
      </rPr>
      <t>緯軟</t>
    </r>
  </si>
  <si>
    <r>
      <t xml:space="preserve"> </t>
    </r>
    <r>
      <rPr>
        <sz val="12"/>
        <color theme="1"/>
        <rFont val="標楷體"/>
        <family val="4"/>
        <charset val="136"/>
      </rPr>
      <t>譜瑞</t>
    </r>
    <r>
      <rPr>
        <sz val="12"/>
        <color theme="1"/>
        <rFont val="Times New Roman"/>
        <family val="1"/>
      </rPr>
      <t>-KY</t>
    </r>
  </si>
  <si>
    <r>
      <t xml:space="preserve"> </t>
    </r>
    <r>
      <rPr>
        <sz val="12"/>
        <color theme="1"/>
        <rFont val="標楷體"/>
        <family val="4"/>
        <charset val="136"/>
      </rPr>
      <t>湯石照明</t>
    </r>
  </si>
  <si>
    <r>
      <t xml:space="preserve"> </t>
    </r>
    <r>
      <rPr>
        <sz val="12"/>
        <color theme="1"/>
        <rFont val="標楷體"/>
        <family val="4"/>
        <charset val="136"/>
      </rPr>
      <t>廣穎</t>
    </r>
  </si>
  <si>
    <r>
      <t xml:space="preserve"> </t>
    </r>
    <r>
      <rPr>
        <sz val="12"/>
        <color theme="1"/>
        <rFont val="標楷體"/>
        <family val="4"/>
        <charset val="136"/>
      </rPr>
      <t>亞泰</t>
    </r>
  </si>
  <si>
    <r>
      <t xml:space="preserve"> </t>
    </r>
    <r>
      <rPr>
        <sz val="12"/>
        <color theme="1"/>
        <rFont val="標楷體"/>
        <family val="4"/>
        <charset val="136"/>
      </rPr>
      <t>華星光</t>
    </r>
  </si>
  <si>
    <r>
      <t xml:space="preserve"> </t>
    </r>
    <r>
      <rPr>
        <sz val="12"/>
        <color theme="1"/>
        <rFont val="標楷體"/>
        <family val="4"/>
        <charset val="136"/>
      </rPr>
      <t>科誠</t>
    </r>
  </si>
  <si>
    <r>
      <t xml:space="preserve"> </t>
    </r>
    <r>
      <rPr>
        <sz val="12"/>
        <color theme="1"/>
        <rFont val="標楷體"/>
        <family val="4"/>
        <charset val="136"/>
      </rPr>
      <t>環宇</t>
    </r>
    <r>
      <rPr>
        <sz val="12"/>
        <color theme="1"/>
        <rFont val="Times New Roman"/>
        <family val="1"/>
      </rPr>
      <t>-KY</t>
    </r>
  </si>
  <si>
    <r>
      <t xml:space="preserve"> </t>
    </r>
    <r>
      <rPr>
        <sz val="12"/>
        <color theme="1"/>
        <rFont val="標楷體"/>
        <family val="4"/>
        <charset val="136"/>
      </rPr>
      <t>晶達</t>
    </r>
  </si>
  <si>
    <r>
      <t xml:space="preserve"> </t>
    </r>
    <r>
      <rPr>
        <sz val="12"/>
        <color theme="1"/>
        <rFont val="標楷體"/>
        <family val="4"/>
        <charset val="136"/>
      </rPr>
      <t>榮剛</t>
    </r>
  </si>
  <si>
    <r>
      <t xml:space="preserve"> </t>
    </r>
    <r>
      <rPr>
        <sz val="12"/>
        <color theme="1"/>
        <rFont val="標楷體"/>
        <family val="4"/>
        <charset val="136"/>
      </rPr>
      <t>久陽</t>
    </r>
  </si>
  <si>
    <r>
      <t xml:space="preserve"> </t>
    </r>
    <r>
      <rPr>
        <sz val="12"/>
        <color theme="1"/>
        <rFont val="標楷體"/>
        <family val="4"/>
        <charset val="136"/>
      </rPr>
      <t>強新</t>
    </r>
  </si>
  <si>
    <r>
      <t xml:space="preserve"> </t>
    </r>
    <r>
      <rPr>
        <sz val="12"/>
        <color theme="1"/>
        <rFont val="標楷體"/>
        <family val="4"/>
        <charset val="136"/>
      </rPr>
      <t>建錩</t>
    </r>
  </si>
  <si>
    <r>
      <t xml:space="preserve"> </t>
    </r>
    <r>
      <rPr>
        <sz val="12"/>
        <color theme="1"/>
        <rFont val="標楷體"/>
        <family val="4"/>
        <charset val="136"/>
      </rPr>
      <t>華祺</t>
    </r>
  </si>
  <si>
    <r>
      <t xml:space="preserve"> </t>
    </r>
    <r>
      <rPr>
        <sz val="12"/>
        <color theme="1"/>
        <rFont val="標楷體"/>
        <family val="4"/>
        <charset val="136"/>
      </rPr>
      <t>松和</t>
    </r>
  </si>
  <si>
    <r>
      <t xml:space="preserve"> </t>
    </r>
    <r>
      <rPr>
        <sz val="12"/>
        <color theme="1"/>
        <rFont val="標楷體"/>
        <family val="4"/>
        <charset val="136"/>
      </rPr>
      <t>凱衛</t>
    </r>
  </si>
  <si>
    <r>
      <t xml:space="preserve"> </t>
    </r>
    <r>
      <rPr>
        <sz val="12"/>
        <color theme="1"/>
        <rFont val="標楷體"/>
        <family val="4"/>
        <charset val="136"/>
      </rPr>
      <t>力新</t>
    </r>
  </si>
  <si>
    <r>
      <t xml:space="preserve"> </t>
    </r>
    <r>
      <rPr>
        <sz val="12"/>
        <color theme="1"/>
        <rFont val="標楷體"/>
        <family val="4"/>
        <charset val="136"/>
      </rPr>
      <t>中茂</t>
    </r>
  </si>
  <si>
    <r>
      <t xml:space="preserve"> </t>
    </r>
    <r>
      <rPr>
        <sz val="12"/>
        <color theme="1"/>
        <rFont val="標楷體"/>
        <family val="4"/>
        <charset val="136"/>
      </rPr>
      <t>坤悅</t>
    </r>
  </si>
  <si>
    <r>
      <t xml:space="preserve"> </t>
    </r>
    <r>
      <rPr>
        <sz val="12"/>
        <color theme="1"/>
        <rFont val="標楷體"/>
        <family val="4"/>
        <charset val="136"/>
      </rPr>
      <t>新鼎</t>
    </r>
  </si>
  <si>
    <r>
      <t xml:space="preserve"> </t>
    </r>
    <r>
      <rPr>
        <sz val="12"/>
        <color theme="1"/>
        <rFont val="標楷體"/>
        <family val="4"/>
        <charset val="136"/>
      </rPr>
      <t>寶碩</t>
    </r>
  </si>
  <si>
    <r>
      <t xml:space="preserve"> </t>
    </r>
    <r>
      <rPr>
        <sz val="12"/>
        <color theme="1"/>
        <rFont val="標楷體"/>
        <family val="4"/>
        <charset val="136"/>
      </rPr>
      <t>蒙恬</t>
    </r>
  </si>
  <si>
    <r>
      <t xml:space="preserve"> </t>
    </r>
    <r>
      <rPr>
        <sz val="12"/>
        <color theme="1"/>
        <rFont val="標楷體"/>
        <family val="4"/>
        <charset val="136"/>
      </rPr>
      <t>凌網</t>
    </r>
  </si>
  <si>
    <r>
      <t xml:space="preserve"> </t>
    </r>
    <r>
      <rPr>
        <sz val="12"/>
        <color theme="1"/>
        <rFont val="標楷體"/>
        <family val="4"/>
        <charset val="136"/>
      </rPr>
      <t>亞昕</t>
    </r>
  </si>
  <si>
    <r>
      <t xml:space="preserve"> </t>
    </r>
    <r>
      <rPr>
        <sz val="12"/>
        <color theme="1"/>
        <rFont val="標楷體"/>
        <family val="4"/>
        <charset val="136"/>
      </rPr>
      <t>萬達光電</t>
    </r>
  </si>
  <si>
    <r>
      <t xml:space="preserve"> </t>
    </r>
    <r>
      <rPr>
        <sz val="12"/>
        <color theme="1"/>
        <rFont val="標楷體"/>
        <family val="4"/>
        <charset val="136"/>
      </rPr>
      <t>安力</t>
    </r>
    <r>
      <rPr>
        <sz val="12"/>
        <color theme="1"/>
        <rFont val="Times New Roman"/>
        <family val="1"/>
      </rPr>
      <t>-KY</t>
    </r>
  </si>
  <si>
    <r>
      <t xml:space="preserve"> </t>
    </r>
    <r>
      <rPr>
        <sz val="12"/>
        <color theme="1"/>
        <rFont val="標楷體"/>
        <family val="4"/>
        <charset val="136"/>
      </rPr>
      <t>立凱</t>
    </r>
    <r>
      <rPr>
        <sz val="12"/>
        <color theme="1"/>
        <rFont val="Times New Roman"/>
        <family val="1"/>
      </rPr>
      <t>-KY</t>
    </r>
  </si>
  <si>
    <r>
      <t xml:space="preserve"> </t>
    </r>
    <r>
      <rPr>
        <sz val="12"/>
        <color theme="1"/>
        <rFont val="標楷體"/>
        <family val="4"/>
        <charset val="136"/>
      </rPr>
      <t>鈺鎧</t>
    </r>
  </si>
  <si>
    <r>
      <t xml:space="preserve"> </t>
    </r>
    <r>
      <rPr>
        <sz val="12"/>
        <color theme="1"/>
        <rFont val="標楷體"/>
        <family val="4"/>
        <charset val="136"/>
      </rPr>
      <t>雷笛克光學</t>
    </r>
  </si>
  <si>
    <r>
      <t xml:space="preserve"> </t>
    </r>
    <r>
      <rPr>
        <sz val="12"/>
        <color theme="1"/>
        <rFont val="標楷體"/>
        <family val="4"/>
        <charset val="136"/>
      </rPr>
      <t>凌陽創新</t>
    </r>
  </si>
  <si>
    <r>
      <t xml:space="preserve"> </t>
    </r>
    <r>
      <rPr>
        <sz val="12"/>
        <color theme="1"/>
        <rFont val="標楷體"/>
        <family val="4"/>
        <charset val="136"/>
      </rPr>
      <t>智晶</t>
    </r>
  </si>
  <si>
    <r>
      <t xml:space="preserve"> </t>
    </r>
    <r>
      <rPr>
        <sz val="12"/>
        <color theme="1"/>
        <rFont val="標楷體"/>
        <family val="4"/>
        <charset val="136"/>
      </rPr>
      <t>天鉞電</t>
    </r>
  </si>
  <si>
    <r>
      <t xml:space="preserve"> </t>
    </r>
    <r>
      <rPr>
        <sz val="12"/>
        <color theme="1"/>
        <rFont val="標楷體"/>
        <family val="4"/>
        <charset val="136"/>
      </rPr>
      <t>智崴</t>
    </r>
  </si>
  <si>
    <r>
      <t xml:space="preserve"> </t>
    </r>
    <r>
      <rPr>
        <sz val="12"/>
        <color theme="1"/>
        <rFont val="標楷體"/>
        <family val="4"/>
        <charset val="136"/>
      </rPr>
      <t>笙科</t>
    </r>
  </si>
  <si>
    <r>
      <t xml:space="preserve"> </t>
    </r>
    <r>
      <rPr>
        <sz val="12"/>
        <color theme="1"/>
        <rFont val="標楷體"/>
        <family val="4"/>
        <charset val="136"/>
      </rPr>
      <t>信驊</t>
    </r>
  </si>
  <si>
    <r>
      <t xml:space="preserve"> </t>
    </r>
    <r>
      <rPr>
        <sz val="12"/>
        <color theme="1"/>
        <rFont val="標楷體"/>
        <family val="4"/>
        <charset val="136"/>
      </rPr>
      <t>達輝</t>
    </r>
    <r>
      <rPr>
        <sz val="12"/>
        <color theme="1"/>
        <rFont val="Times New Roman"/>
        <family val="1"/>
      </rPr>
      <t>-KY</t>
    </r>
  </si>
  <si>
    <r>
      <t xml:space="preserve"> </t>
    </r>
    <r>
      <rPr>
        <sz val="12"/>
        <color theme="1"/>
        <rFont val="標楷體"/>
        <family val="4"/>
        <charset val="136"/>
      </rPr>
      <t>尚凡</t>
    </r>
  </si>
  <si>
    <r>
      <t xml:space="preserve"> </t>
    </r>
    <r>
      <rPr>
        <sz val="12"/>
        <color theme="1"/>
        <rFont val="標楷體"/>
        <family val="4"/>
        <charset val="136"/>
      </rPr>
      <t>數字</t>
    </r>
  </si>
  <si>
    <r>
      <t xml:space="preserve"> </t>
    </r>
    <r>
      <rPr>
        <sz val="12"/>
        <color theme="1"/>
        <rFont val="標楷體"/>
        <family val="4"/>
        <charset val="136"/>
      </rPr>
      <t>宜鼎</t>
    </r>
  </si>
  <si>
    <r>
      <t xml:space="preserve"> </t>
    </r>
    <r>
      <rPr>
        <sz val="12"/>
        <color theme="1"/>
        <rFont val="標楷體"/>
        <family val="4"/>
        <charset val="136"/>
      </rPr>
      <t>邑昇</t>
    </r>
  </si>
  <si>
    <r>
      <t xml:space="preserve"> </t>
    </r>
    <r>
      <rPr>
        <sz val="12"/>
        <color theme="1"/>
        <rFont val="標楷體"/>
        <family val="4"/>
        <charset val="136"/>
      </rPr>
      <t>杰力</t>
    </r>
  </si>
  <si>
    <r>
      <t xml:space="preserve"> </t>
    </r>
    <r>
      <rPr>
        <sz val="12"/>
        <color theme="1"/>
        <rFont val="標楷體"/>
        <family val="4"/>
        <charset val="136"/>
      </rPr>
      <t>寶得利</t>
    </r>
  </si>
  <si>
    <r>
      <t xml:space="preserve"> </t>
    </r>
    <r>
      <rPr>
        <sz val="12"/>
        <color theme="1"/>
        <rFont val="標楷體"/>
        <family val="4"/>
        <charset val="136"/>
      </rPr>
      <t>太欣</t>
    </r>
  </si>
  <si>
    <r>
      <t xml:space="preserve"> </t>
    </r>
    <r>
      <rPr>
        <sz val="12"/>
        <color theme="1"/>
        <rFont val="標楷體"/>
        <family val="4"/>
        <charset val="136"/>
      </rPr>
      <t>系統電</t>
    </r>
  </si>
  <si>
    <r>
      <t xml:space="preserve"> </t>
    </r>
    <r>
      <rPr>
        <sz val="12"/>
        <color theme="1"/>
        <rFont val="標楷體"/>
        <family val="4"/>
        <charset val="136"/>
      </rPr>
      <t>天剛</t>
    </r>
  </si>
  <si>
    <r>
      <t xml:space="preserve"> </t>
    </r>
    <r>
      <rPr>
        <sz val="12"/>
        <color theme="1"/>
        <rFont val="標楷體"/>
        <family val="4"/>
        <charset val="136"/>
      </rPr>
      <t>寶島科</t>
    </r>
  </si>
  <si>
    <r>
      <t xml:space="preserve"> </t>
    </r>
    <r>
      <rPr>
        <sz val="12"/>
        <color theme="1"/>
        <rFont val="標楷體"/>
        <family val="4"/>
        <charset val="136"/>
      </rPr>
      <t>世紀</t>
    </r>
  </si>
  <si>
    <r>
      <t xml:space="preserve"> </t>
    </r>
    <r>
      <rPr>
        <sz val="12"/>
        <color theme="1"/>
        <rFont val="標楷體"/>
        <family val="4"/>
        <charset val="136"/>
      </rPr>
      <t>光聯</t>
    </r>
  </si>
  <si>
    <r>
      <t xml:space="preserve"> </t>
    </r>
    <r>
      <rPr>
        <sz val="12"/>
        <color theme="1"/>
        <rFont val="標楷體"/>
        <family val="4"/>
        <charset val="136"/>
      </rPr>
      <t>美而快</t>
    </r>
  </si>
  <si>
    <r>
      <t xml:space="preserve"> </t>
    </r>
    <r>
      <rPr>
        <sz val="12"/>
        <color theme="1"/>
        <rFont val="標楷體"/>
        <family val="4"/>
        <charset val="136"/>
      </rPr>
      <t>士開</t>
    </r>
  </si>
  <si>
    <r>
      <t xml:space="preserve"> </t>
    </r>
    <r>
      <rPr>
        <sz val="12"/>
        <color theme="1"/>
        <rFont val="標楷體"/>
        <family val="4"/>
        <charset val="136"/>
      </rPr>
      <t>華容</t>
    </r>
  </si>
  <si>
    <r>
      <t xml:space="preserve"> </t>
    </r>
    <r>
      <rPr>
        <sz val="12"/>
        <color theme="1"/>
        <rFont val="標楷體"/>
        <family val="4"/>
        <charset val="136"/>
      </rPr>
      <t>建榮</t>
    </r>
  </si>
  <si>
    <r>
      <t xml:space="preserve"> </t>
    </r>
    <r>
      <rPr>
        <sz val="12"/>
        <color theme="1"/>
        <rFont val="標楷體"/>
        <family val="4"/>
        <charset val="136"/>
      </rPr>
      <t>立衛</t>
    </r>
  </si>
  <si>
    <r>
      <t xml:space="preserve"> </t>
    </r>
    <r>
      <rPr>
        <sz val="12"/>
        <color theme="1"/>
        <rFont val="標楷體"/>
        <family val="4"/>
        <charset val="136"/>
      </rPr>
      <t>天揚</t>
    </r>
  </si>
  <si>
    <r>
      <t xml:space="preserve"> </t>
    </r>
    <r>
      <rPr>
        <sz val="12"/>
        <color theme="1"/>
        <rFont val="標楷體"/>
        <family val="4"/>
        <charset val="136"/>
      </rPr>
      <t>世界</t>
    </r>
  </si>
  <si>
    <r>
      <t xml:space="preserve"> </t>
    </r>
    <r>
      <rPr>
        <sz val="12"/>
        <color theme="1"/>
        <rFont val="標楷體"/>
        <family val="4"/>
        <charset val="136"/>
      </rPr>
      <t>正能量智能</t>
    </r>
  </si>
  <si>
    <r>
      <t xml:space="preserve"> </t>
    </r>
    <r>
      <rPr>
        <sz val="12"/>
        <color theme="1"/>
        <rFont val="標楷體"/>
        <family val="4"/>
        <charset val="136"/>
      </rPr>
      <t>鈺創</t>
    </r>
  </si>
  <si>
    <r>
      <t xml:space="preserve"> </t>
    </r>
    <r>
      <rPr>
        <sz val="12"/>
        <color theme="1"/>
        <rFont val="標楷體"/>
        <family val="4"/>
        <charset val="136"/>
      </rPr>
      <t>台林</t>
    </r>
  </si>
  <si>
    <r>
      <t xml:space="preserve"> </t>
    </r>
    <r>
      <rPr>
        <sz val="12"/>
        <color theme="1"/>
        <rFont val="標楷體"/>
        <family val="4"/>
        <charset val="136"/>
      </rPr>
      <t>佳總</t>
    </r>
  </si>
  <si>
    <r>
      <t xml:space="preserve"> </t>
    </r>
    <r>
      <rPr>
        <sz val="12"/>
        <color theme="1"/>
        <rFont val="標楷體"/>
        <family val="4"/>
        <charset val="136"/>
      </rPr>
      <t>協益</t>
    </r>
  </si>
  <si>
    <r>
      <t xml:space="preserve"> </t>
    </r>
    <r>
      <rPr>
        <sz val="12"/>
        <color theme="1"/>
        <rFont val="標楷體"/>
        <family val="4"/>
        <charset val="136"/>
      </rPr>
      <t>力麗店</t>
    </r>
  </si>
  <si>
    <r>
      <t xml:space="preserve"> </t>
    </r>
    <r>
      <rPr>
        <sz val="12"/>
        <color theme="1"/>
        <rFont val="標楷體"/>
        <family val="4"/>
        <charset val="136"/>
      </rPr>
      <t>中光電</t>
    </r>
  </si>
  <si>
    <r>
      <t xml:space="preserve"> </t>
    </r>
    <r>
      <rPr>
        <sz val="12"/>
        <color theme="1"/>
        <rFont val="標楷體"/>
        <family val="4"/>
        <charset val="136"/>
      </rPr>
      <t>合正</t>
    </r>
  </si>
  <si>
    <r>
      <t xml:space="preserve"> </t>
    </r>
    <r>
      <rPr>
        <sz val="12"/>
        <color theme="1"/>
        <rFont val="標楷體"/>
        <family val="4"/>
        <charset val="136"/>
      </rPr>
      <t>金利</t>
    </r>
  </si>
  <si>
    <r>
      <t xml:space="preserve"> </t>
    </r>
    <r>
      <rPr>
        <sz val="12"/>
        <color theme="1"/>
        <rFont val="標楷體"/>
        <family val="4"/>
        <charset val="136"/>
      </rPr>
      <t>青雲</t>
    </r>
  </si>
  <si>
    <r>
      <t xml:space="preserve"> </t>
    </r>
    <r>
      <rPr>
        <sz val="12"/>
        <color theme="1"/>
        <rFont val="標楷體"/>
        <family val="4"/>
        <charset val="136"/>
      </rPr>
      <t>能率</t>
    </r>
  </si>
  <si>
    <r>
      <t xml:space="preserve"> </t>
    </r>
    <r>
      <rPr>
        <sz val="12"/>
        <color theme="1"/>
        <rFont val="標楷體"/>
        <family val="4"/>
        <charset val="136"/>
      </rPr>
      <t>慕康生醫</t>
    </r>
  </si>
  <si>
    <r>
      <t xml:space="preserve"> </t>
    </r>
    <r>
      <rPr>
        <sz val="12"/>
        <color theme="1"/>
        <rFont val="標楷體"/>
        <family val="4"/>
        <charset val="136"/>
      </rPr>
      <t>中菲</t>
    </r>
  </si>
  <si>
    <r>
      <t xml:space="preserve"> </t>
    </r>
    <r>
      <rPr>
        <sz val="12"/>
        <color theme="1"/>
        <rFont val="標楷體"/>
        <family val="4"/>
        <charset val="136"/>
      </rPr>
      <t>國眾</t>
    </r>
  </si>
  <si>
    <r>
      <t xml:space="preserve"> </t>
    </r>
    <r>
      <rPr>
        <sz val="12"/>
        <color theme="1"/>
        <rFont val="標楷體"/>
        <family val="4"/>
        <charset val="136"/>
      </rPr>
      <t>台半</t>
    </r>
  </si>
  <si>
    <r>
      <t xml:space="preserve"> </t>
    </r>
    <r>
      <rPr>
        <sz val="12"/>
        <color theme="1"/>
        <rFont val="標楷體"/>
        <family val="4"/>
        <charset val="136"/>
      </rPr>
      <t>振發</t>
    </r>
  </si>
  <si>
    <r>
      <t xml:space="preserve"> </t>
    </r>
    <r>
      <rPr>
        <sz val="12"/>
        <color theme="1"/>
        <rFont val="標楷體"/>
        <family val="4"/>
        <charset val="136"/>
      </rPr>
      <t>新門</t>
    </r>
  </si>
  <si>
    <r>
      <t xml:space="preserve"> </t>
    </r>
    <r>
      <rPr>
        <sz val="12"/>
        <color theme="1"/>
        <rFont val="標楷體"/>
        <family val="4"/>
        <charset val="136"/>
      </rPr>
      <t>東友</t>
    </r>
  </si>
  <si>
    <r>
      <t xml:space="preserve"> </t>
    </r>
    <r>
      <rPr>
        <sz val="12"/>
        <color theme="1"/>
        <rFont val="標楷體"/>
        <family val="4"/>
        <charset val="136"/>
      </rPr>
      <t>高技</t>
    </r>
  </si>
  <si>
    <r>
      <t xml:space="preserve"> </t>
    </r>
    <r>
      <rPr>
        <sz val="12"/>
        <color theme="1"/>
        <rFont val="標楷體"/>
        <family val="4"/>
        <charset val="136"/>
      </rPr>
      <t>均豪</t>
    </r>
  </si>
  <si>
    <r>
      <t xml:space="preserve"> </t>
    </r>
    <r>
      <rPr>
        <sz val="12"/>
        <color theme="1"/>
        <rFont val="標楷體"/>
        <family val="4"/>
        <charset val="136"/>
      </rPr>
      <t>南良</t>
    </r>
  </si>
  <si>
    <r>
      <t xml:space="preserve"> </t>
    </r>
    <r>
      <rPr>
        <sz val="12"/>
        <color theme="1"/>
        <rFont val="標楷體"/>
        <family val="4"/>
        <charset val="136"/>
      </rPr>
      <t>佶優</t>
    </r>
  </si>
  <si>
    <r>
      <t xml:space="preserve"> </t>
    </r>
    <r>
      <rPr>
        <sz val="12"/>
        <color theme="1"/>
        <rFont val="標楷體"/>
        <family val="4"/>
        <charset val="136"/>
      </rPr>
      <t>昇益</t>
    </r>
  </si>
  <si>
    <r>
      <t xml:space="preserve"> </t>
    </r>
    <r>
      <rPr>
        <sz val="12"/>
        <color theme="1"/>
        <rFont val="標楷體"/>
        <family val="4"/>
        <charset val="136"/>
      </rPr>
      <t>宣德</t>
    </r>
  </si>
  <si>
    <r>
      <t xml:space="preserve"> </t>
    </r>
    <r>
      <rPr>
        <sz val="12"/>
        <color theme="1"/>
        <rFont val="標楷體"/>
        <family val="4"/>
        <charset val="136"/>
      </rPr>
      <t>同協</t>
    </r>
  </si>
  <si>
    <r>
      <t xml:space="preserve"> </t>
    </r>
    <r>
      <rPr>
        <sz val="12"/>
        <color theme="1"/>
        <rFont val="標楷體"/>
        <family val="4"/>
        <charset val="136"/>
      </rPr>
      <t>霖宏</t>
    </r>
  </si>
  <si>
    <r>
      <t xml:space="preserve"> </t>
    </r>
    <r>
      <rPr>
        <sz val="12"/>
        <color theme="1"/>
        <rFont val="標楷體"/>
        <family val="4"/>
        <charset val="136"/>
      </rPr>
      <t>富驊</t>
    </r>
  </si>
  <si>
    <r>
      <t xml:space="preserve"> </t>
    </r>
    <r>
      <rPr>
        <sz val="12"/>
        <color theme="1"/>
        <rFont val="標楷體"/>
        <family val="4"/>
        <charset val="136"/>
      </rPr>
      <t>凱鈺</t>
    </r>
  </si>
  <si>
    <r>
      <t xml:space="preserve"> </t>
    </r>
    <r>
      <rPr>
        <sz val="12"/>
        <color theme="1"/>
        <rFont val="標楷體"/>
        <family val="4"/>
        <charset val="136"/>
      </rPr>
      <t>聰泰</t>
    </r>
  </si>
  <si>
    <r>
      <t xml:space="preserve"> </t>
    </r>
    <r>
      <rPr>
        <sz val="12"/>
        <color theme="1"/>
        <rFont val="標楷體"/>
        <family val="4"/>
        <charset val="136"/>
      </rPr>
      <t>德宏</t>
    </r>
  </si>
  <si>
    <r>
      <t xml:space="preserve"> </t>
    </r>
    <r>
      <rPr>
        <sz val="12"/>
        <color theme="1"/>
        <rFont val="標楷體"/>
        <family val="4"/>
        <charset val="136"/>
      </rPr>
      <t>智冠</t>
    </r>
  </si>
  <si>
    <r>
      <t xml:space="preserve"> </t>
    </r>
    <r>
      <rPr>
        <sz val="12"/>
        <color theme="1"/>
        <rFont val="標楷體"/>
        <family val="4"/>
        <charset val="136"/>
      </rPr>
      <t>新華</t>
    </r>
  </si>
  <si>
    <r>
      <t xml:space="preserve"> </t>
    </r>
    <r>
      <rPr>
        <sz val="12"/>
        <color theme="1"/>
        <rFont val="標楷體"/>
        <family val="4"/>
        <charset val="136"/>
      </rPr>
      <t>中美晶</t>
    </r>
  </si>
  <si>
    <r>
      <t xml:space="preserve"> </t>
    </r>
    <r>
      <rPr>
        <sz val="12"/>
        <color theme="1"/>
        <rFont val="標楷體"/>
        <family val="4"/>
        <charset val="136"/>
      </rPr>
      <t>通泰</t>
    </r>
  </si>
  <si>
    <r>
      <t xml:space="preserve"> </t>
    </r>
    <r>
      <rPr>
        <sz val="12"/>
        <color theme="1"/>
        <rFont val="標楷體"/>
        <family val="4"/>
        <charset val="136"/>
      </rPr>
      <t>松普</t>
    </r>
  </si>
  <si>
    <r>
      <t xml:space="preserve"> </t>
    </r>
    <r>
      <rPr>
        <sz val="12"/>
        <color theme="1"/>
        <rFont val="標楷體"/>
        <family val="4"/>
        <charset val="136"/>
      </rPr>
      <t>彩富</t>
    </r>
  </si>
  <si>
    <r>
      <t xml:space="preserve"> </t>
    </r>
    <r>
      <rPr>
        <sz val="12"/>
        <color theme="1"/>
        <rFont val="標楷體"/>
        <family val="4"/>
        <charset val="136"/>
      </rPr>
      <t>同亨</t>
    </r>
  </si>
  <si>
    <r>
      <t xml:space="preserve"> </t>
    </r>
    <r>
      <rPr>
        <sz val="12"/>
        <color theme="1"/>
        <rFont val="標楷體"/>
        <family val="4"/>
        <charset val="136"/>
      </rPr>
      <t>三聯</t>
    </r>
  </si>
  <si>
    <r>
      <t xml:space="preserve"> </t>
    </r>
    <r>
      <rPr>
        <sz val="12"/>
        <color theme="1"/>
        <rFont val="標楷體"/>
        <family val="4"/>
        <charset val="136"/>
      </rPr>
      <t>凱崴</t>
    </r>
  </si>
  <si>
    <r>
      <t xml:space="preserve"> </t>
    </r>
    <r>
      <rPr>
        <sz val="12"/>
        <color theme="1"/>
        <rFont val="標楷體"/>
        <family val="4"/>
        <charset val="136"/>
      </rPr>
      <t>永信建</t>
    </r>
  </si>
  <si>
    <r>
      <t xml:space="preserve"> </t>
    </r>
    <r>
      <rPr>
        <sz val="12"/>
        <color theme="1"/>
        <rFont val="標楷體"/>
        <family val="4"/>
        <charset val="136"/>
      </rPr>
      <t>德昌</t>
    </r>
  </si>
  <si>
    <r>
      <t xml:space="preserve"> </t>
    </r>
    <r>
      <rPr>
        <sz val="12"/>
        <color theme="1"/>
        <rFont val="標楷體"/>
        <family val="4"/>
        <charset val="136"/>
      </rPr>
      <t>力麒</t>
    </r>
  </si>
  <si>
    <r>
      <t xml:space="preserve"> </t>
    </r>
    <r>
      <rPr>
        <sz val="12"/>
        <color theme="1"/>
        <rFont val="標楷體"/>
        <family val="4"/>
        <charset val="136"/>
      </rPr>
      <t>三豐</t>
    </r>
  </si>
  <si>
    <r>
      <t xml:space="preserve"> </t>
    </r>
    <r>
      <rPr>
        <sz val="12"/>
        <color theme="1"/>
        <rFont val="標楷體"/>
        <family val="4"/>
        <charset val="136"/>
      </rPr>
      <t>雙喜</t>
    </r>
  </si>
  <si>
    <r>
      <t xml:space="preserve"> </t>
    </r>
    <r>
      <rPr>
        <sz val="12"/>
        <color theme="1"/>
        <rFont val="標楷體"/>
        <family val="4"/>
        <charset val="136"/>
      </rPr>
      <t>力泰</t>
    </r>
  </si>
  <si>
    <r>
      <t xml:space="preserve"> </t>
    </r>
    <r>
      <rPr>
        <sz val="12"/>
        <color theme="1"/>
        <rFont val="標楷體"/>
        <family val="4"/>
        <charset val="136"/>
      </rPr>
      <t>豐謙</t>
    </r>
  </si>
  <si>
    <r>
      <t xml:space="preserve"> </t>
    </r>
    <r>
      <rPr>
        <sz val="12"/>
        <color theme="1"/>
        <rFont val="標楷體"/>
        <family val="4"/>
        <charset val="136"/>
      </rPr>
      <t>鉅陞</t>
    </r>
  </si>
  <si>
    <r>
      <t xml:space="preserve"> </t>
    </r>
    <r>
      <rPr>
        <sz val="12"/>
        <color theme="1"/>
        <rFont val="標楷體"/>
        <family val="4"/>
        <charset val="136"/>
      </rPr>
      <t>龍巖</t>
    </r>
  </si>
  <si>
    <r>
      <t xml:space="preserve"> </t>
    </r>
    <r>
      <rPr>
        <sz val="12"/>
        <color theme="1"/>
        <rFont val="標楷體"/>
        <family val="4"/>
        <charset val="136"/>
      </rPr>
      <t>聖暉</t>
    </r>
    <r>
      <rPr>
        <sz val="12"/>
        <color theme="1"/>
        <rFont val="Times New Roman"/>
        <family val="1"/>
      </rPr>
      <t>*</t>
    </r>
  </si>
  <si>
    <r>
      <t xml:space="preserve"> </t>
    </r>
    <r>
      <rPr>
        <sz val="12"/>
        <color theme="1"/>
        <rFont val="標楷體"/>
        <family val="4"/>
        <charset val="136"/>
      </rPr>
      <t>桓鼎</t>
    </r>
    <r>
      <rPr>
        <sz val="12"/>
        <color theme="1"/>
        <rFont val="Times New Roman"/>
        <family val="1"/>
      </rPr>
      <t>-KY</t>
    </r>
  </si>
  <si>
    <r>
      <t xml:space="preserve"> </t>
    </r>
    <r>
      <rPr>
        <sz val="12"/>
        <color theme="1"/>
        <rFont val="標楷體"/>
        <family val="4"/>
        <charset val="136"/>
      </rPr>
      <t>台聯櫃</t>
    </r>
  </si>
  <si>
    <r>
      <t xml:space="preserve"> </t>
    </r>
    <r>
      <rPr>
        <sz val="12"/>
        <color theme="1"/>
        <rFont val="標楷體"/>
        <family val="4"/>
        <charset val="136"/>
      </rPr>
      <t>陸海</t>
    </r>
  </si>
  <si>
    <r>
      <t xml:space="preserve"> </t>
    </r>
    <r>
      <rPr>
        <sz val="12"/>
        <color theme="1"/>
        <rFont val="標楷體"/>
        <family val="4"/>
        <charset val="136"/>
      </rPr>
      <t>中連</t>
    </r>
  </si>
  <si>
    <r>
      <t xml:space="preserve"> </t>
    </r>
    <r>
      <rPr>
        <sz val="12"/>
        <color theme="1"/>
        <rFont val="標楷體"/>
        <family val="4"/>
        <charset val="136"/>
      </rPr>
      <t>中菲行</t>
    </r>
  </si>
  <si>
    <r>
      <t xml:space="preserve"> </t>
    </r>
    <r>
      <rPr>
        <sz val="12"/>
        <color theme="1"/>
        <rFont val="標楷體"/>
        <family val="4"/>
        <charset val="136"/>
      </rPr>
      <t>劍湖山</t>
    </r>
  </si>
  <si>
    <r>
      <t xml:space="preserve"> </t>
    </r>
    <r>
      <rPr>
        <sz val="12"/>
        <color theme="1"/>
        <rFont val="標楷體"/>
        <family val="4"/>
        <charset val="136"/>
      </rPr>
      <t>亞都</t>
    </r>
  </si>
  <si>
    <r>
      <t xml:space="preserve"> </t>
    </r>
    <r>
      <rPr>
        <sz val="12"/>
        <color theme="1"/>
        <rFont val="標楷體"/>
        <family val="4"/>
        <charset val="136"/>
      </rPr>
      <t>老爺知</t>
    </r>
  </si>
  <si>
    <r>
      <t xml:space="preserve"> </t>
    </r>
    <r>
      <rPr>
        <sz val="12"/>
        <color theme="1"/>
        <rFont val="標楷體"/>
        <family val="4"/>
        <charset val="136"/>
      </rPr>
      <t>致和證</t>
    </r>
  </si>
  <si>
    <r>
      <t xml:space="preserve"> </t>
    </r>
    <r>
      <rPr>
        <sz val="12"/>
        <color theme="1"/>
        <rFont val="標楷體"/>
        <family val="4"/>
        <charset val="136"/>
      </rPr>
      <t>台名</t>
    </r>
  </si>
  <si>
    <r>
      <t xml:space="preserve"> </t>
    </r>
    <r>
      <rPr>
        <sz val="12"/>
        <color theme="1"/>
        <rFont val="標楷體"/>
        <family val="4"/>
        <charset val="136"/>
      </rPr>
      <t>德記</t>
    </r>
  </si>
  <si>
    <r>
      <t xml:space="preserve"> </t>
    </r>
    <r>
      <rPr>
        <sz val="12"/>
        <color theme="1"/>
        <rFont val="標楷體"/>
        <family val="4"/>
        <charset val="136"/>
      </rPr>
      <t>全家</t>
    </r>
  </si>
  <si>
    <r>
      <t xml:space="preserve"> </t>
    </r>
    <r>
      <rPr>
        <sz val="12"/>
        <color theme="1"/>
        <rFont val="標楷體"/>
        <family val="4"/>
        <charset val="136"/>
      </rPr>
      <t>寶雅</t>
    </r>
  </si>
  <si>
    <r>
      <t xml:space="preserve"> </t>
    </r>
    <r>
      <rPr>
        <sz val="12"/>
        <color theme="1"/>
        <rFont val="標楷體"/>
        <family val="4"/>
        <charset val="136"/>
      </rPr>
      <t>南仁湖</t>
    </r>
  </si>
  <si>
    <r>
      <t xml:space="preserve"> </t>
    </r>
    <r>
      <rPr>
        <sz val="12"/>
        <color theme="1"/>
        <rFont val="標楷體"/>
        <family val="4"/>
        <charset val="136"/>
      </rPr>
      <t>宏遠證</t>
    </r>
  </si>
  <si>
    <r>
      <t xml:space="preserve"> </t>
    </r>
    <r>
      <rPr>
        <sz val="12"/>
        <color theme="1"/>
        <rFont val="標楷體"/>
        <family val="4"/>
        <charset val="136"/>
      </rPr>
      <t>康和證</t>
    </r>
  </si>
  <si>
    <r>
      <t xml:space="preserve"> </t>
    </r>
    <r>
      <rPr>
        <sz val="12"/>
        <color theme="1"/>
        <rFont val="標楷體"/>
        <family val="4"/>
        <charset val="136"/>
      </rPr>
      <t>大展證</t>
    </r>
  </si>
  <si>
    <r>
      <t xml:space="preserve"> </t>
    </r>
    <r>
      <rPr>
        <sz val="12"/>
        <color theme="1"/>
        <rFont val="標楷體"/>
        <family val="4"/>
        <charset val="136"/>
      </rPr>
      <t>美好證</t>
    </r>
  </si>
  <si>
    <r>
      <t xml:space="preserve"> </t>
    </r>
    <r>
      <rPr>
        <sz val="12"/>
        <color theme="1"/>
        <rFont val="標楷體"/>
        <family val="4"/>
        <charset val="136"/>
      </rPr>
      <t>元大期</t>
    </r>
  </si>
  <si>
    <r>
      <t xml:space="preserve"> </t>
    </r>
    <r>
      <rPr>
        <sz val="12"/>
        <color theme="1"/>
        <rFont val="標楷體"/>
        <family val="4"/>
        <charset val="136"/>
      </rPr>
      <t>福邦證</t>
    </r>
  </si>
  <si>
    <r>
      <t xml:space="preserve"> </t>
    </r>
    <r>
      <rPr>
        <sz val="12"/>
        <color theme="1"/>
        <rFont val="標楷體"/>
        <family val="4"/>
        <charset val="136"/>
      </rPr>
      <t>寬魚國際</t>
    </r>
  </si>
  <si>
    <r>
      <t xml:space="preserve"> </t>
    </r>
    <r>
      <rPr>
        <sz val="12"/>
        <color theme="1"/>
        <rFont val="標楷體"/>
        <family val="4"/>
        <charset val="136"/>
      </rPr>
      <t>合邦</t>
    </r>
  </si>
  <si>
    <r>
      <t xml:space="preserve"> </t>
    </r>
    <r>
      <rPr>
        <sz val="12"/>
        <color theme="1"/>
        <rFont val="標楷體"/>
        <family val="4"/>
        <charset val="136"/>
      </rPr>
      <t>創惟</t>
    </r>
  </si>
  <si>
    <r>
      <t xml:space="preserve"> </t>
    </r>
    <r>
      <rPr>
        <sz val="12"/>
        <color theme="1"/>
        <rFont val="標楷體"/>
        <family val="4"/>
        <charset val="136"/>
      </rPr>
      <t>亞元</t>
    </r>
  </si>
  <si>
    <r>
      <t xml:space="preserve"> </t>
    </r>
    <r>
      <rPr>
        <sz val="12"/>
        <color theme="1"/>
        <rFont val="標楷體"/>
        <family val="4"/>
        <charset val="136"/>
      </rPr>
      <t>大宇資</t>
    </r>
  </si>
  <si>
    <r>
      <t xml:space="preserve"> </t>
    </r>
    <r>
      <rPr>
        <sz val="12"/>
        <color theme="1"/>
        <rFont val="標楷體"/>
        <family val="4"/>
        <charset val="136"/>
      </rPr>
      <t>亞矽</t>
    </r>
  </si>
  <si>
    <r>
      <t xml:space="preserve"> </t>
    </r>
    <r>
      <rPr>
        <sz val="12"/>
        <color theme="1"/>
        <rFont val="標楷體"/>
        <family val="4"/>
        <charset val="136"/>
      </rPr>
      <t>久威</t>
    </r>
  </si>
  <si>
    <r>
      <t xml:space="preserve"> </t>
    </r>
    <r>
      <rPr>
        <sz val="12"/>
        <color theme="1"/>
        <rFont val="標楷體"/>
        <family val="4"/>
        <charset val="136"/>
      </rPr>
      <t>建達</t>
    </r>
  </si>
  <si>
    <r>
      <t xml:space="preserve"> </t>
    </r>
    <r>
      <rPr>
        <sz val="12"/>
        <color theme="1"/>
        <rFont val="標楷體"/>
        <family val="4"/>
        <charset val="136"/>
      </rPr>
      <t>新普</t>
    </r>
  </si>
  <si>
    <r>
      <t xml:space="preserve"> </t>
    </r>
    <r>
      <rPr>
        <sz val="12"/>
        <color theme="1"/>
        <rFont val="標楷體"/>
        <family val="4"/>
        <charset val="136"/>
      </rPr>
      <t>擎邦</t>
    </r>
  </si>
  <si>
    <r>
      <t xml:space="preserve"> </t>
    </r>
    <r>
      <rPr>
        <sz val="12"/>
        <color theme="1"/>
        <rFont val="標楷體"/>
        <family val="4"/>
        <charset val="136"/>
      </rPr>
      <t>上奇</t>
    </r>
  </si>
  <si>
    <r>
      <t xml:space="preserve"> </t>
    </r>
    <r>
      <rPr>
        <sz val="12"/>
        <color theme="1"/>
        <rFont val="標楷體"/>
        <family val="4"/>
        <charset val="136"/>
      </rPr>
      <t>業強</t>
    </r>
  </si>
  <si>
    <r>
      <t xml:space="preserve"> </t>
    </r>
    <r>
      <rPr>
        <sz val="12"/>
        <color theme="1"/>
        <rFont val="標楷體"/>
        <family val="4"/>
        <charset val="136"/>
      </rPr>
      <t>廣運</t>
    </r>
  </si>
  <si>
    <r>
      <t xml:space="preserve"> </t>
    </r>
    <r>
      <rPr>
        <sz val="12"/>
        <color theme="1"/>
        <rFont val="標楷體"/>
        <family val="4"/>
        <charset val="136"/>
      </rPr>
      <t>信音</t>
    </r>
  </si>
  <si>
    <r>
      <t xml:space="preserve"> </t>
    </r>
    <r>
      <rPr>
        <sz val="12"/>
        <color theme="1"/>
        <rFont val="標楷體"/>
        <family val="4"/>
        <charset val="136"/>
      </rPr>
      <t>九豪</t>
    </r>
  </si>
  <si>
    <r>
      <t xml:space="preserve"> </t>
    </r>
    <r>
      <rPr>
        <sz val="12"/>
        <color theme="1"/>
        <rFont val="標楷體"/>
        <family val="4"/>
        <charset val="136"/>
      </rPr>
      <t>普誠</t>
    </r>
  </si>
  <si>
    <r>
      <t xml:space="preserve"> </t>
    </r>
    <r>
      <rPr>
        <sz val="12"/>
        <color theme="1"/>
        <rFont val="標楷體"/>
        <family val="4"/>
        <charset val="136"/>
      </rPr>
      <t>上亞科技</t>
    </r>
  </si>
  <si>
    <r>
      <t xml:space="preserve"> </t>
    </r>
    <r>
      <rPr>
        <sz val="12"/>
        <color theme="1"/>
        <rFont val="標楷體"/>
        <family val="4"/>
        <charset val="136"/>
      </rPr>
      <t>萬旭</t>
    </r>
  </si>
  <si>
    <r>
      <t xml:space="preserve"> </t>
    </r>
    <r>
      <rPr>
        <sz val="12"/>
        <color theme="1"/>
        <rFont val="標楷體"/>
        <family val="4"/>
        <charset val="136"/>
      </rPr>
      <t>茂達</t>
    </r>
  </si>
  <si>
    <r>
      <t xml:space="preserve"> </t>
    </r>
    <r>
      <rPr>
        <sz val="12"/>
        <color theme="1"/>
        <rFont val="標楷體"/>
        <family val="4"/>
        <charset val="136"/>
      </rPr>
      <t>訊達</t>
    </r>
  </si>
  <si>
    <r>
      <t xml:space="preserve"> </t>
    </r>
    <r>
      <rPr>
        <sz val="12"/>
        <color theme="1"/>
        <rFont val="標楷體"/>
        <family val="4"/>
        <charset val="136"/>
      </rPr>
      <t>振曜</t>
    </r>
  </si>
  <si>
    <r>
      <t xml:space="preserve"> </t>
    </r>
    <r>
      <rPr>
        <sz val="12"/>
        <color theme="1"/>
        <rFont val="標楷體"/>
        <family val="4"/>
        <charset val="136"/>
      </rPr>
      <t>得利影</t>
    </r>
  </si>
  <si>
    <r>
      <t xml:space="preserve"> </t>
    </r>
    <r>
      <rPr>
        <sz val="12"/>
        <color theme="1"/>
        <rFont val="標楷體"/>
        <family val="4"/>
        <charset val="136"/>
      </rPr>
      <t>耕興</t>
    </r>
  </si>
  <si>
    <r>
      <t xml:space="preserve"> </t>
    </r>
    <r>
      <rPr>
        <sz val="12"/>
        <color theme="1"/>
        <rFont val="標楷體"/>
        <family val="4"/>
        <charset val="136"/>
      </rPr>
      <t>頎邦</t>
    </r>
  </si>
  <si>
    <r>
      <t xml:space="preserve"> </t>
    </r>
    <r>
      <rPr>
        <sz val="12"/>
        <color theme="1"/>
        <rFont val="標楷體"/>
        <family val="4"/>
        <charset val="136"/>
      </rPr>
      <t>驊宏資</t>
    </r>
  </si>
  <si>
    <r>
      <t xml:space="preserve"> </t>
    </r>
    <r>
      <rPr>
        <sz val="12"/>
        <color theme="1"/>
        <rFont val="標楷體"/>
        <family val="4"/>
        <charset val="136"/>
      </rPr>
      <t>撼訊</t>
    </r>
  </si>
  <si>
    <r>
      <t xml:space="preserve"> </t>
    </r>
    <r>
      <rPr>
        <sz val="12"/>
        <color theme="1"/>
        <rFont val="標楷體"/>
        <family val="4"/>
        <charset val="136"/>
      </rPr>
      <t>晉倫</t>
    </r>
  </si>
  <si>
    <r>
      <t xml:space="preserve"> </t>
    </r>
    <r>
      <rPr>
        <sz val="12"/>
        <color theme="1"/>
        <rFont val="標楷體"/>
        <family val="4"/>
        <charset val="136"/>
      </rPr>
      <t>順發</t>
    </r>
  </si>
  <si>
    <r>
      <t xml:space="preserve"> </t>
    </r>
    <r>
      <rPr>
        <sz val="12"/>
        <color theme="1"/>
        <rFont val="標楷體"/>
        <family val="4"/>
        <charset val="136"/>
      </rPr>
      <t>松上</t>
    </r>
  </si>
  <si>
    <r>
      <t xml:space="preserve"> </t>
    </r>
    <r>
      <rPr>
        <sz val="12"/>
        <color theme="1"/>
        <rFont val="標楷體"/>
        <family val="4"/>
        <charset val="136"/>
      </rPr>
      <t>禾昌</t>
    </r>
  </si>
  <si>
    <r>
      <t xml:space="preserve"> </t>
    </r>
    <r>
      <rPr>
        <sz val="12"/>
        <color theme="1"/>
        <rFont val="標楷體"/>
        <family val="4"/>
        <charset val="136"/>
      </rPr>
      <t>欣技</t>
    </r>
  </si>
  <si>
    <r>
      <t xml:space="preserve"> </t>
    </r>
    <r>
      <rPr>
        <sz val="12"/>
        <color theme="1"/>
        <rFont val="標楷體"/>
        <family val="4"/>
        <charset val="136"/>
      </rPr>
      <t>捷波</t>
    </r>
  </si>
  <si>
    <r>
      <t xml:space="preserve"> </t>
    </r>
    <r>
      <rPr>
        <sz val="12"/>
        <color theme="1"/>
        <rFont val="標楷體"/>
        <family val="4"/>
        <charset val="136"/>
      </rPr>
      <t>華電網</t>
    </r>
  </si>
  <si>
    <r>
      <t xml:space="preserve"> </t>
    </r>
    <r>
      <rPr>
        <sz val="12"/>
        <color theme="1"/>
        <rFont val="標楷體"/>
        <family val="4"/>
        <charset val="136"/>
      </rPr>
      <t>久正</t>
    </r>
  </si>
  <si>
    <r>
      <t xml:space="preserve"> </t>
    </r>
    <r>
      <rPr>
        <sz val="12"/>
        <color theme="1"/>
        <rFont val="標楷體"/>
        <family val="4"/>
        <charset val="136"/>
      </rPr>
      <t>昱泉</t>
    </r>
  </si>
  <si>
    <r>
      <t xml:space="preserve"> </t>
    </r>
    <r>
      <rPr>
        <sz val="12"/>
        <color theme="1"/>
        <rFont val="標楷體"/>
        <family val="4"/>
        <charset val="136"/>
      </rPr>
      <t>統振</t>
    </r>
  </si>
  <si>
    <r>
      <t xml:space="preserve"> </t>
    </r>
    <r>
      <rPr>
        <sz val="12"/>
        <color theme="1"/>
        <rFont val="標楷體"/>
        <family val="4"/>
        <charset val="136"/>
      </rPr>
      <t>大城地產</t>
    </r>
  </si>
  <si>
    <r>
      <t xml:space="preserve"> </t>
    </r>
    <r>
      <rPr>
        <sz val="12"/>
        <color theme="1"/>
        <rFont val="標楷體"/>
        <family val="4"/>
        <charset val="136"/>
      </rPr>
      <t>信昌電</t>
    </r>
  </si>
  <si>
    <r>
      <t xml:space="preserve"> </t>
    </r>
    <r>
      <rPr>
        <sz val="12"/>
        <color theme="1"/>
        <rFont val="標楷體"/>
        <family val="4"/>
        <charset val="136"/>
      </rPr>
      <t>安碁</t>
    </r>
  </si>
  <si>
    <r>
      <t xml:space="preserve"> </t>
    </r>
    <r>
      <rPr>
        <sz val="12"/>
        <color theme="1"/>
        <rFont val="標楷體"/>
        <family val="4"/>
        <charset val="136"/>
      </rPr>
      <t>立敦</t>
    </r>
  </si>
  <si>
    <r>
      <t xml:space="preserve"> </t>
    </r>
    <r>
      <rPr>
        <sz val="12"/>
        <color theme="1"/>
        <rFont val="標楷體"/>
        <family val="4"/>
        <charset val="136"/>
      </rPr>
      <t>亞通</t>
    </r>
  </si>
  <si>
    <r>
      <t xml:space="preserve"> </t>
    </r>
    <r>
      <rPr>
        <sz val="12"/>
        <color theme="1"/>
        <rFont val="標楷體"/>
        <family val="4"/>
        <charset val="136"/>
      </rPr>
      <t>橘子</t>
    </r>
  </si>
  <si>
    <r>
      <t xml:space="preserve"> </t>
    </r>
    <r>
      <rPr>
        <sz val="12"/>
        <color theme="1"/>
        <rFont val="標楷體"/>
        <family val="4"/>
        <charset val="136"/>
      </rPr>
      <t>合晶</t>
    </r>
  </si>
  <si>
    <r>
      <t xml:space="preserve"> </t>
    </r>
    <r>
      <rPr>
        <sz val="12"/>
        <color theme="1"/>
        <rFont val="標楷體"/>
        <family val="4"/>
        <charset val="136"/>
      </rPr>
      <t>幃翔</t>
    </r>
  </si>
  <si>
    <r>
      <t xml:space="preserve"> </t>
    </r>
    <r>
      <rPr>
        <sz val="12"/>
        <color theme="1"/>
        <rFont val="標楷體"/>
        <family val="4"/>
        <charset val="136"/>
      </rPr>
      <t>新潤</t>
    </r>
  </si>
  <si>
    <r>
      <t xml:space="preserve"> </t>
    </r>
    <r>
      <rPr>
        <sz val="12"/>
        <color theme="1"/>
        <rFont val="標楷體"/>
        <family val="4"/>
        <charset val="136"/>
      </rPr>
      <t>萬潤</t>
    </r>
  </si>
  <si>
    <r>
      <t xml:space="preserve"> </t>
    </r>
    <r>
      <rPr>
        <sz val="12"/>
        <color theme="1"/>
        <rFont val="標楷體"/>
        <family val="4"/>
        <charset val="136"/>
      </rPr>
      <t>廣明</t>
    </r>
  </si>
  <si>
    <r>
      <t xml:space="preserve"> </t>
    </r>
    <r>
      <rPr>
        <sz val="12"/>
        <color theme="1"/>
        <rFont val="標楷體"/>
        <family val="4"/>
        <charset val="136"/>
      </rPr>
      <t>萬泰科</t>
    </r>
  </si>
  <si>
    <r>
      <t xml:space="preserve"> </t>
    </r>
    <r>
      <rPr>
        <sz val="12"/>
        <color theme="1"/>
        <rFont val="標楷體"/>
        <family val="4"/>
        <charset val="136"/>
      </rPr>
      <t>育富</t>
    </r>
  </si>
  <si>
    <r>
      <t xml:space="preserve"> </t>
    </r>
    <r>
      <rPr>
        <sz val="12"/>
        <color theme="1"/>
        <rFont val="標楷體"/>
        <family val="4"/>
        <charset val="136"/>
      </rPr>
      <t>詩肯</t>
    </r>
  </si>
  <si>
    <r>
      <t xml:space="preserve"> </t>
    </r>
    <r>
      <rPr>
        <sz val="12"/>
        <color theme="1"/>
        <rFont val="標楷體"/>
        <family val="4"/>
        <charset val="136"/>
      </rPr>
      <t>瑞築</t>
    </r>
  </si>
  <si>
    <r>
      <t xml:space="preserve"> </t>
    </r>
    <r>
      <rPr>
        <sz val="12"/>
        <color theme="1"/>
        <rFont val="標楷體"/>
        <family val="4"/>
        <charset val="136"/>
      </rPr>
      <t>天品</t>
    </r>
  </si>
  <si>
    <r>
      <t xml:space="preserve"> </t>
    </r>
    <r>
      <rPr>
        <sz val="12"/>
        <color theme="1"/>
        <rFont val="標楷體"/>
        <family val="4"/>
        <charset val="136"/>
      </rPr>
      <t>海韻電</t>
    </r>
  </si>
  <si>
    <r>
      <t xml:space="preserve"> </t>
    </r>
    <r>
      <rPr>
        <sz val="12"/>
        <color theme="1"/>
        <rFont val="標楷體"/>
        <family val="4"/>
        <charset val="136"/>
      </rPr>
      <t>艾華</t>
    </r>
  </si>
  <si>
    <r>
      <t xml:space="preserve"> </t>
    </r>
    <r>
      <rPr>
        <sz val="12"/>
        <color theme="1"/>
        <rFont val="標楷體"/>
        <family val="4"/>
        <charset val="136"/>
      </rPr>
      <t>雷科</t>
    </r>
  </si>
  <si>
    <r>
      <t xml:space="preserve"> </t>
    </r>
    <r>
      <rPr>
        <sz val="12"/>
        <color theme="1"/>
        <rFont val="標楷體"/>
        <family val="4"/>
        <charset val="136"/>
      </rPr>
      <t>日揚</t>
    </r>
  </si>
  <si>
    <r>
      <t xml:space="preserve"> </t>
    </r>
    <r>
      <rPr>
        <sz val="12"/>
        <color theme="1"/>
        <rFont val="標楷體"/>
        <family val="4"/>
        <charset val="136"/>
      </rPr>
      <t>慶生</t>
    </r>
  </si>
  <si>
    <r>
      <t xml:space="preserve"> </t>
    </r>
    <r>
      <rPr>
        <sz val="12"/>
        <color theme="1"/>
        <rFont val="標楷體"/>
        <family val="4"/>
        <charset val="136"/>
      </rPr>
      <t>理銘</t>
    </r>
  </si>
  <si>
    <r>
      <t xml:space="preserve"> </t>
    </r>
    <r>
      <rPr>
        <sz val="12"/>
        <color theme="1"/>
        <rFont val="標楷體"/>
        <family val="4"/>
        <charset val="136"/>
      </rPr>
      <t>中探針</t>
    </r>
  </si>
  <si>
    <r>
      <t xml:space="preserve"> </t>
    </r>
    <r>
      <rPr>
        <sz val="12"/>
        <color theme="1"/>
        <rFont val="標楷體"/>
        <family val="4"/>
        <charset val="136"/>
      </rPr>
      <t>豪勉</t>
    </r>
  </si>
  <si>
    <r>
      <t xml:space="preserve"> </t>
    </r>
    <r>
      <rPr>
        <sz val="12"/>
        <color theme="1"/>
        <rFont val="標楷體"/>
        <family val="4"/>
        <charset val="136"/>
      </rPr>
      <t>富旺</t>
    </r>
  </si>
  <si>
    <r>
      <t xml:space="preserve"> </t>
    </r>
    <r>
      <rPr>
        <sz val="12"/>
        <color theme="1"/>
        <rFont val="標楷體"/>
        <family val="4"/>
        <charset val="136"/>
      </rPr>
      <t>岳豐</t>
    </r>
  </si>
  <si>
    <r>
      <t xml:space="preserve"> </t>
    </r>
    <r>
      <rPr>
        <sz val="12"/>
        <color theme="1"/>
        <rFont val="標楷體"/>
        <family val="4"/>
        <charset val="136"/>
      </rPr>
      <t>晉泰</t>
    </r>
  </si>
  <si>
    <r>
      <t xml:space="preserve"> </t>
    </r>
    <r>
      <rPr>
        <sz val="12"/>
        <color theme="1"/>
        <rFont val="標楷體"/>
        <family val="4"/>
        <charset val="136"/>
      </rPr>
      <t>上揚</t>
    </r>
  </si>
  <si>
    <r>
      <t xml:space="preserve"> </t>
    </r>
    <r>
      <rPr>
        <sz val="12"/>
        <color theme="1"/>
        <rFont val="標楷體"/>
        <family val="4"/>
        <charset val="136"/>
      </rPr>
      <t>旺矽</t>
    </r>
  </si>
  <si>
    <r>
      <t xml:space="preserve"> </t>
    </r>
    <r>
      <rPr>
        <sz val="12"/>
        <color theme="1"/>
        <rFont val="標楷體"/>
        <family val="4"/>
        <charset val="136"/>
      </rPr>
      <t>茂綸</t>
    </r>
  </si>
  <si>
    <r>
      <t xml:space="preserve"> </t>
    </r>
    <r>
      <rPr>
        <sz val="12"/>
        <color theme="1"/>
        <rFont val="標楷體"/>
        <family val="4"/>
        <charset val="136"/>
      </rPr>
      <t>全譜</t>
    </r>
  </si>
  <si>
    <r>
      <t xml:space="preserve"> </t>
    </r>
    <r>
      <rPr>
        <sz val="12"/>
        <color theme="1"/>
        <rFont val="標楷體"/>
        <family val="4"/>
        <charset val="136"/>
      </rPr>
      <t>研通</t>
    </r>
  </si>
  <si>
    <r>
      <t xml:space="preserve"> </t>
    </r>
    <r>
      <rPr>
        <sz val="12"/>
        <color theme="1"/>
        <rFont val="標楷體"/>
        <family val="4"/>
        <charset val="136"/>
      </rPr>
      <t>系微</t>
    </r>
  </si>
  <si>
    <r>
      <t xml:space="preserve"> </t>
    </r>
    <r>
      <rPr>
        <sz val="12"/>
        <color theme="1"/>
        <rFont val="標楷體"/>
        <family val="4"/>
        <charset val="136"/>
      </rPr>
      <t>旺玖</t>
    </r>
  </si>
  <si>
    <r>
      <t xml:space="preserve"> </t>
    </r>
    <r>
      <rPr>
        <sz val="12"/>
        <color theme="1"/>
        <rFont val="標楷體"/>
        <family val="4"/>
        <charset val="136"/>
      </rPr>
      <t>高僑</t>
    </r>
  </si>
  <si>
    <r>
      <t xml:space="preserve"> </t>
    </r>
    <r>
      <rPr>
        <sz val="12"/>
        <color theme="1"/>
        <rFont val="標楷體"/>
        <family val="4"/>
        <charset val="136"/>
      </rPr>
      <t>中湛</t>
    </r>
  </si>
  <si>
    <r>
      <t xml:space="preserve"> </t>
    </r>
    <r>
      <rPr>
        <sz val="12"/>
        <color theme="1"/>
        <rFont val="標楷體"/>
        <family val="4"/>
        <charset val="136"/>
      </rPr>
      <t>驊訊</t>
    </r>
  </si>
  <si>
    <r>
      <t xml:space="preserve"> </t>
    </r>
    <r>
      <rPr>
        <sz val="12"/>
        <color theme="1"/>
        <rFont val="標楷體"/>
        <family val="4"/>
        <charset val="136"/>
      </rPr>
      <t>松崗</t>
    </r>
  </si>
  <si>
    <r>
      <t xml:space="preserve"> </t>
    </r>
    <r>
      <rPr>
        <sz val="12"/>
        <color theme="1"/>
        <rFont val="標楷體"/>
        <family val="4"/>
        <charset val="136"/>
      </rPr>
      <t>易通展</t>
    </r>
  </si>
  <si>
    <r>
      <t xml:space="preserve"> </t>
    </r>
    <r>
      <rPr>
        <sz val="12"/>
        <color theme="1"/>
        <rFont val="標楷體"/>
        <family val="4"/>
        <charset val="136"/>
      </rPr>
      <t>立康</t>
    </r>
  </si>
  <si>
    <r>
      <t xml:space="preserve"> </t>
    </r>
    <r>
      <rPr>
        <sz val="12"/>
        <color theme="1"/>
        <rFont val="標楷體"/>
        <family val="4"/>
        <charset val="136"/>
      </rPr>
      <t>茂迪</t>
    </r>
  </si>
  <si>
    <r>
      <t xml:space="preserve"> </t>
    </r>
    <r>
      <rPr>
        <sz val="12"/>
        <color theme="1"/>
        <rFont val="標楷體"/>
        <family val="4"/>
        <charset val="136"/>
      </rPr>
      <t>立端</t>
    </r>
  </si>
  <si>
    <r>
      <t xml:space="preserve"> </t>
    </r>
    <r>
      <rPr>
        <sz val="12"/>
        <color theme="1"/>
        <rFont val="標楷體"/>
        <family val="4"/>
        <charset val="136"/>
      </rPr>
      <t>臺龍</t>
    </r>
  </si>
  <si>
    <r>
      <t xml:space="preserve"> </t>
    </r>
    <r>
      <rPr>
        <sz val="12"/>
        <color theme="1"/>
        <rFont val="標楷體"/>
        <family val="4"/>
        <charset val="136"/>
      </rPr>
      <t>沛波</t>
    </r>
  </si>
  <si>
    <r>
      <t xml:space="preserve"> </t>
    </r>
    <r>
      <rPr>
        <sz val="12"/>
        <color theme="1"/>
        <rFont val="標楷體"/>
        <family val="4"/>
        <charset val="136"/>
      </rPr>
      <t>百徽</t>
    </r>
  </si>
  <si>
    <r>
      <t xml:space="preserve"> </t>
    </r>
    <r>
      <rPr>
        <sz val="12"/>
        <color theme="1"/>
        <rFont val="標楷體"/>
        <family val="4"/>
        <charset val="136"/>
      </rPr>
      <t>久元</t>
    </r>
  </si>
  <si>
    <r>
      <t xml:space="preserve"> </t>
    </r>
    <r>
      <rPr>
        <sz val="12"/>
        <color theme="1"/>
        <rFont val="標楷體"/>
        <family val="4"/>
        <charset val="136"/>
      </rPr>
      <t>普萊德</t>
    </r>
  </si>
  <si>
    <r>
      <t xml:space="preserve"> </t>
    </r>
    <r>
      <rPr>
        <sz val="12"/>
        <color theme="1"/>
        <rFont val="標楷體"/>
        <family val="4"/>
        <charset val="136"/>
      </rPr>
      <t>富裔</t>
    </r>
  </si>
  <si>
    <r>
      <t xml:space="preserve"> </t>
    </r>
    <r>
      <rPr>
        <sz val="12"/>
        <color theme="1"/>
        <rFont val="標楷體"/>
        <family val="4"/>
        <charset val="136"/>
      </rPr>
      <t>方土昶</t>
    </r>
  </si>
  <si>
    <r>
      <t xml:space="preserve"> </t>
    </r>
    <r>
      <rPr>
        <sz val="12"/>
        <color theme="1"/>
        <rFont val="標楷體"/>
        <family val="4"/>
        <charset val="136"/>
      </rPr>
      <t>泰詠</t>
    </r>
  </si>
  <si>
    <r>
      <t xml:space="preserve"> </t>
    </r>
    <r>
      <rPr>
        <sz val="12"/>
        <color theme="1"/>
        <rFont val="標楷體"/>
        <family val="4"/>
        <charset val="136"/>
      </rPr>
      <t>倍微</t>
    </r>
  </si>
  <si>
    <r>
      <t xml:space="preserve"> </t>
    </r>
    <r>
      <rPr>
        <sz val="12"/>
        <color theme="1"/>
        <rFont val="標楷體"/>
        <family val="4"/>
        <charset val="136"/>
      </rPr>
      <t>台燿</t>
    </r>
  </si>
  <si>
    <r>
      <t xml:space="preserve"> </t>
    </r>
    <r>
      <rPr>
        <sz val="12"/>
        <color theme="1"/>
        <rFont val="標楷體"/>
        <family val="4"/>
        <charset val="136"/>
      </rPr>
      <t>元山</t>
    </r>
  </si>
  <si>
    <r>
      <t xml:space="preserve"> </t>
    </r>
    <r>
      <rPr>
        <sz val="12"/>
        <color theme="1"/>
        <rFont val="標楷體"/>
        <family val="4"/>
        <charset val="136"/>
      </rPr>
      <t>安鈦克</t>
    </r>
  </si>
  <si>
    <r>
      <t xml:space="preserve"> </t>
    </r>
    <r>
      <rPr>
        <sz val="12"/>
        <color theme="1"/>
        <rFont val="標楷體"/>
        <family val="4"/>
        <charset val="136"/>
      </rPr>
      <t>胡連</t>
    </r>
  </si>
  <si>
    <r>
      <t xml:space="preserve"> </t>
    </r>
    <r>
      <rPr>
        <sz val="12"/>
        <color theme="1"/>
        <rFont val="標楷體"/>
        <family val="4"/>
        <charset val="136"/>
      </rPr>
      <t>佳邦</t>
    </r>
  </si>
  <si>
    <r>
      <t xml:space="preserve"> </t>
    </r>
    <r>
      <rPr>
        <sz val="12"/>
        <color theme="1"/>
        <rFont val="標楷體"/>
        <family val="4"/>
        <charset val="136"/>
      </rPr>
      <t>元隆</t>
    </r>
  </si>
  <si>
    <r>
      <t xml:space="preserve"> </t>
    </r>
    <r>
      <rPr>
        <sz val="12"/>
        <color theme="1"/>
        <rFont val="標楷體"/>
        <family val="4"/>
        <charset val="136"/>
      </rPr>
      <t>良維</t>
    </r>
  </si>
  <si>
    <r>
      <t xml:space="preserve"> </t>
    </r>
    <r>
      <rPr>
        <sz val="12"/>
        <color theme="1"/>
        <rFont val="標楷體"/>
        <family val="4"/>
        <charset val="136"/>
      </rPr>
      <t>沛亨</t>
    </r>
  </si>
  <si>
    <r>
      <t xml:space="preserve"> </t>
    </r>
    <r>
      <rPr>
        <sz val="12"/>
        <color theme="1"/>
        <rFont val="標楷體"/>
        <family val="4"/>
        <charset val="136"/>
      </rPr>
      <t>迅德</t>
    </r>
  </si>
  <si>
    <r>
      <t xml:space="preserve"> </t>
    </r>
    <r>
      <rPr>
        <sz val="12"/>
        <color theme="1"/>
        <rFont val="標楷體"/>
        <family val="4"/>
        <charset val="136"/>
      </rPr>
      <t>智基</t>
    </r>
  </si>
  <si>
    <r>
      <t xml:space="preserve"> </t>
    </r>
    <r>
      <rPr>
        <sz val="12"/>
        <color theme="1"/>
        <rFont val="標楷體"/>
        <family val="4"/>
        <charset val="136"/>
      </rPr>
      <t>通訊</t>
    </r>
    <r>
      <rPr>
        <sz val="12"/>
        <color theme="1"/>
        <rFont val="Times New Roman"/>
        <family val="1"/>
      </rPr>
      <t>-KY</t>
    </r>
  </si>
  <si>
    <r>
      <t xml:space="preserve"> </t>
    </r>
    <r>
      <rPr>
        <sz val="12"/>
        <color theme="1"/>
        <rFont val="標楷體"/>
        <family val="4"/>
        <charset val="136"/>
      </rPr>
      <t>晶焱</t>
    </r>
  </si>
  <si>
    <r>
      <t xml:space="preserve"> </t>
    </r>
    <r>
      <rPr>
        <sz val="12"/>
        <color theme="1"/>
        <rFont val="標楷體"/>
        <family val="4"/>
        <charset val="136"/>
      </rPr>
      <t>韋僑</t>
    </r>
  </si>
  <si>
    <r>
      <t xml:space="preserve"> </t>
    </r>
    <r>
      <rPr>
        <sz val="12"/>
        <color theme="1"/>
        <rFont val="標楷體"/>
        <family val="4"/>
        <charset val="136"/>
      </rPr>
      <t>詠昇</t>
    </r>
  </si>
  <si>
    <r>
      <t xml:space="preserve"> </t>
    </r>
    <r>
      <rPr>
        <sz val="12"/>
        <color theme="1"/>
        <rFont val="標楷體"/>
        <family val="4"/>
        <charset val="136"/>
      </rPr>
      <t>京晨科</t>
    </r>
  </si>
  <si>
    <r>
      <t xml:space="preserve"> </t>
    </r>
    <r>
      <rPr>
        <sz val="12"/>
        <color theme="1"/>
        <rFont val="標楷體"/>
        <family val="4"/>
        <charset val="136"/>
      </rPr>
      <t>易發</t>
    </r>
  </si>
  <si>
    <r>
      <t xml:space="preserve"> </t>
    </r>
    <r>
      <rPr>
        <sz val="12"/>
        <color theme="1"/>
        <rFont val="標楷體"/>
        <family val="4"/>
        <charset val="136"/>
      </rPr>
      <t>今展科</t>
    </r>
  </si>
  <si>
    <r>
      <t xml:space="preserve"> </t>
    </r>
    <r>
      <rPr>
        <sz val="12"/>
        <color theme="1"/>
        <rFont val="標楷體"/>
        <family val="4"/>
        <charset val="136"/>
      </rPr>
      <t>大中</t>
    </r>
  </si>
  <si>
    <r>
      <t xml:space="preserve"> </t>
    </r>
    <r>
      <rPr>
        <sz val="12"/>
        <color theme="1"/>
        <rFont val="標楷體"/>
        <family val="4"/>
        <charset val="136"/>
      </rPr>
      <t>廣錠</t>
    </r>
  </si>
  <si>
    <r>
      <t xml:space="preserve"> </t>
    </r>
    <r>
      <rPr>
        <sz val="12"/>
        <color theme="1"/>
        <rFont val="標楷體"/>
        <family val="4"/>
        <charset val="136"/>
      </rPr>
      <t>藥華藥</t>
    </r>
  </si>
  <si>
    <r>
      <t xml:space="preserve"> </t>
    </r>
    <r>
      <rPr>
        <sz val="12"/>
        <color theme="1"/>
        <rFont val="標楷體"/>
        <family val="4"/>
        <charset val="136"/>
      </rPr>
      <t>紘康</t>
    </r>
  </si>
  <si>
    <r>
      <t xml:space="preserve"> </t>
    </r>
    <r>
      <rPr>
        <sz val="12"/>
        <color theme="1"/>
        <rFont val="標楷體"/>
        <family val="4"/>
        <charset val="136"/>
      </rPr>
      <t>益得</t>
    </r>
  </si>
  <si>
    <r>
      <t xml:space="preserve"> </t>
    </r>
    <r>
      <rPr>
        <sz val="12"/>
        <color theme="1"/>
        <rFont val="標楷體"/>
        <family val="4"/>
        <charset val="136"/>
      </rPr>
      <t>神盾</t>
    </r>
  </si>
  <si>
    <r>
      <t xml:space="preserve"> </t>
    </r>
    <r>
      <rPr>
        <sz val="12"/>
        <color theme="1"/>
        <rFont val="標楷體"/>
        <family val="4"/>
        <charset val="136"/>
      </rPr>
      <t>威潤</t>
    </r>
  </si>
  <si>
    <r>
      <t xml:space="preserve"> </t>
    </r>
    <r>
      <rPr>
        <sz val="12"/>
        <color theme="1"/>
        <rFont val="標楷體"/>
        <family val="4"/>
        <charset val="136"/>
      </rPr>
      <t>大樹</t>
    </r>
  </si>
  <si>
    <r>
      <t xml:space="preserve"> </t>
    </r>
    <r>
      <rPr>
        <sz val="12"/>
        <color theme="1"/>
        <rFont val="標楷體"/>
        <family val="4"/>
        <charset val="136"/>
      </rPr>
      <t>宇智</t>
    </r>
  </si>
  <si>
    <r>
      <t xml:space="preserve"> </t>
    </r>
    <r>
      <rPr>
        <sz val="12"/>
        <color theme="1"/>
        <rFont val="標楷體"/>
        <family val="4"/>
        <charset val="136"/>
      </rPr>
      <t>弘煜科</t>
    </r>
  </si>
  <si>
    <r>
      <t xml:space="preserve"> </t>
    </r>
    <r>
      <rPr>
        <sz val="12"/>
        <color theme="1"/>
        <rFont val="標楷體"/>
        <family val="4"/>
        <charset val="136"/>
      </rPr>
      <t>點序</t>
    </r>
  </si>
  <si>
    <r>
      <t xml:space="preserve"> </t>
    </r>
    <r>
      <rPr>
        <sz val="12"/>
        <color theme="1"/>
        <rFont val="標楷體"/>
        <family val="4"/>
        <charset val="136"/>
      </rPr>
      <t>互動</t>
    </r>
  </si>
  <si>
    <r>
      <t xml:space="preserve"> </t>
    </r>
    <r>
      <rPr>
        <sz val="12"/>
        <color theme="1"/>
        <rFont val="標楷體"/>
        <family val="4"/>
        <charset val="136"/>
      </rPr>
      <t>環球晶</t>
    </r>
  </si>
  <si>
    <r>
      <t xml:space="preserve"> </t>
    </r>
    <r>
      <rPr>
        <sz val="12"/>
        <color theme="1"/>
        <rFont val="標楷體"/>
        <family val="4"/>
        <charset val="136"/>
      </rPr>
      <t>生華科</t>
    </r>
  </si>
  <si>
    <r>
      <t xml:space="preserve"> </t>
    </r>
    <r>
      <rPr>
        <sz val="12"/>
        <color theme="1"/>
        <rFont val="標楷體"/>
        <family val="4"/>
        <charset val="136"/>
      </rPr>
      <t>九齊</t>
    </r>
  </si>
  <si>
    <r>
      <t xml:space="preserve"> </t>
    </r>
    <r>
      <rPr>
        <sz val="12"/>
        <color theme="1"/>
        <rFont val="標楷體"/>
        <family val="4"/>
        <charset val="136"/>
      </rPr>
      <t>科懋</t>
    </r>
  </si>
  <si>
    <r>
      <t xml:space="preserve"> </t>
    </r>
    <r>
      <rPr>
        <sz val="12"/>
        <color theme="1"/>
        <rFont val="標楷體"/>
        <family val="4"/>
        <charset val="136"/>
      </rPr>
      <t>益安</t>
    </r>
  </si>
  <si>
    <r>
      <t xml:space="preserve"> </t>
    </r>
    <r>
      <rPr>
        <sz val="12"/>
        <color theme="1"/>
        <rFont val="標楷體"/>
        <family val="4"/>
        <charset val="136"/>
      </rPr>
      <t>雙邦</t>
    </r>
  </si>
  <si>
    <r>
      <t xml:space="preserve"> </t>
    </r>
    <r>
      <rPr>
        <sz val="12"/>
        <color theme="1"/>
        <rFont val="標楷體"/>
        <family val="4"/>
        <charset val="136"/>
      </rPr>
      <t>惠光</t>
    </r>
  </si>
  <si>
    <r>
      <t xml:space="preserve"> </t>
    </r>
    <r>
      <rPr>
        <sz val="12"/>
        <color theme="1"/>
        <rFont val="標楷體"/>
        <family val="4"/>
        <charset val="136"/>
      </rPr>
      <t>聚和</t>
    </r>
  </si>
  <si>
    <r>
      <t xml:space="preserve"> </t>
    </r>
    <r>
      <rPr>
        <sz val="12"/>
        <color theme="1"/>
        <rFont val="標楷體"/>
        <family val="4"/>
        <charset val="136"/>
      </rPr>
      <t>精測</t>
    </r>
  </si>
  <si>
    <r>
      <t xml:space="preserve"> </t>
    </r>
    <r>
      <rPr>
        <sz val="12"/>
        <color theme="1"/>
        <rFont val="標楷體"/>
        <family val="4"/>
        <charset val="136"/>
      </rPr>
      <t>啟發電</t>
    </r>
  </si>
  <si>
    <r>
      <t xml:space="preserve"> </t>
    </r>
    <r>
      <rPr>
        <sz val="12"/>
        <color theme="1"/>
        <rFont val="標楷體"/>
        <family val="4"/>
        <charset val="136"/>
      </rPr>
      <t>芮特</t>
    </r>
    <r>
      <rPr>
        <sz val="12"/>
        <color theme="1"/>
        <rFont val="Times New Roman"/>
        <family val="1"/>
      </rPr>
      <t>-KY</t>
    </r>
  </si>
  <si>
    <r>
      <t xml:space="preserve"> </t>
    </r>
    <r>
      <rPr>
        <sz val="12"/>
        <color theme="1"/>
        <rFont val="標楷體"/>
        <family val="4"/>
        <charset val="136"/>
      </rPr>
      <t>勤崴國際</t>
    </r>
  </si>
  <si>
    <r>
      <t xml:space="preserve"> </t>
    </r>
    <r>
      <rPr>
        <sz val="12"/>
        <color theme="1"/>
        <rFont val="標楷體"/>
        <family val="4"/>
        <charset val="136"/>
      </rPr>
      <t>保勝光學</t>
    </r>
  </si>
  <si>
    <r>
      <t xml:space="preserve"> </t>
    </r>
    <r>
      <rPr>
        <sz val="12"/>
        <color theme="1"/>
        <rFont val="標楷體"/>
        <family val="4"/>
        <charset val="136"/>
      </rPr>
      <t>達爾膚</t>
    </r>
  </si>
  <si>
    <r>
      <t xml:space="preserve"> </t>
    </r>
    <r>
      <rPr>
        <sz val="12"/>
        <color theme="1"/>
        <rFont val="標楷體"/>
        <family val="4"/>
        <charset val="136"/>
      </rPr>
      <t>明達醫</t>
    </r>
  </si>
  <si>
    <r>
      <t xml:space="preserve"> </t>
    </r>
    <r>
      <rPr>
        <sz val="12"/>
        <color theme="1"/>
        <rFont val="標楷體"/>
        <family val="4"/>
        <charset val="136"/>
      </rPr>
      <t>創威</t>
    </r>
  </si>
  <si>
    <r>
      <t xml:space="preserve"> </t>
    </r>
    <r>
      <rPr>
        <sz val="12"/>
        <color theme="1"/>
        <rFont val="標楷體"/>
        <family val="4"/>
        <charset val="136"/>
      </rPr>
      <t>瑞耘</t>
    </r>
  </si>
  <si>
    <r>
      <t xml:space="preserve"> </t>
    </r>
    <r>
      <rPr>
        <sz val="12"/>
        <color theme="1"/>
        <rFont val="標楷體"/>
        <family val="4"/>
        <charset val="136"/>
      </rPr>
      <t>順藥</t>
    </r>
  </si>
  <si>
    <r>
      <t xml:space="preserve"> </t>
    </r>
    <r>
      <rPr>
        <sz val="12"/>
        <color theme="1"/>
        <rFont val="標楷體"/>
        <family val="4"/>
        <charset val="136"/>
      </rPr>
      <t>倉和</t>
    </r>
  </si>
  <si>
    <r>
      <t xml:space="preserve"> </t>
    </r>
    <r>
      <rPr>
        <sz val="12"/>
        <color theme="1"/>
        <rFont val="標楷體"/>
        <family val="4"/>
        <charset val="136"/>
      </rPr>
      <t>隆中</t>
    </r>
  </si>
  <si>
    <r>
      <t xml:space="preserve"> </t>
    </r>
    <r>
      <rPr>
        <sz val="12"/>
        <color theme="1"/>
        <rFont val="標楷體"/>
        <family val="4"/>
        <charset val="136"/>
      </rPr>
      <t>正基</t>
    </r>
  </si>
  <si>
    <r>
      <t xml:space="preserve"> </t>
    </r>
    <r>
      <rPr>
        <sz val="12"/>
        <color theme="1"/>
        <rFont val="標楷體"/>
        <family val="4"/>
        <charset val="136"/>
      </rPr>
      <t>高端疫苗</t>
    </r>
  </si>
  <si>
    <r>
      <t xml:space="preserve"> </t>
    </r>
    <r>
      <rPr>
        <sz val="12"/>
        <color theme="1"/>
        <rFont val="標楷體"/>
        <family val="4"/>
        <charset val="136"/>
      </rPr>
      <t>長科</t>
    </r>
    <r>
      <rPr>
        <sz val="12"/>
        <color theme="1"/>
        <rFont val="Times New Roman"/>
        <family val="1"/>
      </rPr>
      <t>*</t>
    </r>
  </si>
  <si>
    <r>
      <t xml:space="preserve"> </t>
    </r>
    <r>
      <rPr>
        <sz val="12"/>
        <color theme="1"/>
        <rFont val="標楷體"/>
        <family val="4"/>
        <charset val="136"/>
      </rPr>
      <t>勝品</t>
    </r>
  </si>
  <si>
    <r>
      <t xml:space="preserve"> </t>
    </r>
    <r>
      <rPr>
        <sz val="12"/>
        <color theme="1"/>
        <rFont val="標楷體"/>
        <family val="4"/>
        <charset val="136"/>
      </rPr>
      <t>欣普羅</t>
    </r>
  </si>
  <si>
    <r>
      <t xml:space="preserve"> </t>
    </r>
    <r>
      <rPr>
        <sz val="12"/>
        <color theme="1"/>
        <rFont val="標楷體"/>
        <family val="4"/>
        <charset val="136"/>
      </rPr>
      <t>是方</t>
    </r>
  </si>
  <si>
    <r>
      <t xml:space="preserve"> </t>
    </r>
    <r>
      <rPr>
        <sz val="12"/>
        <color theme="1"/>
        <rFont val="標楷體"/>
        <family val="4"/>
        <charset val="136"/>
      </rPr>
      <t>宏觀</t>
    </r>
  </si>
  <si>
    <r>
      <t xml:space="preserve"> </t>
    </r>
    <r>
      <rPr>
        <sz val="12"/>
        <color theme="1"/>
        <rFont val="標楷體"/>
        <family val="4"/>
        <charset val="136"/>
      </rPr>
      <t>醫揚</t>
    </r>
  </si>
  <si>
    <r>
      <t xml:space="preserve"> </t>
    </r>
    <r>
      <rPr>
        <sz val="12"/>
        <color theme="1"/>
        <rFont val="標楷體"/>
        <family val="4"/>
        <charset val="136"/>
      </rPr>
      <t>維田</t>
    </r>
  </si>
  <si>
    <r>
      <t xml:space="preserve"> </t>
    </r>
    <r>
      <rPr>
        <sz val="12"/>
        <color theme="1"/>
        <rFont val="標楷體"/>
        <family val="4"/>
        <charset val="136"/>
      </rPr>
      <t>霈方</t>
    </r>
  </si>
  <si>
    <r>
      <t xml:space="preserve"> </t>
    </r>
    <r>
      <rPr>
        <sz val="12"/>
        <color theme="1"/>
        <rFont val="標楷體"/>
        <family val="4"/>
        <charset val="136"/>
      </rPr>
      <t>逸達</t>
    </r>
  </si>
  <si>
    <r>
      <t xml:space="preserve"> </t>
    </r>
    <r>
      <rPr>
        <sz val="12"/>
        <color theme="1"/>
        <rFont val="標楷體"/>
        <family val="4"/>
        <charset val="136"/>
      </rPr>
      <t>勁豐</t>
    </r>
  </si>
  <si>
    <r>
      <t xml:space="preserve"> </t>
    </r>
    <r>
      <rPr>
        <sz val="12"/>
        <color theme="1"/>
        <rFont val="標楷體"/>
        <family val="4"/>
        <charset val="136"/>
      </rPr>
      <t>達邦蛋白</t>
    </r>
  </si>
  <si>
    <r>
      <t xml:space="preserve"> </t>
    </r>
    <r>
      <rPr>
        <sz val="12"/>
        <color theme="1"/>
        <rFont val="標楷體"/>
        <family val="4"/>
        <charset val="136"/>
      </rPr>
      <t>南俊國際</t>
    </r>
  </si>
  <si>
    <r>
      <t xml:space="preserve"> </t>
    </r>
    <r>
      <rPr>
        <sz val="12"/>
        <color theme="1"/>
        <rFont val="標楷體"/>
        <family val="4"/>
        <charset val="136"/>
      </rPr>
      <t>東典光電</t>
    </r>
  </si>
  <si>
    <r>
      <t xml:space="preserve"> </t>
    </r>
    <r>
      <rPr>
        <sz val="12"/>
        <color theme="1"/>
        <rFont val="標楷體"/>
        <family val="4"/>
        <charset val="136"/>
      </rPr>
      <t>台康生技</t>
    </r>
  </si>
  <si>
    <r>
      <t xml:space="preserve"> </t>
    </r>
    <r>
      <rPr>
        <sz val="12"/>
        <color theme="1"/>
        <rFont val="標楷體"/>
        <family val="4"/>
        <charset val="136"/>
      </rPr>
      <t>普鴻</t>
    </r>
  </si>
  <si>
    <r>
      <t xml:space="preserve"> </t>
    </r>
    <r>
      <rPr>
        <sz val="12"/>
        <color theme="1"/>
        <rFont val="標楷體"/>
        <family val="4"/>
        <charset val="136"/>
      </rPr>
      <t>台灣銘板</t>
    </r>
  </si>
  <si>
    <r>
      <t xml:space="preserve"> </t>
    </r>
    <r>
      <rPr>
        <sz val="12"/>
        <color theme="1"/>
        <rFont val="標楷體"/>
        <family val="4"/>
        <charset val="136"/>
      </rPr>
      <t>寬宏藝術</t>
    </r>
  </si>
  <si>
    <r>
      <t xml:space="preserve"> </t>
    </r>
    <r>
      <rPr>
        <sz val="12"/>
        <color theme="1"/>
        <rFont val="標楷體"/>
        <family val="4"/>
        <charset val="136"/>
      </rPr>
      <t>富強鑫</t>
    </r>
  </si>
  <si>
    <r>
      <t xml:space="preserve"> </t>
    </r>
    <r>
      <rPr>
        <sz val="12"/>
        <color theme="1"/>
        <rFont val="標楷體"/>
        <family val="4"/>
        <charset val="136"/>
      </rPr>
      <t>瀧澤科</t>
    </r>
  </si>
  <si>
    <r>
      <t xml:space="preserve"> </t>
    </r>
    <r>
      <rPr>
        <sz val="12"/>
        <color theme="1"/>
        <rFont val="標楷體"/>
        <family val="4"/>
        <charset val="136"/>
      </rPr>
      <t>奈米醫材</t>
    </r>
  </si>
  <si>
    <r>
      <t xml:space="preserve"> </t>
    </r>
    <r>
      <rPr>
        <sz val="12"/>
        <color theme="1"/>
        <rFont val="標楷體"/>
        <family val="4"/>
        <charset val="136"/>
      </rPr>
      <t>朋億</t>
    </r>
    <r>
      <rPr>
        <sz val="12"/>
        <color theme="1"/>
        <rFont val="Times New Roman"/>
        <family val="1"/>
      </rPr>
      <t>*</t>
    </r>
  </si>
  <si>
    <r>
      <t xml:space="preserve"> </t>
    </r>
    <r>
      <rPr>
        <sz val="12"/>
        <color theme="1"/>
        <rFont val="標楷體"/>
        <family val="4"/>
        <charset val="136"/>
      </rPr>
      <t>慧智</t>
    </r>
  </si>
  <si>
    <r>
      <t xml:space="preserve"> </t>
    </r>
    <r>
      <rPr>
        <sz val="12"/>
        <color theme="1"/>
        <rFont val="標楷體"/>
        <family val="4"/>
        <charset val="136"/>
      </rPr>
      <t>特昇</t>
    </r>
    <r>
      <rPr>
        <sz val="12"/>
        <color theme="1"/>
        <rFont val="Times New Roman"/>
        <family val="1"/>
      </rPr>
      <t>-KY</t>
    </r>
  </si>
  <si>
    <r>
      <t xml:space="preserve"> </t>
    </r>
    <r>
      <rPr>
        <sz val="12"/>
        <color theme="1"/>
        <rFont val="標楷體"/>
        <family val="4"/>
        <charset val="136"/>
      </rPr>
      <t>萬年清</t>
    </r>
  </si>
  <si>
    <r>
      <t xml:space="preserve"> </t>
    </r>
    <r>
      <rPr>
        <sz val="12"/>
        <color theme="1"/>
        <rFont val="標楷體"/>
        <family val="4"/>
        <charset val="136"/>
      </rPr>
      <t>泰金</t>
    </r>
    <r>
      <rPr>
        <sz val="12"/>
        <color theme="1"/>
        <rFont val="Times New Roman"/>
        <family val="1"/>
      </rPr>
      <t>-KY</t>
    </r>
  </si>
  <si>
    <r>
      <t xml:space="preserve"> </t>
    </r>
    <r>
      <rPr>
        <sz val="12"/>
        <color theme="1"/>
        <rFont val="標楷體"/>
        <family val="4"/>
        <charset val="136"/>
      </rPr>
      <t>均華</t>
    </r>
  </si>
  <si>
    <r>
      <t xml:space="preserve"> </t>
    </r>
    <r>
      <rPr>
        <sz val="12"/>
        <color theme="1"/>
        <rFont val="標楷體"/>
        <family val="4"/>
        <charset val="136"/>
      </rPr>
      <t>富致</t>
    </r>
  </si>
  <si>
    <r>
      <t xml:space="preserve"> </t>
    </r>
    <r>
      <rPr>
        <sz val="12"/>
        <color theme="1"/>
        <rFont val="標楷體"/>
        <family val="4"/>
        <charset val="136"/>
      </rPr>
      <t>台生材</t>
    </r>
  </si>
  <si>
    <r>
      <t xml:space="preserve"> </t>
    </r>
    <r>
      <rPr>
        <sz val="12"/>
        <color theme="1"/>
        <rFont val="標楷體"/>
        <family val="4"/>
        <charset val="136"/>
      </rPr>
      <t>全宇昕</t>
    </r>
  </si>
  <si>
    <r>
      <t xml:space="preserve"> </t>
    </r>
    <r>
      <rPr>
        <sz val="12"/>
        <color theme="1"/>
        <rFont val="標楷體"/>
        <family val="4"/>
        <charset val="136"/>
      </rPr>
      <t>天正國際</t>
    </r>
  </si>
  <si>
    <r>
      <t xml:space="preserve"> </t>
    </r>
    <r>
      <rPr>
        <sz val="12"/>
        <color theme="1"/>
        <rFont val="標楷體"/>
        <family val="4"/>
        <charset val="136"/>
      </rPr>
      <t>威健生技</t>
    </r>
  </si>
  <si>
    <r>
      <t xml:space="preserve"> </t>
    </r>
    <r>
      <rPr>
        <sz val="12"/>
        <color theme="1"/>
        <rFont val="標楷體"/>
        <family val="4"/>
        <charset val="136"/>
      </rPr>
      <t>樂斯科</t>
    </r>
  </si>
  <si>
    <r>
      <t xml:space="preserve"> </t>
    </r>
    <r>
      <rPr>
        <sz val="12"/>
        <color theme="1"/>
        <rFont val="標楷體"/>
        <family val="4"/>
        <charset val="136"/>
      </rPr>
      <t>群翊</t>
    </r>
  </si>
  <si>
    <r>
      <t xml:space="preserve"> </t>
    </r>
    <r>
      <rPr>
        <sz val="12"/>
        <color theme="1"/>
        <rFont val="標楷體"/>
        <family val="4"/>
        <charset val="136"/>
      </rPr>
      <t>信紘科</t>
    </r>
  </si>
  <si>
    <r>
      <t xml:space="preserve"> </t>
    </r>
    <r>
      <rPr>
        <sz val="12"/>
        <color theme="1"/>
        <rFont val="標楷體"/>
        <family val="4"/>
        <charset val="136"/>
      </rPr>
      <t>鈺太</t>
    </r>
  </si>
  <si>
    <r>
      <t xml:space="preserve"> </t>
    </r>
    <r>
      <rPr>
        <sz val="12"/>
        <color theme="1"/>
        <rFont val="標楷體"/>
        <family val="4"/>
        <charset val="136"/>
      </rPr>
      <t>鑫創電子</t>
    </r>
  </si>
  <si>
    <r>
      <t xml:space="preserve"> </t>
    </r>
    <r>
      <rPr>
        <sz val="12"/>
        <color theme="1"/>
        <rFont val="標楷體"/>
        <family val="4"/>
        <charset val="136"/>
      </rPr>
      <t>雍智科技</t>
    </r>
  </si>
  <si>
    <r>
      <t xml:space="preserve"> </t>
    </r>
    <r>
      <rPr>
        <sz val="12"/>
        <color theme="1"/>
        <rFont val="標楷體"/>
        <family val="4"/>
        <charset val="136"/>
      </rPr>
      <t>安格</t>
    </r>
  </si>
  <si>
    <r>
      <t xml:space="preserve"> </t>
    </r>
    <r>
      <rPr>
        <sz val="12"/>
        <color theme="1"/>
        <rFont val="標楷體"/>
        <family val="4"/>
        <charset val="136"/>
      </rPr>
      <t>安碁資訊</t>
    </r>
  </si>
  <si>
    <r>
      <t xml:space="preserve"> </t>
    </r>
    <r>
      <rPr>
        <sz val="12"/>
        <color theme="1"/>
        <rFont val="標楷體"/>
        <family val="4"/>
        <charset val="136"/>
      </rPr>
      <t>廣閎科</t>
    </r>
  </si>
  <si>
    <r>
      <t xml:space="preserve"> </t>
    </r>
    <r>
      <rPr>
        <sz val="12"/>
        <color theme="1"/>
        <rFont val="標楷體"/>
        <family val="4"/>
        <charset val="136"/>
      </rPr>
      <t>東捷資訊</t>
    </r>
  </si>
  <si>
    <r>
      <t xml:space="preserve"> </t>
    </r>
    <r>
      <rPr>
        <sz val="12"/>
        <color theme="1"/>
        <rFont val="標楷體"/>
        <family val="4"/>
        <charset val="136"/>
      </rPr>
      <t>軒郁</t>
    </r>
  </si>
  <si>
    <r>
      <t xml:space="preserve"> </t>
    </r>
    <r>
      <rPr>
        <sz val="12"/>
        <color theme="1"/>
        <rFont val="標楷體"/>
        <family val="4"/>
        <charset val="136"/>
      </rPr>
      <t>天擎</t>
    </r>
  </si>
  <si>
    <r>
      <t xml:space="preserve"> </t>
    </r>
    <r>
      <rPr>
        <sz val="12"/>
        <color theme="1"/>
        <rFont val="標楷體"/>
        <family val="4"/>
        <charset val="136"/>
      </rPr>
      <t>長聖</t>
    </r>
  </si>
  <si>
    <r>
      <t xml:space="preserve"> </t>
    </r>
    <r>
      <rPr>
        <sz val="12"/>
        <color theme="1"/>
        <rFont val="標楷體"/>
        <family val="4"/>
        <charset val="136"/>
      </rPr>
      <t>應廣</t>
    </r>
  </si>
  <si>
    <r>
      <t xml:space="preserve"> </t>
    </r>
    <r>
      <rPr>
        <sz val="12"/>
        <color theme="1"/>
        <rFont val="標楷體"/>
        <family val="4"/>
        <charset val="136"/>
      </rPr>
      <t>信實</t>
    </r>
  </si>
  <si>
    <r>
      <t xml:space="preserve"> </t>
    </r>
    <r>
      <rPr>
        <sz val="12"/>
        <color theme="1"/>
        <rFont val="標楷體"/>
        <family val="4"/>
        <charset val="136"/>
      </rPr>
      <t>亞泰金屬</t>
    </r>
  </si>
  <si>
    <r>
      <t xml:space="preserve"> </t>
    </r>
    <r>
      <rPr>
        <sz val="12"/>
        <color theme="1"/>
        <rFont val="標楷體"/>
        <family val="4"/>
        <charset val="136"/>
      </rPr>
      <t>上洋</t>
    </r>
  </si>
  <si>
    <r>
      <t xml:space="preserve"> </t>
    </r>
    <r>
      <rPr>
        <sz val="12"/>
        <color theme="1"/>
        <rFont val="標楷體"/>
        <family val="4"/>
        <charset val="136"/>
      </rPr>
      <t>昇佳電子</t>
    </r>
  </si>
  <si>
    <r>
      <t xml:space="preserve"> </t>
    </r>
    <r>
      <rPr>
        <sz val="12"/>
        <color theme="1"/>
        <rFont val="標楷體"/>
        <family val="4"/>
        <charset val="136"/>
      </rPr>
      <t>博晟生醫</t>
    </r>
  </si>
  <si>
    <r>
      <t xml:space="preserve"> </t>
    </r>
    <r>
      <rPr>
        <sz val="12"/>
        <color theme="1"/>
        <rFont val="標楷體"/>
        <family val="4"/>
        <charset val="136"/>
      </rPr>
      <t>美達科技</t>
    </r>
  </si>
  <si>
    <r>
      <t xml:space="preserve"> </t>
    </r>
    <r>
      <rPr>
        <sz val="12"/>
        <color theme="1"/>
        <rFont val="標楷體"/>
        <family val="4"/>
        <charset val="136"/>
      </rPr>
      <t>亨泰光</t>
    </r>
  </si>
  <si>
    <r>
      <t xml:space="preserve"> </t>
    </r>
    <r>
      <rPr>
        <sz val="12"/>
        <color theme="1"/>
        <rFont val="標楷體"/>
        <family val="4"/>
        <charset val="136"/>
      </rPr>
      <t>智聯服務</t>
    </r>
  </si>
  <si>
    <r>
      <t xml:space="preserve"> </t>
    </r>
    <r>
      <rPr>
        <sz val="12"/>
        <color theme="1"/>
        <rFont val="標楷體"/>
        <family val="4"/>
        <charset val="136"/>
      </rPr>
      <t>叡揚</t>
    </r>
  </si>
  <si>
    <r>
      <t xml:space="preserve"> </t>
    </r>
    <r>
      <rPr>
        <sz val="12"/>
        <color theme="1"/>
        <rFont val="標楷體"/>
        <family val="4"/>
        <charset val="136"/>
      </rPr>
      <t>穩得</t>
    </r>
  </si>
  <si>
    <r>
      <t xml:space="preserve"> </t>
    </r>
    <r>
      <rPr>
        <sz val="12"/>
        <color theme="1"/>
        <rFont val="標楷體"/>
        <family val="4"/>
        <charset val="136"/>
      </rPr>
      <t>達亞</t>
    </r>
  </si>
  <si>
    <r>
      <t xml:space="preserve"> </t>
    </r>
    <r>
      <rPr>
        <sz val="12"/>
        <color theme="1"/>
        <rFont val="標楷體"/>
        <family val="4"/>
        <charset val="136"/>
      </rPr>
      <t>綠界科技</t>
    </r>
  </si>
  <si>
    <r>
      <t xml:space="preserve"> </t>
    </r>
    <r>
      <rPr>
        <sz val="12"/>
        <color theme="1"/>
        <rFont val="標楷體"/>
        <family val="4"/>
        <charset val="136"/>
      </rPr>
      <t>台微醫</t>
    </r>
  </si>
  <si>
    <r>
      <t xml:space="preserve"> </t>
    </r>
    <r>
      <rPr>
        <sz val="12"/>
        <color theme="1"/>
        <rFont val="標楷體"/>
        <family val="4"/>
        <charset val="136"/>
      </rPr>
      <t>華景電</t>
    </r>
  </si>
  <si>
    <r>
      <t xml:space="preserve"> </t>
    </r>
    <r>
      <rPr>
        <sz val="12"/>
        <color theme="1"/>
        <rFont val="標楷體"/>
        <family val="4"/>
        <charset val="136"/>
      </rPr>
      <t>虎門科技</t>
    </r>
  </si>
  <si>
    <r>
      <t xml:space="preserve"> </t>
    </r>
    <r>
      <rPr>
        <sz val="12"/>
        <color theme="1"/>
        <rFont val="標楷體"/>
        <family val="4"/>
        <charset val="136"/>
      </rPr>
      <t>崑鼎</t>
    </r>
  </si>
  <si>
    <r>
      <t xml:space="preserve"> </t>
    </r>
    <r>
      <rPr>
        <sz val="12"/>
        <color theme="1"/>
        <rFont val="標楷體"/>
        <family val="4"/>
        <charset val="136"/>
      </rPr>
      <t>明係</t>
    </r>
  </si>
  <si>
    <r>
      <t xml:space="preserve"> </t>
    </r>
    <r>
      <rPr>
        <sz val="12"/>
        <color theme="1"/>
        <rFont val="標楷體"/>
        <family val="4"/>
        <charset val="136"/>
      </rPr>
      <t>宏碁資訊</t>
    </r>
  </si>
  <si>
    <r>
      <t xml:space="preserve"> </t>
    </r>
    <r>
      <rPr>
        <sz val="12"/>
        <color theme="1"/>
        <rFont val="標楷體"/>
        <family val="4"/>
        <charset val="136"/>
      </rPr>
      <t>聯寶</t>
    </r>
  </si>
  <si>
    <r>
      <t xml:space="preserve"> </t>
    </r>
    <r>
      <rPr>
        <sz val="12"/>
        <color theme="1"/>
        <rFont val="標楷體"/>
        <family val="4"/>
        <charset val="136"/>
      </rPr>
      <t>濾能</t>
    </r>
  </si>
  <si>
    <r>
      <t xml:space="preserve"> </t>
    </r>
    <r>
      <rPr>
        <sz val="12"/>
        <color theme="1"/>
        <rFont val="標楷體"/>
        <family val="4"/>
        <charset val="136"/>
      </rPr>
      <t>千附精密</t>
    </r>
  </si>
  <si>
    <r>
      <t xml:space="preserve"> </t>
    </r>
    <r>
      <rPr>
        <sz val="12"/>
        <color theme="1"/>
        <rFont val="標楷體"/>
        <family val="4"/>
        <charset val="136"/>
      </rPr>
      <t>東研信超</t>
    </r>
  </si>
  <si>
    <r>
      <t xml:space="preserve"> </t>
    </r>
    <r>
      <rPr>
        <sz val="12"/>
        <color theme="1"/>
        <rFont val="標楷體"/>
        <family val="4"/>
        <charset val="136"/>
      </rPr>
      <t>長佳智能</t>
    </r>
  </si>
  <si>
    <r>
      <t xml:space="preserve"> </t>
    </r>
    <r>
      <rPr>
        <sz val="12"/>
        <color theme="1"/>
        <rFont val="標楷體"/>
        <family val="4"/>
        <charset val="136"/>
      </rPr>
      <t>進典</t>
    </r>
  </si>
  <si>
    <r>
      <t xml:space="preserve"> </t>
    </r>
    <r>
      <rPr>
        <sz val="12"/>
        <color theme="1"/>
        <rFont val="標楷體"/>
        <family val="4"/>
        <charset val="136"/>
      </rPr>
      <t>綠茵</t>
    </r>
  </si>
  <si>
    <r>
      <t xml:space="preserve"> </t>
    </r>
    <r>
      <rPr>
        <sz val="12"/>
        <color theme="1"/>
        <rFont val="標楷體"/>
        <family val="4"/>
        <charset val="136"/>
      </rPr>
      <t>數泓科</t>
    </r>
  </si>
  <si>
    <r>
      <t xml:space="preserve"> </t>
    </r>
    <r>
      <rPr>
        <sz val="12"/>
        <color theme="1"/>
        <rFont val="標楷體"/>
        <family val="4"/>
        <charset val="136"/>
      </rPr>
      <t>鑫傳</t>
    </r>
  </si>
  <si>
    <r>
      <t xml:space="preserve"> </t>
    </r>
    <r>
      <rPr>
        <sz val="12"/>
        <color theme="1"/>
        <rFont val="標楷體"/>
        <family val="4"/>
        <charset val="136"/>
      </rPr>
      <t>伯特光</t>
    </r>
  </si>
  <si>
    <r>
      <t xml:space="preserve"> </t>
    </r>
    <r>
      <rPr>
        <sz val="12"/>
        <color theme="1"/>
        <rFont val="標楷體"/>
        <family val="4"/>
        <charset val="136"/>
      </rPr>
      <t>偉康科技</t>
    </r>
  </si>
  <si>
    <r>
      <t xml:space="preserve"> </t>
    </r>
    <r>
      <rPr>
        <sz val="12"/>
        <color theme="1"/>
        <rFont val="標楷體"/>
        <family val="4"/>
        <charset val="136"/>
      </rPr>
      <t>騰雲</t>
    </r>
  </si>
  <si>
    <r>
      <t xml:space="preserve"> </t>
    </r>
    <r>
      <rPr>
        <sz val="12"/>
        <color theme="1"/>
        <rFont val="標楷體"/>
        <family val="4"/>
        <charset val="136"/>
      </rPr>
      <t>倍力</t>
    </r>
  </si>
  <si>
    <r>
      <t xml:space="preserve"> </t>
    </r>
    <r>
      <rPr>
        <sz val="12"/>
        <color theme="1"/>
        <rFont val="標楷體"/>
        <family val="4"/>
        <charset val="136"/>
      </rPr>
      <t>鏵友益</t>
    </r>
  </si>
  <si>
    <r>
      <t xml:space="preserve"> </t>
    </r>
    <r>
      <rPr>
        <sz val="12"/>
        <color theme="1"/>
        <rFont val="標楷體"/>
        <family val="4"/>
        <charset val="136"/>
      </rPr>
      <t>衛司特</t>
    </r>
  </si>
  <si>
    <r>
      <t xml:space="preserve"> </t>
    </r>
    <r>
      <rPr>
        <sz val="12"/>
        <color theme="1"/>
        <rFont val="標楷體"/>
        <family val="4"/>
        <charset val="136"/>
      </rPr>
      <t>宏碩系統</t>
    </r>
  </si>
  <si>
    <r>
      <t xml:space="preserve"> </t>
    </r>
    <r>
      <rPr>
        <sz val="12"/>
        <color theme="1"/>
        <rFont val="標楷體"/>
        <family val="4"/>
        <charset val="136"/>
      </rPr>
      <t>伯鑫</t>
    </r>
  </si>
  <si>
    <r>
      <t xml:space="preserve"> </t>
    </r>
    <r>
      <rPr>
        <sz val="12"/>
        <color theme="1"/>
        <rFont val="標楷體"/>
        <family val="4"/>
        <charset val="136"/>
      </rPr>
      <t>宸曜</t>
    </r>
  </si>
  <si>
    <r>
      <t xml:space="preserve"> </t>
    </r>
    <r>
      <rPr>
        <sz val="12"/>
        <color theme="1"/>
        <rFont val="標楷體"/>
        <family val="4"/>
        <charset val="136"/>
      </rPr>
      <t>邑錡</t>
    </r>
  </si>
  <si>
    <r>
      <t xml:space="preserve"> </t>
    </r>
    <r>
      <rPr>
        <sz val="12"/>
        <color theme="1"/>
        <rFont val="標楷體"/>
        <family val="4"/>
        <charset val="136"/>
      </rPr>
      <t>意德士</t>
    </r>
  </si>
  <si>
    <r>
      <t xml:space="preserve"> </t>
    </r>
    <r>
      <rPr>
        <sz val="12"/>
        <color theme="1"/>
        <rFont val="標楷體"/>
        <family val="4"/>
        <charset val="136"/>
      </rPr>
      <t>佑華</t>
    </r>
  </si>
  <si>
    <r>
      <t xml:space="preserve"> </t>
    </r>
    <r>
      <rPr>
        <sz val="12"/>
        <color theme="1"/>
        <rFont val="標楷體"/>
        <family val="4"/>
        <charset val="136"/>
      </rPr>
      <t>鈦昇</t>
    </r>
  </si>
  <si>
    <r>
      <t xml:space="preserve"> </t>
    </r>
    <r>
      <rPr>
        <sz val="12"/>
        <color theme="1"/>
        <rFont val="標楷體"/>
        <family val="4"/>
        <charset val="136"/>
      </rPr>
      <t>光菱</t>
    </r>
  </si>
  <si>
    <r>
      <t xml:space="preserve"> </t>
    </r>
    <r>
      <rPr>
        <sz val="12"/>
        <color theme="1"/>
        <rFont val="標楷體"/>
        <family val="4"/>
        <charset val="136"/>
      </rPr>
      <t>榮群</t>
    </r>
  </si>
  <si>
    <r>
      <t xml:space="preserve"> </t>
    </r>
    <r>
      <rPr>
        <sz val="12"/>
        <color theme="1"/>
        <rFont val="標楷體"/>
        <family val="4"/>
        <charset val="136"/>
      </rPr>
      <t>長園科</t>
    </r>
  </si>
  <si>
    <r>
      <t xml:space="preserve"> </t>
    </r>
    <r>
      <rPr>
        <sz val="12"/>
        <color theme="1"/>
        <rFont val="標楷體"/>
        <family val="4"/>
        <charset val="136"/>
      </rPr>
      <t>九暘</t>
    </r>
  </si>
  <si>
    <r>
      <t xml:space="preserve"> </t>
    </r>
    <r>
      <rPr>
        <sz val="12"/>
        <color theme="1"/>
        <rFont val="標楷體"/>
        <family val="4"/>
        <charset val="136"/>
      </rPr>
      <t>金山電</t>
    </r>
  </si>
  <si>
    <r>
      <t xml:space="preserve"> </t>
    </r>
    <r>
      <rPr>
        <sz val="12"/>
        <color theme="1"/>
        <rFont val="標楷體"/>
        <family val="4"/>
        <charset val="136"/>
      </rPr>
      <t>蜜望實</t>
    </r>
  </si>
  <si>
    <r>
      <t xml:space="preserve"> </t>
    </r>
    <r>
      <rPr>
        <sz val="12"/>
        <color theme="1"/>
        <rFont val="標楷體"/>
        <family val="4"/>
        <charset val="136"/>
      </rPr>
      <t>網家</t>
    </r>
  </si>
  <si>
    <r>
      <t xml:space="preserve"> </t>
    </r>
    <r>
      <rPr>
        <sz val="12"/>
        <color theme="1"/>
        <rFont val="標楷體"/>
        <family val="4"/>
        <charset val="136"/>
      </rPr>
      <t>星雲</t>
    </r>
  </si>
  <si>
    <r>
      <t xml:space="preserve"> </t>
    </r>
    <r>
      <rPr>
        <sz val="12"/>
        <color theme="1"/>
        <rFont val="標楷體"/>
        <family val="4"/>
        <charset val="136"/>
      </rPr>
      <t>德勝</t>
    </r>
  </si>
  <si>
    <r>
      <t xml:space="preserve"> </t>
    </r>
    <r>
      <rPr>
        <sz val="12"/>
        <color theme="1"/>
        <rFont val="標楷體"/>
        <family val="4"/>
        <charset val="136"/>
      </rPr>
      <t>晶采</t>
    </r>
  </si>
  <si>
    <r>
      <t xml:space="preserve"> </t>
    </r>
    <r>
      <rPr>
        <sz val="12"/>
        <color theme="1"/>
        <rFont val="標楷體"/>
        <family val="4"/>
        <charset val="136"/>
      </rPr>
      <t>廣積</t>
    </r>
  </si>
  <si>
    <r>
      <t xml:space="preserve"> </t>
    </r>
    <r>
      <rPr>
        <sz val="12"/>
        <color theme="1"/>
        <rFont val="標楷體"/>
        <family val="4"/>
        <charset val="136"/>
      </rPr>
      <t>安國</t>
    </r>
  </si>
  <si>
    <r>
      <t xml:space="preserve"> </t>
    </r>
    <r>
      <rPr>
        <sz val="12"/>
        <color theme="1"/>
        <rFont val="標楷體"/>
        <family val="4"/>
        <charset val="136"/>
      </rPr>
      <t>凱碩</t>
    </r>
  </si>
  <si>
    <r>
      <t xml:space="preserve"> </t>
    </r>
    <r>
      <rPr>
        <sz val="12"/>
        <color theme="1"/>
        <rFont val="標楷體"/>
        <family val="4"/>
        <charset val="136"/>
      </rPr>
      <t>東捷</t>
    </r>
  </si>
  <si>
    <r>
      <t xml:space="preserve"> </t>
    </r>
    <r>
      <rPr>
        <sz val="12"/>
        <color theme="1"/>
        <rFont val="標楷體"/>
        <family val="4"/>
        <charset val="136"/>
      </rPr>
      <t>來思達</t>
    </r>
  </si>
  <si>
    <r>
      <t xml:space="preserve"> </t>
    </r>
    <r>
      <rPr>
        <sz val="12"/>
        <color theme="1"/>
        <rFont val="標楷體"/>
        <family val="4"/>
        <charset val="136"/>
      </rPr>
      <t>志旭</t>
    </r>
  </si>
  <si>
    <r>
      <t xml:space="preserve"> </t>
    </r>
    <r>
      <rPr>
        <sz val="12"/>
        <color theme="1"/>
        <rFont val="標楷體"/>
        <family val="4"/>
        <charset val="136"/>
      </rPr>
      <t>全達</t>
    </r>
  </si>
  <si>
    <r>
      <t xml:space="preserve"> </t>
    </r>
    <r>
      <rPr>
        <sz val="12"/>
        <color theme="1"/>
        <rFont val="標楷體"/>
        <family val="4"/>
        <charset val="136"/>
      </rPr>
      <t>元太</t>
    </r>
  </si>
  <si>
    <r>
      <t xml:space="preserve"> </t>
    </r>
    <r>
      <rPr>
        <sz val="12"/>
        <color theme="1"/>
        <rFont val="標楷體"/>
        <family val="4"/>
        <charset val="136"/>
      </rPr>
      <t>能率網通</t>
    </r>
  </si>
  <si>
    <r>
      <t xml:space="preserve"> </t>
    </r>
    <r>
      <rPr>
        <sz val="12"/>
        <color theme="1"/>
        <rFont val="標楷體"/>
        <family val="4"/>
        <charset val="136"/>
      </rPr>
      <t>鉅橡</t>
    </r>
  </si>
  <si>
    <r>
      <t xml:space="preserve"> </t>
    </r>
    <r>
      <rPr>
        <sz val="12"/>
        <color theme="1"/>
        <rFont val="標楷體"/>
        <family val="4"/>
        <charset val="136"/>
      </rPr>
      <t>伍豐</t>
    </r>
  </si>
  <si>
    <r>
      <t xml:space="preserve"> </t>
    </r>
    <r>
      <rPr>
        <sz val="12"/>
        <color theme="1"/>
        <rFont val="標楷體"/>
        <family val="4"/>
        <charset val="136"/>
      </rPr>
      <t>洛碁</t>
    </r>
  </si>
  <si>
    <r>
      <t xml:space="preserve"> </t>
    </r>
    <r>
      <rPr>
        <sz val="12"/>
        <color theme="1"/>
        <rFont val="標楷體"/>
        <family val="4"/>
        <charset val="136"/>
      </rPr>
      <t>永利聯合</t>
    </r>
  </si>
  <si>
    <r>
      <t xml:space="preserve"> </t>
    </r>
    <r>
      <rPr>
        <sz val="12"/>
        <color theme="1"/>
        <rFont val="標楷體"/>
        <family val="4"/>
        <charset val="136"/>
      </rPr>
      <t>瑞穎</t>
    </r>
  </si>
  <si>
    <r>
      <t xml:space="preserve"> </t>
    </r>
    <r>
      <rPr>
        <sz val="12"/>
        <color theme="1"/>
        <rFont val="標楷體"/>
        <family val="4"/>
        <charset val="136"/>
      </rPr>
      <t>巨虹</t>
    </r>
  </si>
  <si>
    <r>
      <t xml:space="preserve"> </t>
    </r>
    <r>
      <rPr>
        <sz val="12"/>
        <color theme="1"/>
        <rFont val="標楷體"/>
        <family val="4"/>
        <charset val="136"/>
      </rPr>
      <t>福華</t>
    </r>
  </si>
  <si>
    <r>
      <t xml:space="preserve"> </t>
    </r>
    <r>
      <rPr>
        <sz val="12"/>
        <color theme="1"/>
        <rFont val="標楷體"/>
        <family val="4"/>
        <charset val="136"/>
      </rPr>
      <t>宏捷科</t>
    </r>
  </si>
  <si>
    <r>
      <t xml:space="preserve"> </t>
    </r>
    <r>
      <rPr>
        <sz val="12"/>
        <color theme="1"/>
        <rFont val="標楷體"/>
        <family val="4"/>
        <charset val="136"/>
      </rPr>
      <t>華鎂鑫</t>
    </r>
  </si>
  <si>
    <r>
      <t xml:space="preserve"> </t>
    </r>
    <r>
      <rPr>
        <sz val="12"/>
        <color theme="1"/>
        <rFont val="標楷體"/>
        <family val="4"/>
        <charset val="136"/>
      </rPr>
      <t>品安</t>
    </r>
  </si>
  <si>
    <r>
      <t xml:space="preserve"> </t>
    </r>
    <r>
      <rPr>
        <sz val="12"/>
        <color theme="1"/>
        <rFont val="標楷體"/>
        <family val="4"/>
        <charset val="136"/>
      </rPr>
      <t>康全電訊</t>
    </r>
  </si>
  <si>
    <r>
      <t xml:space="preserve"> </t>
    </r>
    <r>
      <rPr>
        <sz val="12"/>
        <color theme="1"/>
        <rFont val="標楷體"/>
        <family val="4"/>
        <charset val="136"/>
      </rPr>
      <t>翔名</t>
    </r>
  </si>
  <si>
    <r>
      <t xml:space="preserve"> </t>
    </r>
    <r>
      <rPr>
        <sz val="12"/>
        <color theme="1"/>
        <rFont val="標楷體"/>
        <family val="4"/>
        <charset val="136"/>
      </rPr>
      <t>建暐</t>
    </r>
  </si>
  <si>
    <r>
      <t xml:space="preserve"> </t>
    </r>
    <r>
      <rPr>
        <sz val="12"/>
        <color theme="1"/>
        <rFont val="標楷體"/>
        <family val="4"/>
        <charset val="136"/>
      </rPr>
      <t>保銳</t>
    </r>
  </si>
  <si>
    <r>
      <t xml:space="preserve"> </t>
    </r>
    <r>
      <rPr>
        <sz val="12"/>
        <color theme="1"/>
        <rFont val="標楷體"/>
        <family val="4"/>
        <charset val="136"/>
      </rPr>
      <t>擎亞</t>
    </r>
  </si>
  <si>
    <r>
      <t xml:space="preserve"> </t>
    </r>
    <r>
      <rPr>
        <sz val="12"/>
        <color theme="1"/>
        <rFont val="標楷體"/>
        <family val="4"/>
        <charset val="136"/>
      </rPr>
      <t>常珵</t>
    </r>
  </si>
  <si>
    <r>
      <t xml:space="preserve"> </t>
    </r>
    <r>
      <rPr>
        <sz val="12"/>
        <color theme="1"/>
        <rFont val="標楷體"/>
        <family val="4"/>
        <charset val="136"/>
      </rPr>
      <t>大世科</t>
    </r>
  </si>
  <si>
    <r>
      <t xml:space="preserve"> </t>
    </r>
    <r>
      <rPr>
        <sz val="12"/>
        <color theme="1"/>
        <rFont val="標楷體"/>
        <family val="4"/>
        <charset val="136"/>
      </rPr>
      <t>大億金茂</t>
    </r>
  </si>
  <si>
    <r>
      <t xml:space="preserve"> </t>
    </r>
    <r>
      <rPr>
        <sz val="12"/>
        <color theme="1"/>
        <rFont val="標楷體"/>
        <family val="4"/>
        <charset val="136"/>
      </rPr>
      <t>博大</t>
    </r>
  </si>
  <si>
    <r>
      <t xml:space="preserve"> </t>
    </r>
    <r>
      <rPr>
        <sz val="12"/>
        <color theme="1"/>
        <rFont val="標楷體"/>
        <family val="4"/>
        <charset val="136"/>
      </rPr>
      <t>立碁</t>
    </r>
  </si>
  <si>
    <r>
      <t xml:space="preserve"> </t>
    </r>
    <r>
      <rPr>
        <sz val="12"/>
        <color theme="1"/>
        <rFont val="標楷體"/>
        <family val="4"/>
        <charset val="136"/>
      </rPr>
      <t>越峰</t>
    </r>
  </si>
  <si>
    <r>
      <t xml:space="preserve"> </t>
    </r>
    <r>
      <rPr>
        <sz val="12"/>
        <color theme="1"/>
        <rFont val="標楷體"/>
        <family val="4"/>
        <charset val="136"/>
      </rPr>
      <t>正淩</t>
    </r>
  </si>
  <si>
    <r>
      <t xml:space="preserve"> </t>
    </r>
    <r>
      <rPr>
        <sz val="12"/>
        <color theme="1"/>
        <rFont val="標楷體"/>
        <family val="4"/>
        <charset val="136"/>
      </rPr>
      <t>博智</t>
    </r>
  </si>
  <si>
    <r>
      <t xml:space="preserve"> </t>
    </r>
    <r>
      <rPr>
        <sz val="12"/>
        <color theme="1"/>
        <rFont val="標楷體"/>
        <family val="4"/>
        <charset val="136"/>
      </rPr>
      <t>天宇</t>
    </r>
  </si>
  <si>
    <r>
      <t xml:space="preserve"> </t>
    </r>
    <r>
      <rPr>
        <sz val="12"/>
        <color theme="1"/>
        <rFont val="標楷體"/>
        <family val="4"/>
        <charset val="136"/>
      </rPr>
      <t>智捷</t>
    </r>
  </si>
  <si>
    <r>
      <t xml:space="preserve"> </t>
    </r>
    <r>
      <rPr>
        <sz val="12"/>
        <color theme="1"/>
        <rFont val="標楷體"/>
        <family val="4"/>
        <charset val="136"/>
      </rPr>
      <t>加高</t>
    </r>
  </si>
  <si>
    <r>
      <t xml:space="preserve"> </t>
    </r>
    <r>
      <rPr>
        <sz val="12"/>
        <color theme="1"/>
        <rFont val="標楷體"/>
        <family val="4"/>
        <charset val="136"/>
      </rPr>
      <t>精星</t>
    </r>
  </si>
  <si>
    <r>
      <t xml:space="preserve"> </t>
    </r>
    <r>
      <rPr>
        <sz val="12"/>
        <color theme="1"/>
        <rFont val="標楷體"/>
        <family val="4"/>
        <charset val="136"/>
      </rPr>
      <t>巨有科技</t>
    </r>
  </si>
  <si>
    <r>
      <t xml:space="preserve"> </t>
    </r>
    <r>
      <rPr>
        <sz val="12"/>
        <color theme="1"/>
        <rFont val="標楷體"/>
        <family val="4"/>
        <charset val="136"/>
      </rPr>
      <t>新漢</t>
    </r>
  </si>
  <si>
    <r>
      <t xml:space="preserve"> </t>
    </r>
    <r>
      <rPr>
        <sz val="12"/>
        <color theme="1"/>
        <rFont val="標楷體"/>
        <family val="4"/>
        <charset val="136"/>
      </rPr>
      <t>華宏</t>
    </r>
  </si>
  <si>
    <r>
      <t xml:space="preserve"> </t>
    </r>
    <r>
      <rPr>
        <sz val="12"/>
        <color theme="1"/>
        <rFont val="標楷體"/>
        <family val="4"/>
        <charset val="136"/>
      </rPr>
      <t>朋程</t>
    </r>
  </si>
  <si>
    <r>
      <t xml:space="preserve"> </t>
    </r>
    <r>
      <rPr>
        <sz val="12"/>
        <color theme="1"/>
        <rFont val="標楷體"/>
        <family val="4"/>
        <charset val="136"/>
      </rPr>
      <t>商丞</t>
    </r>
  </si>
  <si>
    <r>
      <t xml:space="preserve"> </t>
    </r>
    <r>
      <rPr>
        <sz val="12"/>
        <color theme="1"/>
        <rFont val="標楷體"/>
        <family val="4"/>
        <charset val="136"/>
      </rPr>
      <t>生展</t>
    </r>
  </si>
  <si>
    <r>
      <t xml:space="preserve"> </t>
    </r>
    <r>
      <rPr>
        <sz val="12"/>
        <color theme="1"/>
        <rFont val="標楷體"/>
        <family val="4"/>
        <charset val="136"/>
      </rPr>
      <t>三竹</t>
    </r>
  </si>
  <si>
    <r>
      <t xml:space="preserve"> </t>
    </r>
    <r>
      <rPr>
        <sz val="12"/>
        <color theme="1"/>
        <rFont val="標楷體"/>
        <family val="4"/>
        <charset val="136"/>
      </rPr>
      <t>泰藝</t>
    </r>
  </si>
  <si>
    <r>
      <t xml:space="preserve"> </t>
    </r>
    <r>
      <rPr>
        <sz val="12"/>
        <color theme="1"/>
        <rFont val="標楷體"/>
        <family val="4"/>
        <charset val="136"/>
      </rPr>
      <t>尚茂</t>
    </r>
  </si>
  <si>
    <r>
      <t xml:space="preserve"> </t>
    </r>
    <r>
      <rPr>
        <sz val="12"/>
        <color theme="1"/>
        <rFont val="標楷體"/>
        <family val="4"/>
        <charset val="136"/>
      </rPr>
      <t>群聯</t>
    </r>
  </si>
  <si>
    <r>
      <t xml:space="preserve"> </t>
    </r>
    <r>
      <rPr>
        <sz val="12"/>
        <color theme="1"/>
        <rFont val="標楷體"/>
        <family val="4"/>
        <charset val="136"/>
      </rPr>
      <t>益張</t>
    </r>
  </si>
  <si>
    <r>
      <t xml:space="preserve"> </t>
    </r>
    <r>
      <rPr>
        <sz val="12"/>
        <color theme="1"/>
        <rFont val="標楷體"/>
        <family val="4"/>
        <charset val="136"/>
      </rPr>
      <t>恒耀</t>
    </r>
  </si>
  <si>
    <r>
      <t xml:space="preserve"> </t>
    </r>
    <r>
      <rPr>
        <sz val="12"/>
        <color theme="1"/>
        <rFont val="標楷體"/>
        <family val="4"/>
        <charset val="136"/>
      </rPr>
      <t>冠好</t>
    </r>
  </si>
  <si>
    <r>
      <t xml:space="preserve"> </t>
    </r>
    <r>
      <rPr>
        <sz val="12"/>
        <color theme="1"/>
        <rFont val="標楷體"/>
        <family val="4"/>
        <charset val="136"/>
      </rPr>
      <t>金居</t>
    </r>
  </si>
  <si>
    <r>
      <t xml:space="preserve"> </t>
    </r>
    <r>
      <rPr>
        <sz val="12"/>
        <color theme="1"/>
        <rFont val="標楷體"/>
        <family val="4"/>
        <charset val="136"/>
      </rPr>
      <t>千附</t>
    </r>
  </si>
  <si>
    <r>
      <t xml:space="preserve"> </t>
    </r>
    <r>
      <rPr>
        <sz val="12"/>
        <color theme="1"/>
        <rFont val="標楷體"/>
        <family val="4"/>
        <charset val="136"/>
      </rPr>
      <t>金益鼎</t>
    </r>
  </si>
  <si>
    <r>
      <t xml:space="preserve"> </t>
    </r>
    <r>
      <rPr>
        <sz val="12"/>
        <color theme="1"/>
        <rFont val="標楷體"/>
        <family val="4"/>
        <charset val="136"/>
      </rPr>
      <t>白紗科</t>
    </r>
  </si>
  <si>
    <r>
      <t xml:space="preserve"> </t>
    </r>
    <r>
      <rPr>
        <sz val="12"/>
        <color theme="1"/>
        <rFont val="標楷體"/>
        <family val="4"/>
        <charset val="136"/>
      </rPr>
      <t>盛弘</t>
    </r>
  </si>
  <si>
    <r>
      <t xml:space="preserve"> </t>
    </r>
    <r>
      <rPr>
        <sz val="12"/>
        <color theme="1"/>
        <rFont val="標楷體"/>
        <family val="4"/>
        <charset val="136"/>
      </rPr>
      <t>商之器</t>
    </r>
  </si>
  <si>
    <r>
      <t xml:space="preserve"> </t>
    </r>
    <r>
      <rPr>
        <sz val="12"/>
        <color theme="1"/>
        <rFont val="標楷體"/>
        <family val="4"/>
        <charset val="136"/>
      </rPr>
      <t>森田</t>
    </r>
  </si>
  <si>
    <r>
      <t xml:space="preserve"> </t>
    </r>
    <r>
      <rPr>
        <sz val="12"/>
        <color theme="1"/>
        <rFont val="標楷體"/>
        <family val="4"/>
        <charset val="136"/>
      </rPr>
      <t>大國鋼</t>
    </r>
  </si>
  <si>
    <r>
      <t xml:space="preserve"> </t>
    </r>
    <r>
      <rPr>
        <sz val="12"/>
        <color theme="1"/>
        <rFont val="標楷體"/>
        <family val="4"/>
        <charset val="136"/>
      </rPr>
      <t>實威</t>
    </r>
  </si>
  <si>
    <r>
      <t xml:space="preserve"> </t>
    </r>
    <r>
      <rPr>
        <sz val="12"/>
        <color theme="1"/>
        <rFont val="標楷體"/>
        <family val="4"/>
        <charset val="136"/>
      </rPr>
      <t>捷必勝</t>
    </r>
    <r>
      <rPr>
        <sz val="12"/>
        <color theme="1"/>
        <rFont val="Times New Roman"/>
        <family val="1"/>
      </rPr>
      <t>-KY</t>
    </r>
  </si>
  <si>
    <r>
      <t xml:space="preserve"> </t>
    </r>
    <r>
      <rPr>
        <sz val="12"/>
        <color theme="1"/>
        <rFont val="標楷體"/>
        <family val="4"/>
        <charset val="136"/>
      </rPr>
      <t>明揚</t>
    </r>
  </si>
  <si>
    <r>
      <t xml:space="preserve"> </t>
    </r>
    <r>
      <rPr>
        <sz val="12"/>
        <color theme="1"/>
        <rFont val="標楷體"/>
        <family val="4"/>
        <charset val="136"/>
      </rPr>
      <t>旭源</t>
    </r>
  </si>
  <si>
    <r>
      <t xml:space="preserve"> </t>
    </r>
    <r>
      <rPr>
        <sz val="12"/>
        <color theme="1"/>
        <rFont val="標楷體"/>
        <family val="4"/>
        <charset val="136"/>
      </rPr>
      <t>保綠</t>
    </r>
    <r>
      <rPr>
        <sz val="12"/>
        <color theme="1"/>
        <rFont val="Times New Roman"/>
        <family val="1"/>
      </rPr>
      <t>-KY</t>
    </r>
  </si>
  <si>
    <r>
      <t xml:space="preserve"> </t>
    </r>
    <r>
      <rPr>
        <sz val="12"/>
        <color theme="1"/>
        <rFont val="標楷體"/>
        <family val="4"/>
        <charset val="136"/>
      </rPr>
      <t>惠普</t>
    </r>
  </si>
  <si>
    <r>
      <t xml:space="preserve"> </t>
    </r>
    <r>
      <rPr>
        <sz val="12"/>
        <color theme="1"/>
        <rFont val="標楷體"/>
        <family val="4"/>
        <charset val="136"/>
      </rPr>
      <t>紅木</t>
    </r>
    <r>
      <rPr>
        <sz val="12"/>
        <color theme="1"/>
        <rFont val="Times New Roman"/>
        <family val="1"/>
      </rPr>
      <t>-KY</t>
    </r>
  </si>
  <si>
    <r>
      <t xml:space="preserve"> </t>
    </r>
    <r>
      <rPr>
        <sz val="12"/>
        <color theme="1"/>
        <rFont val="標楷體"/>
        <family val="4"/>
        <charset val="136"/>
      </rPr>
      <t>匯鑽科</t>
    </r>
  </si>
  <si>
    <r>
      <t xml:space="preserve"> </t>
    </r>
    <r>
      <rPr>
        <sz val="12"/>
        <color theme="1"/>
        <rFont val="標楷體"/>
        <family val="4"/>
        <charset val="136"/>
      </rPr>
      <t>東生華</t>
    </r>
  </si>
  <si>
    <r>
      <t xml:space="preserve"> </t>
    </r>
    <r>
      <rPr>
        <sz val="12"/>
        <color theme="1"/>
        <rFont val="標楷體"/>
        <family val="4"/>
        <charset val="136"/>
      </rPr>
      <t>弘帆</t>
    </r>
  </si>
  <si>
    <r>
      <t xml:space="preserve"> </t>
    </r>
    <r>
      <rPr>
        <sz val="12"/>
        <color theme="1"/>
        <rFont val="標楷體"/>
        <family val="4"/>
        <charset val="136"/>
      </rPr>
      <t>鉅邁</t>
    </r>
  </si>
  <si>
    <r>
      <t xml:space="preserve"> </t>
    </r>
    <r>
      <rPr>
        <sz val="12"/>
        <color theme="1"/>
        <rFont val="標楷體"/>
        <family val="4"/>
        <charset val="136"/>
      </rPr>
      <t>大江</t>
    </r>
  </si>
  <si>
    <r>
      <t xml:space="preserve"> </t>
    </r>
    <r>
      <rPr>
        <sz val="12"/>
        <color theme="1"/>
        <rFont val="標楷體"/>
        <family val="4"/>
        <charset val="136"/>
      </rPr>
      <t>大地</t>
    </r>
    <r>
      <rPr>
        <sz val="12"/>
        <color theme="1"/>
        <rFont val="Times New Roman"/>
        <family val="1"/>
      </rPr>
      <t>-KY</t>
    </r>
  </si>
  <si>
    <r>
      <t xml:space="preserve"> </t>
    </r>
    <r>
      <rPr>
        <sz val="12"/>
        <color theme="1"/>
        <rFont val="標楷體"/>
        <family val="4"/>
        <charset val="136"/>
      </rPr>
      <t>綠電</t>
    </r>
  </si>
  <si>
    <r>
      <t xml:space="preserve"> </t>
    </r>
    <r>
      <rPr>
        <sz val="12"/>
        <color theme="1"/>
        <rFont val="標楷體"/>
        <family val="4"/>
        <charset val="136"/>
      </rPr>
      <t>綠河</t>
    </r>
    <r>
      <rPr>
        <sz val="12"/>
        <color theme="1"/>
        <rFont val="Times New Roman"/>
        <family val="1"/>
      </rPr>
      <t>-KY</t>
    </r>
  </si>
  <si>
    <r>
      <t xml:space="preserve"> </t>
    </r>
    <r>
      <rPr>
        <sz val="12"/>
        <color theme="1"/>
        <rFont val="標楷體"/>
        <family val="4"/>
        <charset val="136"/>
      </rPr>
      <t>華研</t>
    </r>
  </si>
  <si>
    <r>
      <t xml:space="preserve"> </t>
    </r>
    <r>
      <rPr>
        <sz val="12"/>
        <color theme="1"/>
        <rFont val="標楷體"/>
        <family val="4"/>
        <charset val="136"/>
      </rPr>
      <t>霹靂</t>
    </r>
  </si>
  <si>
    <r>
      <t xml:space="preserve"> </t>
    </r>
    <r>
      <rPr>
        <sz val="12"/>
        <color theme="1"/>
        <rFont val="標楷體"/>
        <family val="4"/>
        <charset val="136"/>
      </rPr>
      <t>大拓</t>
    </r>
    <r>
      <rPr>
        <sz val="12"/>
        <color theme="1"/>
        <rFont val="Times New Roman"/>
        <family val="1"/>
      </rPr>
      <t>-KY</t>
    </r>
  </si>
  <si>
    <r>
      <t xml:space="preserve"> </t>
    </r>
    <r>
      <rPr>
        <sz val="12"/>
        <color theme="1"/>
        <rFont val="標楷體"/>
        <family val="4"/>
        <charset val="136"/>
      </rPr>
      <t>夠麻吉</t>
    </r>
  </si>
  <si>
    <r>
      <t xml:space="preserve"> </t>
    </r>
    <r>
      <rPr>
        <sz val="12"/>
        <color theme="1"/>
        <rFont val="標楷體"/>
        <family val="4"/>
        <charset val="136"/>
      </rPr>
      <t>創業家</t>
    </r>
  </si>
  <si>
    <r>
      <t xml:space="preserve"> </t>
    </r>
    <r>
      <rPr>
        <sz val="12"/>
        <color theme="1"/>
        <rFont val="標楷體"/>
        <family val="4"/>
        <charset val="136"/>
      </rPr>
      <t>三貝德</t>
    </r>
  </si>
  <si>
    <r>
      <t xml:space="preserve"> </t>
    </r>
    <r>
      <rPr>
        <sz val="12"/>
        <color theme="1"/>
        <rFont val="標楷體"/>
        <family val="4"/>
        <charset val="136"/>
      </rPr>
      <t>裕國</t>
    </r>
  </si>
  <si>
    <r>
      <t xml:space="preserve"> </t>
    </r>
    <r>
      <rPr>
        <sz val="12"/>
        <color theme="1"/>
        <rFont val="標楷體"/>
        <family val="4"/>
        <charset val="136"/>
      </rPr>
      <t>花王</t>
    </r>
  </si>
  <si>
    <r>
      <t xml:space="preserve"> </t>
    </r>
    <r>
      <rPr>
        <sz val="12"/>
        <color theme="1"/>
        <rFont val="標楷體"/>
        <family val="4"/>
        <charset val="136"/>
      </rPr>
      <t>欣雄</t>
    </r>
  </si>
  <si>
    <r>
      <t xml:space="preserve"> </t>
    </r>
    <r>
      <rPr>
        <sz val="12"/>
        <color theme="1"/>
        <rFont val="標楷體"/>
        <family val="4"/>
        <charset val="136"/>
      </rPr>
      <t>光隆</t>
    </r>
  </si>
  <si>
    <r>
      <t xml:space="preserve"> </t>
    </r>
    <r>
      <rPr>
        <sz val="12"/>
        <color theme="1"/>
        <rFont val="標楷體"/>
        <family val="4"/>
        <charset val="136"/>
      </rPr>
      <t>欣泰</t>
    </r>
  </si>
  <si>
    <r>
      <t xml:space="preserve"> </t>
    </r>
    <r>
      <rPr>
        <sz val="12"/>
        <color theme="1"/>
        <rFont val="標楷體"/>
        <family val="4"/>
        <charset val="136"/>
      </rPr>
      <t>沈氏</t>
    </r>
  </si>
  <si>
    <r>
      <t xml:space="preserve"> </t>
    </r>
    <r>
      <rPr>
        <sz val="12"/>
        <color theme="1"/>
        <rFont val="標楷體"/>
        <family val="4"/>
        <charset val="136"/>
      </rPr>
      <t>時報</t>
    </r>
  </si>
  <si>
    <r>
      <t xml:space="preserve"> </t>
    </r>
    <r>
      <rPr>
        <sz val="12"/>
        <color theme="1"/>
        <rFont val="標楷體"/>
        <family val="4"/>
        <charset val="136"/>
      </rPr>
      <t>大田</t>
    </r>
  </si>
  <si>
    <r>
      <t xml:space="preserve"> </t>
    </r>
    <r>
      <rPr>
        <sz val="12"/>
        <color theme="1"/>
        <rFont val="標楷體"/>
        <family val="4"/>
        <charset val="136"/>
      </rPr>
      <t>北基</t>
    </r>
  </si>
  <si>
    <r>
      <t xml:space="preserve"> </t>
    </r>
    <r>
      <rPr>
        <sz val="12"/>
        <color theme="1"/>
        <rFont val="標楷體"/>
        <family val="4"/>
        <charset val="136"/>
      </rPr>
      <t>鉅明</t>
    </r>
  </si>
  <si>
    <r>
      <t xml:space="preserve"> </t>
    </r>
    <r>
      <rPr>
        <sz val="12"/>
        <color theme="1"/>
        <rFont val="標楷體"/>
        <family val="4"/>
        <charset val="136"/>
      </rPr>
      <t>富堡</t>
    </r>
  </si>
  <si>
    <r>
      <t xml:space="preserve"> </t>
    </r>
    <r>
      <rPr>
        <sz val="12"/>
        <color theme="1"/>
        <rFont val="標楷體"/>
        <family val="4"/>
        <charset val="136"/>
      </rPr>
      <t>青鋼</t>
    </r>
  </si>
  <si>
    <r>
      <t xml:space="preserve"> </t>
    </r>
    <r>
      <rPr>
        <sz val="12"/>
        <color theme="1"/>
        <rFont val="標楷體"/>
        <family val="4"/>
        <charset val="136"/>
      </rPr>
      <t>大汽電</t>
    </r>
  </si>
  <si>
    <r>
      <t xml:space="preserve"> </t>
    </r>
    <r>
      <rPr>
        <sz val="12"/>
        <color theme="1"/>
        <rFont val="標楷體"/>
        <family val="4"/>
        <charset val="136"/>
      </rPr>
      <t>智通</t>
    </r>
  </si>
  <si>
    <r>
      <t xml:space="preserve"> </t>
    </r>
    <r>
      <rPr>
        <sz val="12"/>
        <color theme="1"/>
        <rFont val="標楷體"/>
        <family val="4"/>
        <charset val="136"/>
      </rPr>
      <t>愛地雅</t>
    </r>
  </si>
  <si>
    <r>
      <t xml:space="preserve"> </t>
    </r>
    <r>
      <rPr>
        <sz val="12"/>
        <color theme="1"/>
        <rFont val="標楷體"/>
        <family val="4"/>
        <charset val="136"/>
      </rPr>
      <t>邦泰</t>
    </r>
  </si>
  <si>
    <r>
      <t xml:space="preserve"> </t>
    </r>
    <r>
      <rPr>
        <sz val="12"/>
        <color theme="1"/>
        <rFont val="標楷體"/>
        <family val="4"/>
        <charset val="136"/>
      </rPr>
      <t>國統</t>
    </r>
  </si>
  <si>
    <r>
      <t xml:space="preserve"> </t>
    </r>
    <r>
      <rPr>
        <sz val="12"/>
        <color theme="1"/>
        <rFont val="標楷體"/>
        <family val="4"/>
        <charset val="136"/>
      </rPr>
      <t>合騏</t>
    </r>
  </si>
  <si>
    <r>
      <t xml:space="preserve"> </t>
    </r>
    <r>
      <rPr>
        <sz val="12"/>
        <color theme="1"/>
        <rFont val="標楷體"/>
        <family val="4"/>
        <charset val="136"/>
      </rPr>
      <t>明安</t>
    </r>
  </si>
  <si>
    <r>
      <t xml:space="preserve"> </t>
    </r>
    <r>
      <rPr>
        <sz val="12"/>
        <color theme="1"/>
        <rFont val="標楷體"/>
        <family val="4"/>
        <charset val="136"/>
      </rPr>
      <t>關中</t>
    </r>
  </si>
  <si>
    <r>
      <t xml:space="preserve"> </t>
    </r>
    <r>
      <rPr>
        <sz val="12"/>
        <color theme="1"/>
        <rFont val="標楷體"/>
        <family val="4"/>
        <charset val="136"/>
      </rPr>
      <t>森鉅</t>
    </r>
  </si>
  <si>
    <r>
      <t xml:space="preserve"> </t>
    </r>
    <r>
      <rPr>
        <sz val="12"/>
        <color theme="1"/>
        <rFont val="標楷體"/>
        <family val="4"/>
        <charset val="136"/>
      </rPr>
      <t>琉園</t>
    </r>
  </si>
  <si>
    <r>
      <t xml:space="preserve"> </t>
    </r>
    <r>
      <rPr>
        <sz val="12"/>
        <color theme="1"/>
        <rFont val="標楷體"/>
        <family val="4"/>
        <charset val="136"/>
      </rPr>
      <t>萬國通</t>
    </r>
  </si>
  <si>
    <r>
      <t xml:space="preserve"> </t>
    </r>
    <r>
      <rPr>
        <sz val="12"/>
        <color theme="1"/>
        <rFont val="標楷體"/>
        <family val="4"/>
        <charset val="136"/>
      </rPr>
      <t>皇田</t>
    </r>
  </si>
  <si>
    <r>
      <t xml:space="preserve"> </t>
    </r>
    <r>
      <rPr>
        <sz val="12"/>
        <color theme="1"/>
        <rFont val="標楷體"/>
        <family val="4"/>
        <charset val="136"/>
      </rPr>
      <t>邁達康</t>
    </r>
  </si>
  <si>
    <r>
      <t xml:space="preserve"> </t>
    </r>
    <r>
      <rPr>
        <sz val="12"/>
        <color theme="1"/>
        <rFont val="標楷體"/>
        <family val="4"/>
        <charset val="136"/>
      </rPr>
      <t>有益</t>
    </r>
  </si>
  <si>
    <r>
      <t xml:space="preserve"> </t>
    </r>
    <r>
      <rPr>
        <sz val="12"/>
        <color theme="1"/>
        <rFont val="標楷體"/>
        <family val="4"/>
        <charset val="136"/>
      </rPr>
      <t>第一金店頭</t>
    </r>
  </si>
  <si>
    <r>
      <rPr>
        <sz val="12"/>
        <color theme="1"/>
        <rFont val="標楷體"/>
        <family val="4"/>
        <charset val="136"/>
      </rPr>
      <t>股票型基金</t>
    </r>
    <r>
      <rPr>
        <sz val="12"/>
        <color theme="1"/>
        <rFont val="Times New Roman"/>
        <family val="1"/>
      </rPr>
      <t>(</t>
    </r>
    <r>
      <rPr>
        <sz val="12"/>
        <color theme="1"/>
        <rFont val="標楷體"/>
        <family val="4"/>
        <charset val="136"/>
      </rPr>
      <t>上櫃</t>
    </r>
    <r>
      <rPr>
        <sz val="12"/>
        <color theme="1"/>
        <rFont val="Times New Roman"/>
        <family val="1"/>
      </rPr>
      <t>)</t>
    </r>
  </si>
  <si>
    <r>
      <t xml:space="preserve"> </t>
    </r>
    <r>
      <rPr>
        <sz val="12"/>
        <color theme="1"/>
        <rFont val="標楷體"/>
        <family val="4"/>
        <charset val="136"/>
      </rPr>
      <t>元店頭</t>
    </r>
  </si>
  <si>
    <r>
      <t xml:space="preserve"> PGIM</t>
    </r>
    <r>
      <rPr>
        <sz val="12"/>
        <color theme="1"/>
        <rFont val="標楷體"/>
        <family val="4"/>
        <charset val="136"/>
      </rPr>
      <t>店頭市場</t>
    </r>
    <r>
      <rPr>
        <sz val="12"/>
        <color theme="1"/>
        <rFont val="Times New Roman"/>
        <family val="1"/>
      </rPr>
      <t>Aa</t>
    </r>
  </si>
  <si>
    <r>
      <t xml:space="preserve"> </t>
    </r>
    <r>
      <rPr>
        <sz val="12"/>
        <color theme="1"/>
        <rFont val="標楷體"/>
        <family val="4"/>
        <charset val="136"/>
      </rPr>
      <t>新光店頭</t>
    </r>
  </si>
  <si>
    <r>
      <t xml:space="preserve"> </t>
    </r>
    <r>
      <rPr>
        <sz val="12"/>
        <color theme="1"/>
        <rFont val="標楷體"/>
        <family val="4"/>
        <charset val="136"/>
      </rPr>
      <t>群益店頭市場</t>
    </r>
    <r>
      <rPr>
        <sz val="12"/>
        <color theme="1"/>
        <rFont val="Times New Roman"/>
        <family val="1"/>
      </rPr>
      <t>Na</t>
    </r>
  </si>
  <si>
    <r>
      <t xml:space="preserve"> </t>
    </r>
    <r>
      <rPr>
        <sz val="12"/>
        <color theme="1"/>
        <rFont val="標楷體"/>
        <family val="4"/>
        <charset val="136"/>
      </rPr>
      <t>群益店頭市場</t>
    </r>
    <r>
      <rPr>
        <sz val="12"/>
        <color theme="1"/>
        <rFont val="Times New Roman"/>
        <family val="1"/>
      </rPr>
      <t>Fa</t>
    </r>
  </si>
  <si>
    <t>本表包含SPV國外籌資事業發行具資本性質債券所得之資金，其資金運用所投資之資產。公司應依該資金運用投資之項目類別填列於本表中。</t>
    <phoneticPr fontId="32"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</si>
  <si>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Times New Roman"/>
        <family val="1"/>
      </rPr>
      <t>(</t>
    </r>
    <r>
      <rPr>
        <sz val="12"/>
        <color indexed="10"/>
        <rFont val="標楷體"/>
        <family val="4"/>
        <charset val="136"/>
      </rPr>
      <t>請備註：國外籌資事業投資</t>
    </r>
    <r>
      <rPr>
        <sz val="12"/>
        <color indexed="10"/>
        <rFont val="Times New Roman"/>
        <family val="1"/>
      </rPr>
      <t>)</t>
    </r>
    <r>
      <rPr>
        <sz val="12"/>
        <color indexed="10"/>
        <rFont val="標楷體"/>
        <family val="4"/>
        <charset val="136"/>
      </rPr>
      <t>。</t>
    </r>
    <phoneticPr fontId="32" type="noConversion"/>
  </si>
  <si>
    <r>
      <rPr>
        <sz val="12"/>
        <color indexed="10"/>
        <rFont val="標楷體"/>
        <family val="4"/>
        <charset val="136"/>
      </rPr>
      <t>具資本性質債券</t>
    </r>
    <r>
      <rPr>
        <sz val="12"/>
        <color indexed="10"/>
        <rFont val="標楷體"/>
        <family val="4"/>
        <charset val="136"/>
      </rPr>
      <t>(註2)</t>
    </r>
    <phoneticPr fontId="32" type="noConversion"/>
  </si>
  <si>
    <r>
      <t>113</t>
    </r>
    <r>
      <rPr>
        <sz val="12"/>
        <color indexed="10"/>
        <rFont val="標楷體"/>
        <family val="4"/>
        <charset val="136"/>
      </rPr>
      <t>年起，投資國外保險相關事業，與具控制與從屬關係之關係人交易</t>
    </r>
    <phoneticPr fontId="32" type="noConversion"/>
  </si>
  <si>
    <r>
      <t>113</t>
    </r>
    <r>
      <rPr>
        <sz val="12"/>
        <color indexed="10"/>
        <rFont val="標楷體"/>
        <family val="4"/>
        <charset val="136"/>
      </rPr>
      <t>年起，投資國外保險相關事業，與</t>
    </r>
    <r>
      <rPr>
        <sz val="16"/>
        <color indexed="10"/>
        <rFont val="標楷體"/>
        <family val="4"/>
        <charset val="136"/>
      </rPr>
      <t>非</t>
    </r>
    <r>
      <rPr>
        <sz val="12"/>
        <color indexed="10"/>
        <rFont val="標楷體"/>
        <family val="4"/>
        <charset val="136"/>
      </rPr>
      <t>控制與從屬關係之關係人交易</t>
    </r>
    <phoneticPr fontId="32" type="noConversion"/>
  </si>
  <si>
    <r>
      <rPr>
        <sz val="12"/>
        <color indexed="10"/>
        <rFont val="標楷體"/>
        <family val="4"/>
        <charset val="136"/>
      </rPr>
      <t>係本表第</t>
    </r>
    <r>
      <rPr>
        <sz val="12"/>
        <color indexed="10"/>
        <rFont val="Times New Roman"/>
        <family val="1"/>
      </rPr>
      <t>19</t>
    </r>
    <r>
      <rPr>
        <sz val="12"/>
        <color indexed="10"/>
        <rFont val="標楷體"/>
        <family val="4"/>
        <charset val="136"/>
      </rPr>
      <t>、</t>
    </r>
    <r>
      <rPr>
        <sz val="12"/>
        <color indexed="10"/>
        <rFont val="Times New Roman"/>
        <family val="1"/>
      </rPr>
      <t>20</t>
    </r>
    <r>
      <rPr>
        <sz val="12"/>
        <color indexed="10"/>
        <rFont val="標楷體"/>
        <family val="4"/>
        <charset val="136"/>
      </rPr>
      <t>列中屬</t>
    </r>
    <r>
      <rPr>
        <sz val="12"/>
        <color indexed="10"/>
        <rFont val="新細明體"/>
        <family val="1"/>
        <charset val="136"/>
      </rPr>
      <t>「</t>
    </r>
    <r>
      <rPr>
        <sz val="12"/>
        <color indexed="10"/>
        <rFont val="Times New Roman"/>
        <family val="1"/>
      </rPr>
      <t>113.1.1</t>
    </r>
    <r>
      <rPr>
        <sz val="12"/>
        <color indexed="10"/>
        <rFont val="標楷體"/>
        <family val="4"/>
        <charset val="136"/>
      </rPr>
      <t>起投資於關係人且屬於國外保險相關事業者</t>
    </r>
    <r>
      <rPr>
        <sz val="12"/>
        <color indexed="10"/>
        <rFont val="新細明體"/>
        <family val="1"/>
        <charset val="136"/>
      </rPr>
      <t>」</t>
    </r>
    <r>
      <rPr>
        <sz val="12"/>
        <color indexed="10"/>
        <rFont val="標楷體"/>
        <family val="4"/>
        <charset val="136"/>
      </rPr>
      <t>。</t>
    </r>
    <phoneticPr fontId="32"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</si>
  <si>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</si>
  <si>
    <r>
      <t>係指依資產負債表日前半年每日收盤價計算之算術平均價格</t>
    </r>
    <r>
      <rPr>
        <sz val="12"/>
        <color indexed="10"/>
        <rFont val="標楷體"/>
        <family val="4"/>
        <charset val="136"/>
      </rPr>
      <t>(不包含非上市上櫃經驗區間)</t>
    </r>
    <r>
      <rPr>
        <sz val="12"/>
        <rFont val="標楷體"/>
        <family val="4"/>
        <charset val="136"/>
      </rPr>
      <t>。</t>
    </r>
    <phoneticPr fontId="32" type="noConversion"/>
  </si>
  <si>
    <r>
      <rPr>
        <sz val="12"/>
        <rFont val="標楷體"/>
        <family val="4"/>
        <charset val="136"/>
      </rPr>
      <t>若為特定目的公司投資預付款則無須填列發行公司相關欄位。</t>
    </r>
    <phoneticPr fontId="32" type="noConversion"/>
  </si>
  <si>
    <r>
      <rPr>
        <sz val="12"/>
        <color rgb="FFFF0000"/>
        <rFont val="標楷體"/>
        <family val="4"/>
        <charset val="136"/>
      </rPr>
      <t>本表應包含</t>
    </r>
    <r>
      <rPr>
        <sz val="12"/>
        <color rgb="FFFF0000"/>
        <rFont val="Times New Roman"/>
        <family val="1"/>
      </rPr>
      <t>SPV</t>
    </r>
    <r>
      <rPr>
        <sz val="12"/>
        <color rgb="FFFF0000"/>
        <rFont val="標楷體"/>
        <family val="4"/>
        <charset val="136"/>
      </rPr>
      <t>國外籌資事業發行具資本性質債券所得之資金，該資金運用所投資之資產為本項目者。</t>
    </r>
  </si>
  <si>
    <t>29-1</t>
    <phoneticPr fontId="30" type="noConversion"/>
  </si>
  <si>
    <t>國外籌資事業</t>
  </si>
  <si>
    <r>
      <t>113</t>
    </r>
    <r>
      <rPr>
        <sz val="12"/>
        <color indexed="10"/>
        <rFont val="標楷體"/>
        <family val="4"/>
        <charset val="136"/>
      </rPr>
      <t>年起，投資國外保險相關事業</t>
    </r>
    <r>
      <rPr>
        <sz val="12"/>
        <color indexed="10"/>
        <rFont val="Times New Roman"/>
        <family val="1"/>
      </rPr>
      <t>(</t>
    </r>
    <r>
      <rPr>
        <sz val="12"/>
        <color indexed="10"/>
        <rFont val="標楷體"/>
        <family val="4"/>
        <charset val="136"/>
      </rPr>
      <t>與具控制與從屬關係之關係人交易</t>
    </r>
    <r>
      <rPr>
        <sz val="12"/>
        <color indexed="10"/>
        <rFont val="Times New Roman"/>
        <family val="1"/>
      </rPr>
      <t>)</t>
    </r>
    <phoneticPr fontId="30" type="noConversion"/>
  </si>
  <si>
    <r>
      <t>113</t>
    </r>
    <r>
      <rPr>
        <sz val="12"/>
        <color indexed="10"/>
        <rFont val="標楷體"/>
        <family val="4"/>
        <charset val="136"/>
      </rPr>
      <t>年起，投資國外保險相關事業</t>
    </r>
    <r>
      <rPr>
        <sz val="12"/>
        <color indexed="10"/>
        <rFont val="Times New Roman"/>
        <family val="1"/>
      </rPr>
      <t>(</t>
    </r>
    <r>
      <rPr>
        <sz val="12"/>
        <color indexed="10"/>
        <rFont val="標楷體"/>
        <family val="4"/>
        <charset val="136"/>
      </rPr>
      <t>與</t>
    </r>
    <r>
      <rPr>
        <sz val="16"/>
        <color indexed="10"/>
        <rFont val="標楷體"/>
        <family val="4"/>
        <charset val="136"/>
      </rPr>
      <t>非</t>
    </r>
    <r>
      <rPr>
        <sz val="12"/>
        <color indexed="10"/>
        <rFont val="標楷體"/>
        <family val="4"/>
        <charset val="136"/>
      </rPr>
      <t>控制與從屬關係之關係人交易</t>
    </r>
    <r>
      <rPr>
        <sz val="12"/>
        <color indexed="10"/>
        <rFont val="Times New Roman"/>
        <family val="1"/>
      </rPr>
      <t>)</t>
    </r>
    <phoneticPr fontId="30" type="noConversion"/>
  </si>
  <si>
    <r>
      <rPr>
        <sz val="12"/>
        <color indexed="10"/>
        <rFont val="標楷體"/>
        <family val="4"/>
        <charset val="136"/>
      </rPr>
      <t>註</t>
    </r>
    <r>
      <rPr>
        <sz val="12"/>
        <color indexed="10"/>
        <rFont val="Times New Roman"/>
        <family val="1"/>
      </rPr>
      <t>8</t>
    </r>
    <phoneticPr fontId="30" type="noConversion"/>
  </si>
  <si>
    <r>
      <rPr>
        <sz val="12"/>
        <color indexed="10"/>
        <rFont val="標楷體"/>
        <family val="4"/>
        <charset val="136"/>
      </rPr>
      <t>註</t>
    </r>
    <r>
      <rPr>
        <sz val="12"/>
        <color indexed="10"/>
        <rFont val="Times New Roman"/>
        <family val="1"/>
      </rPr>
      <t>14</t>
    </r>
    <phoneticPr fontId="30" type="noConversion"/>
  </si>
  <si>
    <r>
      <rPr>
        <sz val="12"/>
        <color indexed="10"/>
        <rFont val="標楷體"/>
        <family val="4"/>
        <charset val="136"/>
      </rPr>
      <t>具資本性質債</t>
    </r>
    <phoneticPr fontId="32" type="noConversion"/>
  </si>
  <si>
    <r>
      <t>113</t>
    </r>
    <r>
      <rPr>
        <sz val="12"/>
        <color indexed="10"/>
        <rFont val="標楷體"/>
        <family val="4"/>
        <charset val="136"/>
      </rPr>
      <t>年起，投資國外保險相關事業，非屬實質互相投資</t>
    </r>
    <r>
      <rPr>
        <sz val="12"/>
        <color indexed="10"/>
        <rFont val="Times New Roman"/>
        <family val="1"/>
      </rPr>
      <t>(</t>
    </r>
    <r>
      <rPr>
        <sz val="12"/>
        <color indexed="10"/>
        <rFont val="標楷體"/>
        <family val="4"/>
        <charset val="136"/>
      </rPr>
      <t>與具控制與從屬關係之關係人交易</t>
    </r>
    <r>
      <rPr>
        <sz val="12"/>
        <color indexed="10"/>
        <rFont val="Times New Roman"/>
        <family val="1"/>
      </rPr>
      <t>)</t>
    </r>
    <phoneticPr fontId="32" type="noConversion"/>
  </si>
  <si>
    <r>
      <t>113</t>
    </r>
    <r>
      <rPr>
        <sz val="12"/>
        <color indexed="10"/>
        <rFont val="標楷體"/>
        <family val="4"/>
        <charset val="136"/>
      </rPr>
      <t>年起，投資國外保險相關事業，非屬實質互相投資</t>
    </r>
    <r>
      <rPr>
        <sz val="12"/>
        <color indexed="10"/>
        <rFont val="Times New Roman"/>
        <family val="1"/>
      </rPr>
      <t>(</t>
    </r>
    <r>
      <rPr>
        <sz val="12"/>
        <color indexed="10"/>
        <rFont val="標楷體"/>
        <family val="4"/>
        <charset val="136"/>
      </rPr>
      <t>與</t>
    </r>
    <r>
      <rPr>
        <sz val="16"/>
        <color indexed="10"/>
        <rFont val="標楷體"/>
        <family val="4"/>
        <charset val="136"/>
      </rPr>
      <t>非</t>
    </r>
    <r>
      <rPr>
        <sz val="12"/>
        <color indexed="10"/>
        <rFont val="標楷體"/>
        <family val="4"/>
        <charset val="136"/>
      </rPr>
      <t>控制與從屬關係之關係人交易</t>
    </r>
    <r>
      <rPr>
        <sz val="12"/>
        <color indexed="10"/>
        <rFont val="Times New Roman"/>
        <family val="1"/>
      </rPr>
      <t>)</t>
    </r>
    <phoneticPr fontId="32" type="noConversion"/>
  </si>
  <si>
    <t>19</t>
    <phoneticPr fontId="32" type="noConversion"/>
  </si>
  <si>
    <r>
      <rPr>
        <sz val="10"/>
        <color indexed="10"/>
        <rFont val="標楷體"/>
        <family val="4"/>
        <charset val="136"/>
      </rPr>
      <t>本表應包含</t>
    </r>
    <r>
      <rPr>
        <sz val="10"/>
        <color indexed="10"/>
        <rFont val="Times New Roman"/>
        <family val="1"/>
      </rPr>
      <t>SPV</t>
    </r>
    <r>
      <rPr>
        <sz val="10"/>
        <color indexed="10"/>
        <rFont val="標楷體"/>
        <family val="4"/>
        <charset val="136"/>
      </rPr>
      <t>國外籌資事業發行具資本性質債券所得之資金，該資金運用所投資之資產為本項目者</t>
    </r>
    <r>
      <rPr>
        <sz val="10"/>
        <color indexed="10"/>
        <rFont val="Times New Roman"/>
        <family val="1"/>
      </rPr>
      <t>(</t>
    </r>
    <r>
      <rPr>
        <sz val="10"/>
        <color indexed="10"/>
        <rFont val="標楷體"/>
        <family val="4"/>
        <charset val="136"/>
      </rPr>
      <t>請備註：國外籌資事業投資</t>
    </r>
    <r>
      <rPr>
        <sz val="10"/>
        <color indexed="10"/>
        <rFont val="Times New Roman"/>
        <family val="1"/>
      </rPr>
      <t>)</t>
    </r>
    <r>
      <rPr>
        <sz val="10"/>
        <color indexed="10"/>
        <rFont val="標楷體"/>
        <family val="4"/>
        <charset val="136"/>
      </rPr>
      <t>。</t>
    </r>
    <phoneticPr fontId="32" type="noConversion"/>
  </si>
  <si>
    <r>
      <rPr>
        <sz val="10"/>
        <rFont val="標楷體"/>
        <family val="4"/>
        <charset val="136"/>
      </rPr>
      <t>註：</t>
    </r>
    <phoneticPr fontId="30"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</si>
  <si>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2" type="noConversion"/>
  </si>
  <si>
    <r>
      <rPr>
        <sz val="10"/>
        <color indexed="10"/>
        <rFont val="標楷體"/>
        <family val="4"/>
        <charset val="136"/>
      </rPr>
      <t>本表應包含</t>
    </r>
    <r>
      <rPr>
        <sz val="10"/>
        <color indexed="10"/>
        <rFont val="Times New Roman"/>
        <family val="1"/>
      </rPr>
      <t>SPV</t>
    </r>
    <r>
      <rPr>
        <sz val="10"/>
        <color indexed="10"/>
        <rFont val="標楷體"/>
        <family val="4"/>
        <charset val="136"/>
      </rPr>
      <t>國外籌資事業發行具資本性質債券所得之資金，該資金運用所投資之資產為本項目者。</t>
    </r>
  </si>
  <si>
    <r>
      <rPr>
        <sz val="10"/>
        <color indexed="8"/>
        <rFont val="標楷體"/>
        <family val="4"/>
        <charset val="136"/>
      </rPr>
      <t>以自己</t>
    </r>
    <r>
      <rPr>
        <sz val="10"/>
        <color indexed="10"/>
        <rFont val="標楷體"/>
        <family val="4"/>
        <charset val="136"/>
      </rPr>
      <t>及國外籌資公司</t>
    </r>
    <r>
      <rPr>
        <sz val="10"/>
        <color indexed="8"/>
        <rFont val="標楷體"/>
        <family val="4"/>
        <charset val="136"/>
      </rPr>
      <t>名義</t>
    </r>
    <phoneticPr fontId="30" type="noConversion"/>
  </si>
  <si>
    <t>10</t>
    <phoneticPr fontId="32"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</si>
  <si>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t>
    </r>
    <r>
      <rPr>
        <sz val="12"/>
        <color indexed="10"/>
        <rFont val="Times New Roman"/>
        <family val="1"/>
      </rPr>
      <t>7</t>
    </r>
    <r>
      <rPr>
        <sz val="12"/>
        <color indexed="10"/>
        <rFont val="標楷體"/>
        <family val="4"/>
        <charset val="136"/>
      </rPr>
      <t>＋</t>
    </r>
    <r>
      <rPr>
        <sz val="12"/>
        <color indexed="10"/>
        <rFont val="Times New Roman"/>
        <family val="1"/>
      </rPr>
      <t>8)</t>
    </r>
    <r>
      <rPr>
        <sz val="12"/>
        <color indexed="10"/>
        <rFont val="標楷體"/>
        <family val="4"/>
        <charset val="136"/>
      </rPr>
      <t>欄第</t>
    </r>
    <r>
      <rPr>
        <sz val="12"/>
        <color indexed="10"/>
        <rFont val="Times New Roman"/>
        <family val="1"/>
      </rPr>
      <t>(38)</t>
    </r>
    <r>
      <rPr>
        <sz val="12"/>
        <color indexed="10"/>
        <rFont val="標楷體"/>
        <family val="4"/>
        <charset val="136"/>
      </rPr>
      <t>列</t>
    </r>
    <phoneticPr fontId="32"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</si>
  <si>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(24)</t>
    </r>
    <r>
      <rPr>
        <sz val="12"/>
        <color indexed="10"/>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(41)</t>
    </r>
    <r>
      <rPr>
        <sz val="12"/>
        <color indexed="10"/>
        <rFont val="標楷體"/>
        <family val="4"/>
        <charset val="136"/>
      </rPr>
      <t>列</t>
    </r>
    <phoneticPr fontId="32"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</si>
  <si>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t>
    </r>
    <r>
      <rPr>
        <sz val="12"/>
        <color indexed="10"/>
        <rFont val="Times New Roman"/>
        <family val="1"/>
      </rPr>
      <t>7</t>
    </r>
    <r>
      <rPr>
        <sz val="12"/>
        <color indexed="10"/>
        <rFont val="標楷體"/>
        <family val="4"/>
        <charset val="136"/>
      </rPr>
      <t>＋</t>
    </r>
    <r>
      <rPr>
        <sz val="12"/>
        <color indexed="10"/>
        <rFont val="Times New Roman"/>
        <family val="1"/>
      </rPr>
      <t>8)</t>
    </r>
    <r>
      <rPr>
        <sz val="12"/>
        <color indexed="10"/>
        <rFont val="標楷體"/>
        <family val="4"/>
        <charset val="136"/>
      </rPr>
      <t>欄第</t>
    </r>
    <r>
      <rPr>
        <sz val="12"/>
        <color indexed="10"/>
        <rFont val="Times New Roman"/>
        <family val="1"/>
      </rPr>
      <t>(39)</t>
    </r>
    <r>
      <rPr>
        <sz val="12"/>
        <color indexed="10"/>
        <rFont val="標楷體"/>
        <family val="4"/>
        <charset val="136"/>
      </rPr>
      <t>列</t>
    </r>
    <phoneticPr fontId="32"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</si>
  <si>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(25)</t>
    </r>
    <r>
      <rPr>
        <sz val="12"/>
        <color indexed="10"/>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(42)</t>
    </r>
    <r>
      <rPr>
        <sz val="12"/>
        <color indexed="10"/>
        <rFont val="標楷體"/>
        <family val="4"/>
        <charset val="136"/>
      </rPr>
      <t>列</t>
    </r>
    <phoneticPr fontId="32" type="noConversion"/>
  </si>
  <si>
    <t>註8</t>
    <phoneticPr fontId="32"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</si>
  <si>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color indexed="10"/>
        <rFont val="Times New Roman"/>
        <family val="1"/>
      </rPr>
      <t>(</t>
    </r>
    <r>
      <rPr>
        <sz val="12"/>
        <color indexed="10"/>
        <rFont val="標楷體"/>
        <family val="4"/>
        <charset val="136"/>
      </rPr>
      <t>註</t>
    </r>
    <r>
      <rPr>
        <sz val="12"/>
        <color indexed="10"/>
        <rFont val="Times New Roman"/>
        <family val="1"/>
      </rPr>
      <t>11)</t>
    </r>
    <phoneticPr fontId="30" type="noConversion"/>
  </si>
  <si>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32" type="noConversion"/>
  </si>
  <si>
    <r>
      <rPr>
        <sz val="12"/>
        <color indexed="10"/>
        <rFont val="標楷體"/>
        <family val="4"/>
        <charset val="136"/>
      </rPr>
      <t>註</t>
    </r>
    <r>
      <rPr>
        <sz val="12"/>
        <color indexed="10"/>
        <rFont val="Times New Roman"/>
        <family val="1"/>
      </rPr>
      <t>2</t>
    </r>
    <phoneticPr fontId="30" type="noConversion"/>
  </si>
  <si>
    <r>
      <rPr>
        <sz val="12"/>
        <color indexed="10"/>
        <rFont val="標楷體"/>
        <family val="4"/>
        <charset val="136"/>
      </rPr>
      <t>以</t>
    </r>
    <r>
      <rPr>
        <sz val="12"/>
        <color indexed="10"/>
        <rFont val="Times New Roman"/>
        <family val="1"/>
      </rPr>
      <t>Issuer Credit Rating</t>
    </r>
    <r>
      <rPr>
        <sz val="12"/>
        <color indexed="10"/>
        <rFont val="標楷體"/>
        <family val="4"/>
        <charset val="136"/>
      </rPr>
      <t>為填列基礎</t>
    </r>
    <r>
      <rPr>
        <sz val="12"/>
        <color indexed="10"/>
        <rFont val="Times New Roman"/>
        <family val="1"/>
      </rPr>
      <t>(</t>
    </r>
    <r>
      <rPr>
        <sz val="12"/>
        <color indexed="10"/>
        <rFont val="標楷體"/>
        <family val="4"/>
        <charset val="136"/>
      </rPr>
      <t>或實質相同意函之評等</t>
    </r>
    <r>
      <rPr>
        <sz val="12"/>
        <color indexed="10"/>
        <rFont val="Times New Roman"/>
        <family val="1"/>
      </rPr>
      <t>)</t>
    </r>
    <r>
      <rPr>
        <sz val="12"/>
        <color indexed="10"/>
        <rFont val="標楷體"/>
        <family val="4"/>
        <charset val="136"/>
      </rPr>
      <t>，若無法取得信用評等等級者，則按最低評等等級所對應之數值作為風險係數。</t>
    </r>
    <phoneticPr fontId="32" type="noConversion"/>
  </si>
  <si>
    <r>
      <rPr>
        <sz val="12"/>
        <color indexed="10"/>
        <rFont val="標楷體"/>
        <family val="4"/>
        <charset val="136"/>
      </rPr>
      <t>註</t>
    </r>
    <r>
      <rPr>
        <sz val="12"/>
        <color indexed="10"/>
        <rFont val="Times New Roman"/>
        <family val="1"/>
      </rPr>
      <t>3</t>
    </r>
    <r>
      <rPr>
        <sz val="12"/>
        <color theme="1"/>
        <rFont val="新細明體"/>
        <family val="2"/>
        <charset val="136"/>
        <scheme val="minor"/>
      </rPr>
      <t/>
    </r>
  </si>
  <si>
    <r>
      <rPr>
        <sz val="12"/>
        <color indexed="10"/>
        <rFont val="標楷體"/>
        <family val="4"/>
        <charset val="136"/>
      </rPr>
      <t>註</t>
    </r>
    <r>
      <rPr>
        <sz val="12"/>
        <color indexed="10"/>
        <rFont val="Times New Roman"/>
        <family val="1"/>
      </rPr>
      <t>4</t>
    </r>
    <r>
      <rPr>
        <sz val="12"/>
        <color theme="1"/>
        <rFont val="新細明體"/>
        <family val="2"/>
        <charset val="136"/>
        <scheme val="minor"/>
      </rPr>
      <t/>
    </r>
  </si>
  <si>
    <r>
      <rPr>
        <sz val="12"/>
        <color indexed="10"/>
        <rFont val="標楷體"/>
        <family val="4"/>
        <charset val="136"/>
      </rPr>
      <t>註</t>
    </r>
    <r>
      <rPr>
        <sz val="12"/>
        <color indexed="10"/>
        <rFont val="Times New Roman"/>
        <family val="1"/>
      </rPr>
      <t>5</t>
    </r>
    <r>
      <rPr>
        <sz val="12"/>
        <color theme="1"/>
        <rFont val="新細明體"/>
        <family val="2"/>
        <charset val="136"/>
        <scheme val="minor"/>
      </rPr>
      <t/>
    </r>
  </si>
  <si>
    <r>
      <rPr>
        <sz val="12"/>
        <color indexed="10"/>
        <rFont val="標楷體"/>
        <family val="4"/>
        <charset val="136"/>
      </rPr>
      <t>註</t>
    </r>
    <r>
      <rPr>
        <sz val="12"/>
        <color indexed="10"/>
        <rFont val="Times New Roman"/>
        <family val="1"/>
      </rPr>
      <t>6</t>
    </r>
    <r>
      <rPr>
        <sz val="12"/>
        <color theme="1"/>
        <rFont val="新細明體"/>
        <family val="2"/>
        <charset val="136"/>
        <scheme val="minor"/>
      </rPr>
      <t/>
    </r>
  </si>
  <si>
    <r>
      <rPr>
        <sz val="12"/>
        <color indexed="10"/>
        <rFont val="標楷體"/>
        <family val="4"/>
        <charset val="136"/>
      </rPr>
      <t>註</t>
    </r>
    <r>
      <rPr>
        <sz val="12"/>
        <color indexed="10"/>
        <rFont val="Times New Roman"/>
        <family val="1"/>
      </rPr>
      <t>7</t>
    </r>
    <r>
      <rPr>
        <sz val="12"/>
        <color theme="1"/>
        <rFont val="新細明體"/>
        <family val="2"/>
        <charset val="136"/>
        <scheme val="minor"/>
      </rPr>
      <t/>
    </r>
  </si>
  <si>
    <r>
      <rPr>
        <sz val="12"/>
        <color indexed="10"/>
        <rFont val="標楷體"/>
        <family val="4"/>
        <charset val="136"/>
      </rPr>
      <t>註</t>
    </r>
    <r>
      <rPr>
        <sz val="12"/>
        <color indexed="10"/>
        <rFont val="Times New Roman"/>
        <family val="1"/>
      </rPr>
      <t>8</t>
    </r>
    <r>
      <rPr>
        <sz val="12"/>
        <color theme="1"/>
        <rFont val="新細明體"/>
        <family val="2"/>
        <charset val="136"/>
        <scheme val="minor"/>
      </rPr>
      <t/>
    </r>
  </si>
  <si>
    <r>
      <rPr>
        <sz val="12"/>
        <color indexed="10"/>
        <rFont val="標楷體"/>
        <family val="4"/>
        <charset val="136"/>
      </rPr>
      <t>註</t>
    </r>
    <r>
      <rPr>
        <sz val="12"/>
        <color indexed="10"/>
        <rFont val="Times New Roman"/>
        <family val="1"/>
      </rPr>
      <t>9</t>
    </r>
    <r>
      <rPr>
        <sz val="12"/>
        <color theme="1"/>
        <rFont val="新細明體"/>
        <family val="2"/>
        <charset val="136"/>
        <scheme val="minor"/>
      </rPr>
      <t/>
    </r>
  </si>
  <si>
    <r>
      <rPr>
        <sz val="12"/>
        <color indexed="10"/>
        <rFont val="標楷體"/>
        <family val="4"/>
        <charset val="136"/>
      </rPr>
      <t>註</t>
    </r>
    <r>
      <rPr>
        <sz val="12"/>
        <color indexed="10"/>
        <rFont val="Times New Roman"/>
        <family val="1"/>
      </rPr>
      <t>10</t>
    </r>
    <phoneticPr fontId="30" type="noConversion"/>
  </si>
  <si>
    <r>
      <rPr>
        <sz val="12"/>
        <color indexed="10"/>
        <rFont val="標楷體"/>
        <family val="4"/>
        <charset val="136"/>
      </rPr>
      <t>註</t>
    </r>
    <r>
      <rPr>
        <sz val="12"/>
        <color indexed="10"/>
        <rFont val="Times New Roman"/>
        <family val="1"/>
      </rPr>
      <t>11</t>
    </r>
    <phoneticPr fontId="30" type="noConversion"/>
  </si>
  <si>
    <r>
      <rPr>
        <sz val="12"/>
        <color indexed="10"/>
        <rFont val="標楷體"/>
        <family val="4"/>
        <charset val="136"/>
      </rPr>
      <t>註</t>
    </r>
    <r>
      <rPr>
        <sz val="12"/>
        <color indexed="10"/>
        <rFont val="Times New Roman"/>
        <family val="1"/>
      </rPr>
      <t>12</t>
    </r>
    <phoneticPr fontId="30" type="noConversion"/>
  </si>
  <si>
    <r>
      <rPr>
        <sz val="12"/>
        <color indexed="10"/>
        <rFont val="標楷體"/>
        <family val="4"/>
        <charset val="136"/>
      </rPr>
      <t>俄羅斯公債若無信用評等，則曝險部位填列到</t>
    </r>
    <r>
      <rPr>
        <sz val="12"/>
        <color indexed="10"/>
        <rFont val="Times New Roman"/>
        <family val="1"/>
      </rPr>
      <t>Caa1</t>
    </r>
    <phoneticPr fontId="32" type="noConversion"/>
  </si>
  <si>
    <r>
      <rPr>
        <sz val="12"/>
        <rFont val="標楷體"/>
        <family val="4"/>
        <charset val="136"/>
      </rPr>
      <t>若無法取得投資標的之信用評等等級者，則按最低評等等級所對應之數值作為風險係數。</t>
    </r>
  </si>
  <si>
    <r>
      <t xml:space="preserve">5.2.1 </t>
    </r>
    <r>
      <rPr>
        <sz val="10"/>
        <color indexed="10"/>
        <rFont val="標楷體"/>
        <family val="4"/>
        <charset val="136"/>
      </rPr>
      <t>自</t>
    </r>
    <r>
      <rPr>
        <sz val="10"/>
        <color indexed="10"/>
        <rFont val="Times New Roman"/>
        <family val="1"/>
      </rPr>
      <t>113.1.1</t>
    </r>
    <r>
      <rPr>
        <sz val="10"/>
        <color indexed="10"/>
        <rFont val="標楷體"/>
        <family val="4"/>
        <charset val="136"/>
      </rPr>
      <t xml:space="preserve">起，投資於關係人且屬於國外保險
</t>
    </r>
    <r>
      <rPr>
        <sz val="10"/>
        <color indexed="10"/>
        <rFont val="Times New Roman"/>
        <family val="1"/>
      </rPr>
      <t xml:space="preserve">          </t>
    </r>
    <r>
      <rPr>
        <sz val="10"/>
        <color indexed="10"/>
        <rFont val="標楷體"/>
        <family val="4"/>
        <charset val="136"/>
      </rPr>
      <t>相關事業</t>
    </r>
    <r>
      <rPr>
        <sz val="10"/>
        <color indexed="10"/>
        <rFont val="Times New Roman"/>
        <family val="1"/>
      </rPr>
      <t>_</t>
    </r>
    <r>
      <rPr>
        <sz val="10"/>
        <color indexed="10"/>
        <rFont val="標楷體"/>
        <family val="4"/>
        <charset val="136"/>
      </rPr>
      <t>評價日淨認許資產金額</t>
    </r>
    <phoneticPr fontId="32" type="noConversion"/>
  </si>
  <si>
    <r>
      <t xml:space="preserve">5.2.2 </t>
    </r>
    <r>
      <rPr>
        <sz val="10"/>
        <color indexed="10"/>
        <rFont val="標楷體"/>
        <family val="4"/>
        <charset val="136"/>
      </rPr>
      <t>國外籌資事業投資相關之淨認許資產</t>
    </r>
    <r>
      <rPr>
        <sz val="10"/>
        <color indexed="10"/>
        <rFont val="Times New Roman"/>
        <family val="1"/>
      </rPr>
      <t>(</t>
    </r>
    <r>
      <rPr>
        <sz val="10"/>
        <color indexed="10"/>
        <rFont val="標楷體"/>
        <family val="4"/>
        <charset val="136"/>
      </rPr>
      <t>註</t>
    </r>
    <r>
      <rPr>
        <sz val="10"/>
        <color indexed="10"/>
        <rFont val="Times New Roman"/>
        <family val="1"/>
      </rPr>
      <t>3)</t>
    </r>
    <phoneticPr fontId="32"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</si>
  <si>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rgb="FFFF0000"/>
        <rFont val="Times New Roman"/>
        <family val="1"/>
      </rPr>
      <t xml:space="preserve"> - </t>
    </r>
    <r>
      <rPr>
        <sz val="10"/>
        <color rgb="FFFF0000"/>
        <rFont val="標楷體"/>
        <family val="4"/>
        <charset val="136"/>
      </rPr>
      <t>本表</t>
    </r>
    <r>
      <rPr>
        <sz val="10"/>
        <color rgb="FFFF0000"/>
        <rFont val="Times New Roman"/>
        <family val="1"/>
      </rPr>
      <t xml:space="preserve">5.2.1 + </t>
    </r>
    <r>
      <rPr>
        <sz val="10"/>
        <color rgb="FFFF0000"/>
        <rFont val="標楷體"/>
        <family val="4"/>
        <charset val="136"/>
      </rPr>
      <t>本表</t>
    </r>
    <r>
      <rPr>
        <sz val="10"/>
        <color rgb="FFFF0000"/>
        <rFont val="Times New Roman"/>
        <family val="1"/>
      </rPr>
      <t xml:space="preserve"> 5.2.2</t>
    </r>
    <phoneticPr fontId="30" type="noConversion"/>
  </si>
  <si>
    <r>
      <rPr>
        <sz val="10"/>
        <color indexed="10"/>
        <rFont val="標楷體"/>
        <family val="4"/>
        <charset val="136"/>
      </rPr>
      <t>註</t>
    </r>
    <r>
      <rPr>
        <sz val="10"/>
        <color indexed="10"/>
        <rFont val="Times New Roman"/>
        <family val="1"/>
      </rPr>
      <t>2</t>
    </r>
    <r>
      <rPr>
        <sz val="10"/>
        <color indexed="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30" type="noConversion"/>
  </si>
  <si>
    <r>
      <rPr>
        <b/>
        <sz val="12"/>
        <color theme="1"/>
        <rFont val="標楷體"/>
        <family val="4"/>
        <charset val="136"/>
      </rPr>
      <t>項目</t>
    </r>
    <phoneticPr fontId="30" type="noConversion"/>
  </si>
  <si>
    <r>
      <rPr>
        <b/>
        <sz val="12"/>
        <color theme="1"/>
        <rFont val="標楷體"/>
        <family val="4"/>
        <charset val="136"/>
      </rPr>
      <t>資料來源</t>
    </r>
    <phoneticPr fontId="30" type="noConversion"/>
  </si>
  <si>
    <r>
      <rPr>
        <b/>
        <sz val="12"/>
        <color theme="1"/>
        <rFont val="標楷體"/>
        <family val="4"/>
        <charset val="136"/>
      </rPr>
      <t>金額</t>
    </r>
    <phoneticPr fontId="30" type="noConversion"/>
  </si>
  <si>
    <r>
      <rPr>
        <b/>
        <sz val="12"/>
        <color theme="1"/>
        <rFont val="標楷體"/>
        <family val="4"/>
        <charset val="136"/>
      </rPr>
      <t>比例</t>
    </r>
    <phoneticPr fontId="30" type="noConversion"/>
  </si>
  <si>
    <r>
      <rPr>
        <b/>
        <sz val="12"/>
        <color theme="1"/>
        <rFont val="標楷體"/>
        <family val="4"/>
        <charset val="136"/>
      </rPr>
      <t>限額</t>
    </r>
  </si>
  <si>
    <r>
      <rPr>
        <sz val="12"/>
        <color theme="1"/>
        <rFont val="標楷體"/>
        <family val="4"/>
        <charset val="136"/>
      </rPr>
      <t>「表</t>
    </r>
    <r>
      <rPr>
        <sz val="12"/>
        <color theme="1"/>
        <rFont val="Times New Roman"/>
        <family val="1"/>
      </rPr>
      <t>30-1</t>
    </r>
    <r>
      <rPr>
        <sz val="12"/>
        <color theme="1"/>
        <rFont val="標楷體"/>
        <family val="4"/>
        <charset val="136"/>
      </rPr>
      <t>」風險資本總額</t>
    </r>
    <phoneticPr fontId="30" type="noConversion"/>
  </si>
  <si>
    <r>
      <rPr>
        <sz val="12"/>
        <color theme="1"/>
        <rFont val="標楷體"/>
        <family val="4"/>
        <charset val="136"/>
      </rPr>
      <t>第一類限制性資本</t>
    </r>
    <r>
      <rPr>
        <sz val="12"/>
        <color theme="1"/>
        <rFont val="Times New Roman"/>
        <family val="1"/>
      </rPr>
      <t>(T1L)</t>
    </r>
    <phoneticPr fontId="32" type="noConversion"/>
  </si>
  <si>
    <r>
      <rPr>
        <sz val="12"/>
        <color theme="1"/>
        <rFont val="標楷體"/>
        <family val="4"/>
        <charset val="136"/>
      </rPr>
      <t>風險資本總額</t>
    </r>
    <r>
      <rPr>
        <sz val="12"/>
        <color theme="1"/>
        <rFont val="Times New Roman"/>
        <family val="1"/>
      </rPr>
      <t>*20%</t>
    </r>
    <phoneticPr fontId="32" type="noConversion"/>
  </si>
  <si>
    <r>
      <rPr>
        <sz val="12"/>
        <color theme="1"/>
        <rFont val="標楷體"/>
        <family val="4"/>
        <charset val="136"/>
      </rPr>
      <t>第二類資本</t>
    </r>
    <r>
      <rPr>
        <sz val="12"/>
        <color theme="1"/>
        <rFont val="Times New Roman"/>
        <family val="1"/>
      </rPr>
      <t>(T2)</t>
    </r>
    <phoneticPr fontId="32" type="noConversion"/>
  </si>
  <si>
    <r>
      <rPr>
        <sz val="12"/>
        <color theme="1"/>
        <rFont val="標楷體"/>
        <family val="4"/>
        <charset val="136"/>
      </rPr>
      <t>風險資本總額</t>
    </r>
    <r>
      <rPr>
        <sz val="12"/>
        <color theme="1"/>
        <rFont val="Times New Roman"/>
        <family val="1"/>
      </rPr>
      <t>*100%</t>
    </r>
    <phoneticPr fontId="32" type="noConversion"/>
  </si>
  <si>
    <r>
      <rPr>
        <b/>
        <sz val="12"/>
        <color theme="1"/>
        <rFont val="標楷體"/>
        <family val="4"/>
        <charset val="136"/>
      </rPr>
      <t>自有資本額</t>
    </r>
    <phoneticPr fontId="30" type="noConversion"/>
  </si>
  <si>
    <r>
      <rPr>
        <b/>
        <sz val="12"/>
        <color theme="1"/>
        <rFont val="標楷體"/>
        <family val="4"/>
        <charset val="136"/>
      </rPr>
      <t>備註</t>
    </r>
    <phoneticPr fontId="32" type="noConversion"/>
  </si>
  <si>
    <r>
      <rPr>
        <sz val="12"/>
        <color theme="1"/>
        <rFont val="標楷體"/>
        <family val="4"/>
        <charset val="136"/>
      </rPr>
      <t>權益總額</t>
    </r>
    <r>
      <rPr>
        <sz val="12"/>
        <color theme="1"/>
        <rFont val="Times New Roman"/>
        <family val="1"/>
      </rPr>
      <t>(</t>
    </r>
    <r>
      <rPr>
        <sz val="12"/>
        <color theme="1"/>
        <rFont val="標楷體"/>
        <family val="4"/>
        <charset val="136"/>
      </rPr>
      <t>淨認許權益</t>
    </r>
    <r>
      <rPr>
        <sz val="12"/>
        <color theme="1"/>
        <rFont val="Times New Roman"/>
        <family val="1"/>
      </rPr>
      <t>)</t>
    </r>
    <phoneticPr fontId="30"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</si>
  <si>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(14)</t>
    </r>
    <r>
      <rPr>
        <sz val="12"/>
        <color theme="1"/>
        <rFont val="標楷體"/>
        <family val="4"/>
        <charset val="136"/>
      </rPr>
      <t>欄第</t>
    </r>
    <r>
      <rPr>
        <sz val="12"/>
        <color theme="1"/>
        <rFont val="Times New Roman"/>
        <family val="1"/>
      </rPr>
      <t>(95)</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</si>
  <si>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(9)</t>
    </r>
    <r>
      <rPr>
        <sz val="12"/>
        <color theme="1"/>
        <rFont val="標楷體"/>
        <family val="4"/>
        <charset val="136"/>
      </rPr>
      <t>欄第</t>
    </r>
    <r>
      <rPr>
        <sz val="12"/>
        <color theme="1"/>
        <rFont val="Times New Roman"/>
        <family val="1"/>
      </rPr>
      <t>(2)</t>
    </r>
    <r>
      <rPr>
        <sz val="12"/>
        <color theme="1"/>
        <rFont val="標楷體"/>
        <family val="4"/>
        <charset val="136"/>
      </rPr>
      <t>列</t>
    </r>
    <phoneticPr fontId="30" type="noConversion"/>
  </si>
  <si>
    <r>
      <rPr>
        <sz val="12"/>
        <color theme="1"/>
        <rFont val="標楷體"/>
        <family val="4"/>
        <charset val="136"/>
      </rPr>
      <t>責任準備</t>
    </r>
    <r>
      <rPr>
        <sz val="12"/>
        <color theme="1"/>
        <rFont val="Times New Roman"/>
        <family val="1"/>
      </rPr>
      <t>-</t>
    </r>
    <r>
      <rPr>
        <sz val="12"/>
        <color theme="1"/>
        <rFont val="標楷體"/>
        <family val="4"/>
        <charset val="136"/>
      </rPr>
      <t>保險合約負債公平價值</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</si>
  <si>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其他經主管機關專案核定調整之項目及金額者，另依核定之方式計算</t>
    </r>
    <phoneticPr fontId="30" type="noConversion"/>
  </si>
  <si>
    <r>
      <rPr>
        <sz val="12"/>
        <color theme="1"/>
        <rFont val="標楷體"/>
        <family val="4"/>
        <charset val="136"/>
      </rPr>
      <t>調整股票型金融資產帳載金額為半年收盤平均價</t>
    </r>
    <phoneticPr fontId="30"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</si>
  <si>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</si>
  <si>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rPr>
        <sz val="12"/>
        <color theme="1"/>
        <rFont val="標楷體"/>
        <family val="4"/>
        <charset val="136"/>
      </rPr>
      <t>權益投資相關調整</t>
    </r>
    <phoneticPr fontId="32"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</si>
  <si>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上市櫃股票投資」未實現評價利益</t>
    </r>
    <phoneticPr fontId="30"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</si>
  <si>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30" type="noConversion"/>
  </si>
  <si>
    <r>
      <rPr>
        <sz val="12"/>
        <color theme="1"/>
        <rFont val="標楷體"/>
        <family val="4"/>
        <charset val="136"/>
      </rPr>
      <t>「透過其他綜合損益按公允價值衡量之金融資產</t>
    </r>
    <r>
      <rPr>
        <sz val="12"/>
        <color theme="1"/>
        <rFont val="Times New Roman"/>
        <family val="1"/>
      </rPr>
      <t>--</t>
    </r>
    <r>
      <rPr>
        <sz val="12"/>
        <color theme="1"/>
        <rFont val="標楷體"/>
        <family val="4"/>
        <charset val="136"/>
      </rPr>
      <t>上市櫃股票投資」未實現評價利益</t>
    </r>
    <phoneticPr fontId="30"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</si>
  <si>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30" type="noConversion"/>
  </si>
  <si>
    <r>
      <rPr>
        <sz val="12"/>
        <color theme="1"/>
        <rFont val="標楷體"/>
        <family val="4"/>
        <charset val="136"/>
      </rPr>
      <t>未上市櫃股票投資未實現評價利益</t>
    </r>
    <phoneticPr fontId="34"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</si>
  <si>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(13)</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</si>
  <si>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rPr>
        <sz val="12"/>
        <color theme="1"/>
        <rFont val="標楷體"/>
        <family val="4"/>
        <charset val="136"/>
      </rPr>
      <t>投資於屬實質互相投資之具資本性質債券及負債型特別股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</si>
  <si>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</si>
  <si>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rPr>
        <sz val="12"/>
        <color theme="1"/>
        <rFont val="標楷體"/>
        <family val="4"/>
        <charset val="136"/>
      </rPr>
      <t>投資於非屬實質互相投資之具資本性質債券及負債型特別股合計超過淨值</t>
    </r>
    <r>
      <rPr>
        <sz val="12"/>
        <color theme="1"/>
        <rFont val="Times New Roman"/>
        <family val="1"/>
      </rPr>
      <t>10%</t>
    </r>
    <r>
      <rPr>
        <sz val="12"/>
        <color theme="1"/>
        <rFont val="標楷體"/>
        <family val="4"/>
        <charset val="136"/>
      </rPr>
      <t>金額</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</si>
  <si>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(23)</t>
    </r>
    <r>
      <rPr>
        <sz val="12"/>
        <color theme="1"/>
        <rFont val="標楷體"/>
        <family val="4"/>
        <charset val="136"/>
      </rPr>
      <t>列</t>
    </r>
    <phoneticPr fontId="30" type="noConversion"/>
  </si>
  <si>
    <r>
      <rPr>
        <sz val="12"/>
        <color theme="1"/>
        <rFont val="標楷體"/>
        <family val="4"/>
        <charset val="136"/>
      </rPr>
      <t>投資於關係人且屬於國外保險相關事業其該公司之法定資本不足數</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</si>
  <si>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(7)</t>
    </r>
    <r>
      <rPr>
        <sz val="12"/>
        <color theme="1"/>
        <rFont val="標楷體"/>
        <family val="4"/>
        <charset val="136"/>
      </rPr>
      <t>欄第</t>
    </r>
    <r>
      <rPr>
        <sz val="12"/>
        <color theme="1"/>
        <rFont val="Times New Roman"/>
        <family val="1"/>
      </rPr>
      <t>(17)</t>
    </r>
    <r>
      <rPr>
        <sz val="12"/>
        <color theme="1"/>
        <rFont val="標楷體"/>
        <family val="4"/>
        <charset val="136"/>
      </rPr>
      <t>列</t>
    </r>
    <phoneticPr fontId="30" type="noConversion"/>
  </si>
  <si>
    <r>
      <rPr>
        <sz val="12"/>
        <color theme="1"/>
        <rFont val="標楷體"/>
        <family val="4"/>
        <charset val="136"/>
      </rPr>
      <t>特別盈餘公積</t>
    </r>
    <r>
      <rPr>
        <sz val="12"/>
        <color theme="1"/>
        <rFont val="Times New Roman"/>
        <family val="1"/>
      </rPr>
      <t>-</t>
    </r>
    <r>
      <rPr>
        <sz val="12"/>
        <color theme="1"/>
        <rFont val="標楷體"/>
        <family val="4"/>
        <charset val="136"/>
      </rPr>
      <t>不動產增值利益</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</si>
  <si>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32" type="noConversion"/>
  </si>
  <si>
    <r>
      <t>113.1.1</t>
    </r>
    <r>
      <rPr>
        <sz val="12"/>
        <color theme="1"/>
        <rFont val="標楷體"/>
        <family val="4"/>
        <charset val="136"/>
      </rPr>
      <t>起，投資於關係人且屬於國外保險相關事業</t>
    </r>
    <r>
      <rPr>
        <sz val="12"/>
        <color theme="1"/>
        <rFont val="Times New Roman"/>
        <family val="1"/>
      </rPr>
      <t>_</t>
    </r>
    <r>
      <rPr>
        <sz val="12"/>
        <color theme="1"/>
        <rFont val="標楷體"/>
        <family val="4"/>
        <charset val="136"/>
      </rPr>
      <t>評價日帳面金額</t>
    </r>
    <phoneticPr fontId="32"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</si>
  <si>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涉及「保險業於發行時或發行後對持有該等資本工具之持有人提供相關融資，有減損其作為資本工具之實質效益者」金額</t>
    </r>
    <phoneticPr fontId="32"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</si>
  <si>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涉及「保險業之子公司及保險業金融控股母公司之子公司，持有該等資本工具」金額</t>
    </r>
    <phoneticPr fontId="32"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</si>
  <si>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涉及「保險業對其具有重大影響力之被投資公司，持有之該等資本工具」金額</t>
    </r>
    <phoneticPr fontId="32"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</si>
  <si>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t>
    </r>
    <phoneticPr fontId="32" type="noConversion"/>
  </si>
  <si>
    <r>
      <rPr>
        <sz val="12"/>
        <color theme="1"/>
        <rFont val="標楷體"/>
        <family val="4"/>
        <charset val="136"/>
      </rPr>
      <t>「第一類非限制性資本」合計</t>
    </r>
    <phoneticPr fontId="32" type="noConversion"/>
  </si>
  <si>
    <r>
      <rPr>
        <sz val="12"/>
        <color theme="1"/>
        <rFont val="標楷體"/>
        <family val="4"/>
        <charset val="136"/>
      </rPr>
      <t>負債型特別股</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t>
    </r>
    <phoneticPr fontId="30"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</si>
  <si>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0" type="noConversion"/>
  </si>
  <si>
    <r>
      <rPr>
        <sz val="12"/>
        <color theme="1"/>
        <rFont val="標楷體"/>
        <family val="4"/>
        <charset val="136"/>
      </rPr>
      <t>具資本性資債券</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t>
    </r>
    <phoneticPr fontId="30"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</si>
  <si>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0"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</si>
  <si>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扣除加回</t>
    </r>
    <r>
      <rPr>
        <sz val="12"/>
        <color theme="1"/>
        <rFont val="Times New Roman"/>
        <family val="1"/>
      </rPr>
      <t>T1L</t>
    </r>
    <phoneticPr fontId="32"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</si>
  <si>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涉及「保險業於發行時或發行後對持有該等資本工具之持有人提供相關融資，有減損其作為資本工具之實質效益者」金額</t>
    </r>
    <phoneticPr fontId="32"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</si>
  <si>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涉及「保險業之子公司及保險業金融控股母公司之子公司，持有該等資本工具」金額</t>
    </r>
    <phoneticPr fontId="32"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</si>
  <si>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涉及「保險業對其具有重大影響力之被投資公司，持有之該等資本工具」金額</t>
    </r>
    <phoneticPr fontId="32"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</si>
  <si>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T1L</t>
    </r>
    <r>
      <rPr>
        <sz val="12"/>
        <color theme="1"/>
        <rFont val="標楷體"/>
        <family val="4"/>
        <charset val="136"/>
      </rPr>
      <t>扣除</t>
    </r>
    <phoneticPr fontId="32" type="noConversion"/>
  </si>
  <si>
    <r>
      <rPr>
        <sz val="12"/>
        <color theme="1"/>
        <rFont val="標楷體"/>
        <family val="4"/>
        <charset val="136"/>
      </rPr>
      <t>「第一類限制性資本」合計</t>
    </r>
    <r>
      <rPr>
        <sz val="12"/>
        <color theme="1"/>
        <rFont val="Times New Roman"/>
        <family val="1"/>
      </rPr>
      <t>_</t>
    </r>
    <r>
      <rPr>
        <sz val="12"/>
        <color theme="1"/>
        <rFont val="標楷體"/>
        <family val="4"/>
        <charset val="136"/>
      </rPr>
      <t>反映限額前</t>
    </r>
    <phoneticPr fontId="32" type="noConversion"/>
  </si>
  <si>
    <r>
      <rPr>
        <sz val="12"/>
        <color theme="1"/>
        <rFont val="標楷體"/>
        <family val="4"/>
        <charset val="136"/>
      </rPr>
      <t>「第一類限制性資本」合計</t>
    </r>
    <r>
      <rPr>
        <sz val="12"/>
        <color theme="1"/>
        <rFont val="Times New Roman"/>
        <family val="1"/>
      </rPr>
      <t>_</t>
    </r>
    <r>
      <rPr>
        <sz val="12"/>
        <color theme="1"/>
        <rFont val="標楷體"/>
        <family val="4"/>
        <charset val="136"/>
      </rPr>
      <t>反映限額後</t>
    </r>
    <phoneticPr fontId="32" type="noConversion"/>
  </si>
  <si>
    <r>
      <rPr>
        <sz val="12"/>
        <color theme="1"/>
        <rFont val="標楷體"/>
        <family val="4"/>
        <charset val="136"/>
      </rPr>
      <t>不動產增值利益相關</t>
    </r>
    <r>
      <rPr>
        <sz val="12"/>
        <color theme="1"/>
        <rFont val="Times New Roman"/>
        <family val="1"/>
      </rPr>
      <t>_</t>
    </r>
    <r>
      <rPr>
        <sz val="12"/>
        <color theme="1"/>
        <rFont val="標楷體"/>
        <family val="4"/>
        <charset val="136"/>
      </rPr>
      <t>不受限制</t>
    </r>
    <phoneticPr fontId="32" type="noConversion"/>
  </si>
  <si>
    <r>
      <rPr>
        <sz val="12"/>
        <color theme="1"/>
        <rFont val="標楷體"/>
        <family val="4"/>
        <charset val="136"/>
      </rPr>
      <t>不動產增值利益相關</t>
    </r>
    <r>
      <rPr>
        <sz val="12"/>
        <color theme="1"/>
        <rFont val="Times New Roman"/>
        <family val="1"/>
      </rPr>
      <t>_</t>
    </r>
    <r>
      <rPr>
        <sz val="12"/>
        <color theme="1"/>
        <rFont val="標楷體"/>
        <family val="4"/>
        <charset val="136"/>
      </rPr>
      <t>受限制</t>
    </r>
    <phoneticPr fontId="32" type="noConversion"/>
  </si>
  <si>
    <r>
      <rPr>
        <sz val="12"/>
        <color theme="1"/>
        <rFont val="標楷體"/>
        <family val="4"/>
        <charset val="136"/>
      </rPr>
      <t>負債型特別股</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t>
    </r>
    <phoneticPr fontId="30"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</si>
  <si>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2" type="noConversion"/>
  </si>
  <si>
    <r>
      <rPr>
        <sz val="12"/>
        <color theme="1"/>
        <rFont val="標楷體"/>
        <family val="4"/>
        <charset val="136"/>
      </rPr>
      <t>具資本性資債券</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t>
    </r>
    <phoneticPr fontId="30"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</si>
  <si>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2" type="noConversion"/>
  </si>
  <si>
    <r>
      <rPr>
        <sz val="12"/>
        <color theme="1"/>
        <rFont val="標楷體"/>
        <family val="4"/>
        <charset val="136"/>
      </rPr>
      <t>負債型特別股：為累積或有利率加碼條件或其他提前贖回之誘因</t>
    </r>
    <phoneticPr fontId="30"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</si>
  <si>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0" type="noConversion"/>
  </si>
  <si>
    <r>
      <rPr>
        <sz val="12"/>
        <color theme="1"/>
        <rFont val="標楷體"/>
        <family val="4"/>
        <charset val="136"/>
      </rPr>
      <t>具資本性資債券：為累積或有利率加碼條件或其他提前贖回之誘因</t>
    </r>
    <phoneticPr fontId="30"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</si>
  <si>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30" type="noConversion"/>
  </si>
  <si>
    <r>
      <rPr>
        <sz val="12"/>
        <color theme="1"/>
        <rFont val="標楷體"/>
        <family val="4"/>
        <charset val="136"/>
      </rPr>
      <t>發行期限不低於五年且在十年以內之可轉換次順位債券</t>
    </r>
  </si>
  <si>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：發行具資本性質債券明細表」的「發行期限不低於五年且在十年以內之可轉換次順位債券」第</t>
    </r>
    <r>
      <rPr>
        <sz val="12"/>
        <color theme="1"/>
        <rFont val="Times New Roman"/>
        <family val="1"/>
      </rPr>
      <t>(12)</t>
    </r>
    <r>
      <rPr>
        <sz val="12"/>
        <color theme="1"/>
        <rFont val="標楷體"/>
        <family val="4"/>
        <charset val="136"/>
      </rPr>
      <t>欄標註為「可計入自有資本加計項之金額」小計值</t>
    </r>
    <phoneticPr fontId="32" type="noConversion"/>
  </si>
  <si>
    <r>
      <rPr>
        <sz val="12"/>
        <color theme="1"/>
        <rFont val="標楷體"/>
        <family val="4"/>
        <charset val="136"/>
      </rPr>
      <t>「第一類限制性資本」因限額排除數</t>
    </r>
    <phoneticPr fontId="32"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</si>
  <si>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扣除加回</t>
    </r>
    <r>
      <rPr>
        <sz val="12"/>
        <color theme="1"/>
        <rFont val="Times New Roman"/>
        <family val="1"/>
      </rPr>
      <t>T2</t>
    </r>
    <phoneticPr fontId="32"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</si>
  <si>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T1L</t>
    </r>
    <r>
      <rPr>
        <sz val="12"/>
        <color theme="1"/>
        <rFont val="標楷體"/>
        <family val="4"/>
        <charset val="136"/>
      </rPr>
      <t>扣除加回</t>
    </r>
    <r>
      <rPr>
        <sz val="12"/>
        <color theme="1"/>
        <rFont val="Times New Roman"/>
        <family val="1"/>
      </rPr>
      <t>T2</t>
    </r>
    <phoneticPr fontId="32"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</si>
  <si>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涉及「保險業於發行時或發行後對持有該等資本工具之持有人提供相關融資，有減損其作為資本工具之實質效益者」金額</t>
    </r>
    <phoneticPr fontId="32"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</si>
  <si>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涉及「保險業之子公司及保險業金融控股母公司之子公司，持有該等資本工具」金額</t>
    </r>
    <phoneticPr fontId="32"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</si>
  <si>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涉及「保險業對其具有重大影響力之被投資公司，持有之該等資本工具」金額</t>
    </r>
    <phoneticPr fontId="32"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</si>
  <si>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T2</t>
    </r>
    <r>
      <rPr>
        <sz val="12"/>
        <color theme="1"/>
        <rFont val="標楷體"/>
        <family val="4"/>
        <charset val="136"/>
      </rPr>
      <t>扣除</t>
    </r>
    <phoneticPr fontId="32"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</si>
  <si>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反映限額前</t>
    </r>
    <phoneticPr fontId="32"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</si>
  <si>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反映限額後</t>
    </r>
    <phoneticPr fontId="32"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</si>
  <si>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因限額排除數</t>
    </r>
    <phoneticPr fontId="32" type="noConversion"/>
  </si>
  <si>
    <r>
      <rPr>
        <sz val="12"/>
        <color theme="1"/>
        <rFont val="標楷體"/>
        <family val="4"/>
        <charset val="136"/>
      </rPr>
      <t>《調整後自有資本》總計</t>
    </r>
    <phoneticPr fontId="32" type="noConversion"/>
  </si>
  <si>
    <r>
      <rPr>
        <b/>
        <sz val="12"/>
        <color theme="1"/>
        <rFont val="標楷體"/>
        <family val="4"/>
        <charset val="136"/>
      </rPr>
      <t>不動產增值利益相關項目</t>
    </r>
    <phoneticPr fontId="32" type="noConversion"/>
  </si>
  <si>
    <r>
      <rPr>
        <b/>
        <sz val="12"/>
        <color theme="1"/>
        <rFont val="標楷體"/>
        <family val="4"/>
        <charset val="136"/>
      </rPr>
      <t>不動產增值利益相關計入</t>
    </r>
    <r>
      <rPr>
        <b/>
        <sz val="12"/>
        <color theme="1"/>
        <rFont val="Times New Roman"/>
        <family val="1"/>
      </rPr>
      <t>T2</t>
    </r>
    <r>
      <rPr>
        <b/>
        <sz val="12"/>
        <color theme="1"/>
        <rFont val="標楷體"/>
        <family val="4"/>
        <charset val="136"/>
      </rPr>
      <t>受限制比例</t>
    </r>
    <phoneticPr fontId="32" type="noConversion"/>
  </si>
  <si>
    <r>
      <rPr>
        <sz val="12"/>
        <color theme="1"/>
        <rFont val="標楷體"/>
        <family val="4"/>
        <charset val="136"/>
      </rPr>
      <t>評價年</t>
    </r>
    <phoneticPr fontId="32" type="noConversion"/>
  </si>
  <si>
    <r>
      <rPr>
        <sz val="12"/>
        <color theme="1"/>
        <rFont val="標楷體"/>
        <family val="4"/>
        <charset val="136"/>
      </rPr>
      <t>不動產投資評價調整數</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</si>
  <si>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(3)</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</si>
  <si>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sz val="12"/>
        <color theme="1"/>
        <rFont val="標楷體"/>
        <family val="4"/>
        <charset val="136"/>
      </rPr>
      <t>特別準備</t>
    </r>
    <r>
      <rPr>
        <sz val="12"/>
        <color theme="1"/>
        <rFont val="Times New Roman"/>
        <family val="1"/>
      </rPr>
      <t>-</t>
    </r>
    <r>
      <rPr>
        <sz val="12"/>
        <color theme="1"/>
        <rFont val="標楷體"/>
        <family val="4"/>
        <charset val="136"/>
      </rPr>
      <t>不動產增值利益</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</si>
  <si>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</si>
  <si>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</si>
  <si>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sz val="12"/>
        <color theme="1"/>
        <rFont val="標楷體"/>
        <family val="4"/>
        <charset val="136"/>
      </rPr>
      <t>不動產增值利益相關金額合計</t>
    </r>
    <phoneticPr fontId="32" type="noConversion"/>
  </si>
  <si>
    <t>負債型特別股(無到期日)：為非累積且無利率加碼條件或其他提前贖回之誘因</t>
    <phoneticPr fontId="32" type="noConversion"/>
  </si>
  <si>
    <r>
      <t>(10)</t>
    </r>
    <r>
      <rPr>
        <sz val="12"/>
        <color indexed="10"/>
        <rFont val="標楷體"/>
        <family val="4"/>
        <charset val="136"/>
      </rPr>
      <t>該表填列項目包含「國外籌資事業」所發行之具資本性質債券。另，請於註解填寫「</t>
    </r>
    <r>
      <rPr>
        <sz val="12"/>
        <color indexed="10"/>
        <rFont val="Times New Roman"/>
        <family val="1"/>
      </rPr>
      <t>SPV</t>
    </r>
    <r>
      <rPr>
        <sz val="12"/>
        <color indexed="10"/>
        <rFont val="標楷體"/>
        <family val="4"/>
        <charset val="136"/>
      </rPr>
      <t>發行」。</t>
    </r>
    <phoneticPr fontId="32" type="noConversion"/>
  </si>
  <si>
    <t>具資本性資債券(無到期日)：為非累積且無利率加碼條件或其他提前贖回之誘因</t>
    <phoneticPr fontId="32" type="noConversion"/>
  </si>
  <si>
    <r>
      <rPr>
        <sz val="10"/>
        <rFont val="標楷體"/>
        <family val="4"/>
        <charset val="136"/>
      </rPr>
      <t>本欄為已扣除備抵損失之催收款項的淨認許金額，且應不大於欄</t>
    </r>
    <r>
      <rPr>
        <sz val="10"/>
        <rFont val="Times New Roman"/>
        <family val="1"/>
      </rPr>
      <t>(5b)-</t>
    </r>
    <r>
      <rPr>
        <sz val="10"/>
        <rFont val="標楷體"/>
        <family val="4"/>
        <charset val="136"/>
      </rPr>
      <t>欄</t>
    </r>
    <r>
      <rPr>
        <sz val="10"/>
        <rFont val="Times New Roman"/>
        <family val="1"/>
      </rPr>
      <t>(5d)+</t>
    </r>
    <r>
      <rPr>
        <sz val="10"/>
        <rFont val="標楷體"/>
        <family val="4"/>
        <charset val="136"/>
      </rPr>
      <t>欄</t>
    </r>
    <r>
      <rPr>
        <sz val="10"/>
        <rFont val="Times New Roman"/>
        <family val="1"/>
      </rPr>
      <t>(6b)-</t>
    </r>
    <r>
      <rPr>
        <sz val="10"/>
        <rFont val="標楷體"/>
        <family val="4"/>
        <charset val="136"/>
      </rPr>
      <t>欄</t>
    </r>
    <r>
      <rPr>
        <sz val="10"/>
        <rFont val="Times New Roman"/>
        <family val="1"/>
      </rPr>
      <t>(6d)</t>
    </r>
    <r>
      <rPr>
        <sz val="10"/>
        <rFont val="標楷體"/>
        <family val="4"/>
        <charset val="136"/>
      </rPr>
      <t>。</t>
    </r>
    <phoneticPr fontId="30" type="noConversion"/>
  </si>
  <si>
    <r>
      <rPr>
        <b/>
        <sz val="16"/>
        <color theme="1"/>
        <rFont val="標楷體"/>
        <family val="4"/>
        <charset val="136"/>
      </rPr>
      <t>表</t>
    </r>
    <r>
      <rPr>
        <b/>
        <sz val="16"/>
        <color theme="1"/>
        <rFont val="Times New Roman"/>
        <family val="1"/>
      </rPr>
      <t>30-5-3-1</t>
    </r>
    <r>
      <rPr>
        <b/>
        <sz val="16"/>
        <color theme="1"/>
        <rFont val="標楷體"/>
        <family val="4"/>
        <charset val="136"/>
      </rPr>
      <t>：天災風險公司資料表</t>
    </r>
    <phoneticPr fontId="71"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</si>
  <si>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110/07/01~113/6/28</t>
    </r>
    <r>
      <rPr>
        <sz val="12"/>
        <rFont val="Times New Roman"/>
        <family val="1"/>
      </rPr>
      <t>)</t>
    </r>
    <phoneticPr fontId="32" type="noConversion"/>
  </si>
  <si>
    <r>
      <rPr>
        <sz val="12"/>
        <rFont val="標楷體"/>
        <family val="4"/>
        <charset val="136"/>
      </rPr>
      <t>表</t>
    </r>
    <r>
      <rPr>
        <sz val="12"/>
        <rFont val="Times New Roman"/>
        <family val="1"/>
      </rPr>
      <t>26-5</t>
    </r>
    <r>
      <rPr>
        <sz val="12"/>
        <rFont val="標楷體"/>
        <family val="4"/>
        <charset val="136"/>
      </rPr>
      <t>：住宅地震保險共保</t>
    </r>
    <r>
      <rPr>
        <sz val="12"/>
        <color rgb="FFFF0000"/>
        <rFont val="標楷體"/>
        <family val="4"/>
        <charset val="136"/>
      </rPr>
      <t>分進</t>
    </r>
    <r>
      <rPr>
        <sz val="12"/>
        <rFont val="標楷體"/>
        <family val="4"/>
        <charset val="136"/>
      </rPr>
      <t>業務特別準備金計算表</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</si>
</sst>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0.00000%"/>
    <numFmt numFmtId="223" formatCode="#,###,,"/>
    <numFmt numFmtId="224" formatCode="_-* #,##0.0000_-;\-* #,##0.0000_-;_-* &quot;-&quot;??_-;_-@_-"/>
    <numFmt numFmtId="225" formatCode="0.000_);[Red]\(0.000\)"/>
    <numFmt numFmtId="226" formatCode="_-* #,##0.00,,_-;\-* #,##0.00,,_-;_-* &quot;-&quot;?_-;_-@_-"/>
  </numFmts>
  <fonts count="165">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rgb="FFFF0000"/>
      <name val="標楷體"/>
      <family val="4"/>
      <charset val="136"/>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u/>
      <sz val="12"/>
      <color theme="1"/>
      <name val="Times New Roman"/>
      <family val="1"/>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strike/>
      <sz val="12"/>
      <color theme="1"/>
      <name val="Times New Roman"/>
      <family val="1"/>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vertAlign val="subscript"/>
      <sz val="12"/>
      <color theme="1"/>
      <name val="Arial"/>
      <family val="2"/>
    </font>
    <font>
      <b/>
      <sz val="12"/>
      <color theme="1"/>
      <name val="Arial"/>
      <family val="2"/>
    </font>
    <font>
      <b/>
      <vertAlign val="subscript"/>
      <sz val="12"/>
      <color theme="1"/>
      <name val="Arial"/>
      <family val="2"/>
    </font>
    <font>
      <sz val="12"/>
      <color theme="1"/>
      <name val="細明體"/>
      <family val="3"/>
      <charset val="136"/>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b/>
      <sz val="12"/>
      <name val="標楷體"/>
      <family val="4"/>
      <charset val="136"/>
    </font>
    <font>
      <sz val="12"/>
      <name val="Times New Roman"/>
      <family val="4"/>
      <charset val="136"/>
    </font>
    <font>
      <sz val="10"/>
      <color theme="1"/>
      <name val="Book Antiqua"/>
      <family val="4"/>
      <charset val="136"/>
    </font>
    <font>
      <vertAlign val="subscript"/>
      <sz val="12"/>
      <name val="Times New Roman"/>
      <family val="1"/>
    </font>
    <font>
      <b/>
      <sz val="12"/>
      <color theme="1"/>
      <name val="Arial"/>
      <family val="4"/>
      <charset val="136"/>
    </font>
    <font>
      <sz val="10"/>
      <color theme="1"/>
      <name val="Book Antiqua"/>
      <family val="4"/>
    </font>
    <font>
      <sz val="12"/>
      <color theme="1"/>
      <name val="Arial"/>
      <family val="4"/>
      <charset val="136"/>
    </font>
    <font>
      <sz val="10"/>
      <color theme="1"/>
      <name val="新細明體"/>
      <family val="4"/>
      <charset val="136"/>
    </font>
    <font>
      <sz val="10"/>
      <color rgb="FFFF0000"/>
      <name val="Times New Roman"/>
      <family val="1"/>
    </font>
    <font>
      <sz val="10"/>
      <color theme="1"/>
      <name val="標楷體"/>
      <family val="1"/>
      <charset val="136"/>
    </font>
    <font>
      <sz val="12"/>
      <color theme="1"/>
      <name val="標楷體"/>
      <family val="1"/>
      <charset val="136"/>
    </font>
    <font>
      <sz val="12"/>
      <color theme="1"/>
      <name val="Calibri"/>
      <family val="4"/>
      <charset val="161"/>
    </font>
    <font>
      <sz val="12"/>
      <color theme="1"/>
      <name val="微軟正黑體"/>
      <family val="2"/>
      <charset val="136"/>
    </font>
    <font>
      <sz val="12"/>
      <color rgb="FFFF0000"/>
      <name val="Times New Roman"/>
      <family val="1"/>
    </font>
    <font>
      <sz val="10"/>
      <color rgb="FFFF0000"/>
      <name val="Book Antiqua"/>
      <family val="1"/>
    </font>
    <font>
      <sz val="10"/>
      <color rgb="FFFF0000"/>
      <name val="Times New Roman"/>
      <family val="4"/>
      <charset val="136"/>
    </font>
    <font>
      <sz val="12"/>
      <color indexed="8"/>
      <name val="Times New Roman"/>
      <family val="1"/>
    </font>
    <font>
      <b/>
      <sz val="12"/>
      <color indexed="8"/>
      <name val="標楷體"/>
      <family val="4"/>
      <charset val="136"/>
    </font>
    <font>
      <sz val="12"/>
      <color indexed="10"/>
      <name val="標楷體"/>
      <family val="4"/>
      <charset val="136"/>
    </font>
    <font>
      <sz val="12"/>
      <color theme="1"/>
      <name val="Microsoft JhengHei"/>
      <family val="2"/>
    </font>
    <font>
      <sz val="10"/>
      <name val="標楷體"/>
      <family val="4"/>
      <charset val="136"/>
    </font>
    <font>
      <strike/>
      <sz val="12"/>
      <name val="Times New Roman"/>
      <family val="1"/>
    </font>
    <font>
      <b/>
      <sz val="10"/>
      <color theme="1"/>
      <name val="Times New Roman"/>
      <family val="1"/>
    </font>
    <font>
      <b/>
      <sz val="16"/>
      <color theme="1"/>
      <name val="Times New Roman"/>
      <family val="1"/>
    </font>
    <font>
      <sz val="16"/>
      <name val="Times New Roman"/>
      <family val="1"/>
    </font>
    <font>
      <b/>
      <sz val="16"/>
      <color rgb="FFFF0000"/>
      <name val="Times New Roman"/>
      <family val="1"/>
    </font>
    <font>
      <b/>
      <sz val="14"/>
      <name val="標楷體"/>
      <family val="4"/>
      <charset val="136"/>
    </font>
    <font>
      <sz val="14"/>
      <color theme="1"/>
      <name val="Times New Roman"/>
      <family val="1"/>
    </font>
    <font>
      <sz val="14"/>
      <color theme="1"/>
      <name val="標楷體"/>
      <family val="4"/>
      <charset val="136"/>
    </font>
    <font>
      <b/>
      <sz val="14"/>
      <color theme="1"/>
      <name val="Times New Roman"/>
      <family val="1"/>
    </font>
    <font>
      <b/>
      <sz val="14"/>
      <color theme="1"/>
      <name val="標楷體"/>
      <family val="4"/>
      <charset val="136"/>
    </font>
    <font>
      <sz val="12"/>
      <color theme="4" tint="-0.499984740745262"/>
      <name val="Times New Roman"/>
      <family val="1"/>
    </font>
    <font>
      <b/>
      <u/>
      <sz val="16"/>
      <color rgb="FFFF0000"/>
      <name val="Times New Roman"/>
      <family val="1"/>
    </font>
    <font>
      <b/>
      <sz val="14"/>
      <color theme="1"/>
      <name val="Times New Roman"/>
      <family val="4"/>
      <charset val="136"/>
    </font>
    <font>
      <b/>
      <sz val="14"/>
      <color theme="1"/>
      <name val="新細明體"/>
      <family val="4"/>
      <charset val="136"/>
    </font>
    <font>
      <sz val="14"/>
      <color theme="1"/>
      <name val="Times New Roman"/>
      <family val="4"/>
      <charset val="136"/>
    </font>
    <font>
      <b/>
      <sz val="10"/>
      <color theme="1"/>
      <name val="Book Antiqua"/>
      <family val="4"/>
      <charset val="136"/>
    </font>
    <font>
      <sz val="10"/>
      <color theme="1"/>
      <name val="Times New Roman"/>
      <family val="4"/>
      <charset val="136"/>
    </font>
    <font>
      <sz val="9"/>
      <color theme="1"/>
      <name val="Times New Roman"/>
      <family val="1"/>
    </font>
    <font>
      <sz val="16"/>
      <color indexed="10"/>
      <name val="標楷體"/>
      <family val="4"/>
      <charset val="136"/>
    </font>
    <font>
      <sz val="10"/>
      <color indexed="8"/>
      <name val="標楷體"/>
      <family val="4"/>
      <charset val="136"/>
    </font>
    <font>
      <sz val="10"/>
      <color indexed="8"/>
      <name val="Book Antiqua"/>
      <family val="1"/>
    </font>
    <font>
      <sz val="10"/>
      <color indexed="8"/>
      <name val="Times New Roman"/>
      <family val="4"/>
      <charset val="136"/>
    </font>
    <font>
      <sz val="10"/>
      <color indexed="8"/>
      <name val="Times New Roman"/>
      <family val="1"/>
    </font>
    <font>
      <sz val="11"/>
      <color rgb="FFFF0000"/>
      <name val="Times New Roman"/>
      <family val="1"/>
    </font>
    <font>
      <sz val="10"/>
      <color theme="1"/>
      <name val="Arial"/>
      <family val="2"/>
      <charset val="136"/>
    </font>
    <font>
      <sz val="10"/>
      <color theme="1"/>
      <name val="微軟正黑體"/>
      <family val="2"/>
      <charset val="136"/>
    </font>
    <font>
      <sz val="10"/>
      <color rgb="FFFF0000"/>
      <name val="微軟正黑體"/>
      <family val="2"/>
      <charset val="136"/>
    </font>
    <font>
      <sz val="10"/>
      <name val="微軟正黑體"/>
      <family val="2"/>
      <charset val="136"/>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7E1"/>
        <bgColor indexed="64"/>
      </patternFill>
    </fill>
    <fill>
      <patternFill patternType="solid">
        <fgColor theme="6"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9" tint="0.39997558519241921"/>
        <bgColor rgb="FF000000"/>
      </patternFill>
    </fill>
    <fill>
      <patternFill patternType="solid">
        <fgColor theme="9" tint="0.79998168889431442"/>
        <bgColor rgb="FF000000"/>
      </patternFill>
    </fill>
    <fill>
      <patternFill patternType="solid">
        <fgColor theme="3" tint="0.79998168889431442"/>
        <bgColor indexed="64"/>
      </patternFill>
    </fill>
    <fill>
      <patternFill patternType="solid">
        <fgColor theme="4" tint="0.59999389629810485"/>
        <bgColor indexed="64"/>
      </patternFill>
    </fill>
  </fills>
  <borders count="385">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double">
        <color indexed="64"/>
      </right>
      <top style="thin">
        <color indexed="64"/>
      </top>
      <bottom/>
      <diagonal/>
    </border>
    <border diagonalUp="1" diagonalDown="1">
      <left style="thin">
        <color indexed="64"/>
      </left>
      <right style="double">
        <color indexed="64"/>
      </right>
      <top style="thin">
        <color indexed="64"/>
      </top>
      <bottom/>
      <diagonal style="thin">
        <color indexed="64"/>
      </diagonal>
    </border>
    <border diagonalUp="1" diagonalDown="1">
      <left/>
      <right/>
      <top style="thin">
        <color indexed="64"/>
      </top>
      <bottom style="medium">
        <color indexed="64"/>
      </bottom>
      <diagonal style="thin">
        <color indexed="64"/>
      </diagonal>
    </border>
    <border diagonalUp="1" diagonalDown="1">
      <left/>
      <right style="double">
        <color indexed="64"/>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diagonalDown="1">
      <left style="thin">
        <color theme="1"/>
      </left>
      <right style="thin">
        <color theme="1"/>
      </right>
      <top style="thin">
        <color theme="1"/>
      </top>
      <bottom style="thin">
        <color theme="1"/>
      </bottom>
      <diagonal style="thin">
        <color theme="1"/>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diagonalUp="1" diagonalDown="1">
      <left style="thin">
        <color indexed="64"/>
      </left>
      <right/>
      <top style="medium">
        <color indexed="64"/>
      </top>
      <bottom/>
      <diagonal style="thin">
        <color indexed="64"/>
      </diagonal>
    </border>
    <border diagonalUp="1" diagonalDown="1">
      <left/>
      <right/>
      <top style="medium">
        <color indexed="64"/>
      </top>
      <bottom/>
      <diagonal style="thin">
        <color indexed="64"/>
      </diagonal>
    </border>
    <border diagonalUp="1" diagonalDown="1">
      <left/>
      <right style="thin">
        <color indexed="64"/>
      </right>
      <top style="medium">
        <color indexed="64"/>
      </top>
      <bottom/>
      <diagonal style="thin">
        <color indexed="64"/>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thin">
        <color indexed="64"/>
      </right>
      <top/>
      <bottom style="medium">
        <color indexed="64"/>
      </bottom>
      <diagonal style="thin">
        <color indexed="64"/>
      </diagonal>
    </border>
    <border>
      <left style="double">
        <color indexed="64"/>
      </left>
      <right style="thin">
        <color theme="1"/>
      </right>
      <top style="medium">
        <color indexed="64"/>
      </top>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double">
        <color indexed="64"/>
      </left>
      <right style="thin">
        <color theme="1"/>
      </right>
      <top/>
      <bottom style="thin">
        <color theme="1"/>
      </bottom>
      <diagonal/>
    </border>
    <border>
      <left style="thin">
        <color theme="1"/>
      </left>
      <right style="medium">
        <color indexed="64"/>
      </right>
      <top style="thin">
        <color theme="1"/>
      </top>
      <bottom style="thin">
        <color theme="1"/>
      </bottom>
      <diagonal/>
    </border>
    <border>
      <left style="medium">
        <color indexed="64"/>
      </left>
      <right/>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theme="1"/>
      </top>
      <bottom style="medium">
        <color indexed="64"/>
      </bottom>
      <diagonal/>
    </border>
    <border>
      <left style="thin">
        <color indexed="64"/>
      </left>
      <right style="thin">
        <color indexed="64"/>
      </right>
      <top style="thin">
        <color theme="1"/>
      </top>
      <bottom style="medium">
        <color indexed="64"/>
      </bottom>
      <diagonal/>
    </border>
    <border>
      <left style="thin">
        <color indexed="64"/>
      </left>
      <right style="medium">
        <color indexed="64"/>
      </right>
      <top style="thin">
        <color theme="1"/>
      </top>
      <bottom style="medium">
        <color indexed="64"/>
      </bottom>
      <diagonal/>
    </border>
    <border>
      <left style="double">
        <color indexed="64"/>
      </left>
      <right/>
      <top style="medium">
        <color indexed="64"/>
      </top>
      <bottom/>
      <diagonal/>
    </border>
    <border>
      <left style="double">
        <color indexed="64"/>
      </left>
      <right/>
      <top/>
      <bottom style="thin">
        <color theme="1"/>
      </bottom>
      <diagonal/>
    </border>
    <border>
      <left style="medium">
        <color indexed="64"/>
      </left>
      <right/>
      <top/>
      <bottom style="thin">
        <color indexed="64"/>
      </bottom>
      <diagonal/>
    </border>
    <border diagonalUp="1" diagonalDown="1">
      <left style="thin">
        <color indexed="64"/>
      </left>
      <right style="double">
        <color indexed="64"/>
      </right>
      <top style="thin">
        <color indexed="64"/>
      </top>
      <bottom style="medium">
        <color indexed="64"/>
      </bottom>
      <diagonal style="thin">
        <color indexed="64"/>
      </diagonal>
    </border>
    <border>
      <left style="medium">
        <color indexed="64"/>
      </left>
      <right style="thin">
        <color theme="1"/>
      </right>
      <top style="medium">
        <color indexed="64"/>
      </top>
      <bottom style="thin">
        <color theme="1"/>
      </bottom>
      <diagonal/>
    </border>
    <border>
      <left style="medium">
        <color indexed="64"/>
      </left>
      <right style="thin">
        <color theme="1"/>
      </right>
      <top style="thin">
        <color theme="1"/>
      </top>
      <bottom style="thin">
        <color theme="1"/>
      </bottom>
      <diagonal/>
    </border>
    <border>
      <left/>
      <right style="medium">
        <color indexed="64"/>
      </right>
      <top style="thin">
        <color theme="1"/>
      </top>
      <bottom/>
      <diagonal/>
    </border>
    <border>
      <left/>
      <right style="medium">
        <color indexed="64"/>
      </right>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diagonalUp="1" diagonalDown="1">
      <left style="thin">
        <color theme="1"/>
      </left>
      <right style="medium">
        <color indexed="64"/>
      </right>
      <top style="thin">
        <color theme="1"/>
      </top>
      <bottom style="thin">
        <color theme="1"/>
      </bottom>
      <diagonal style="thin">
        <color theme="1"/>
      </diagonal>
    </border>
    <border diagonalUp="1" diagonalDown="1">
      <left style="thin">
        <color theme="1"/>
      </left>
      <right style="thin">
        <color theme="1"/>
      </right>
      <top style="thin">
        <color theme="1"/>
      </top>
      <bottom style="medium">
        <color indexed="64"/>
      </bottom>
      <diagonal style="thin">
        <color theme="1"/>
      </diagonal>
    </border>
    <border diagonalUp="1" diagonalDown="1">
      <left style="thin">
        <color theme="1"/>
      </left>
      <right style="medium">
        <color indexed="64"/>
      </right>
      <top style="thin">
        <color theme="1"/>
      </top>
      <bottom style="medium">
        <color indexed="64"/>
      </bottom>
      <diagonal style="thin">
        <color theme="1"/>
      </diagonal>
    </border>
    <border>
      <left style="thin">
        <color indexed="64"/>
      </left>
      <right style="thin">
        <color indexed="64"/>
      </right>
      <top style="hair">
        <color indexed="64"/>
      </top>
      <bottom style="medium">
        <color indexed="64"/>
      </bottom>
      <diagonal/>
    </border>
    <border diagonalUp="1" diagonalDown="1">
      <left style="thin">
        <color indexed="64"/>
      </left>
      <right style="thin">
        <color indexed="64"/>
      </right>
      <top style="hair">
        <color indexed="64"/>
      </top>
      <bottom style="thin">
        <color indexed="64"/>
      </bottom>
      <diagonal style="hair">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style="hair">
        <color indexed="64"/>
      </right>
      <top/>
      <bottom style="double">
        <color indexed="64"/>
      </bottom>
      <diagonal/>
    </border>
    <border diagonalUp="1" diagonalDown="1">
      <left style="hair">
        <color indexed="64"/>
      </left>
      <right style="hair">
        <color indexed="64"/>
      </right>
      <top style="hair">
        <color indexed="64"/>
      </top>
      <bottom style="double">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s>
  <cellStyleXfs count="401">
    <xf numFmtId="0" fontId="0" fillId="0" borderId="0"/>
    <xf numFmtId="0" fontId="5"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50" fillId="0" borderId="0" applyFill="0" applyBorder="0" applyProtection="0">
      <alignment horizontal="center"/>
      <protection locked="0"/>
    </xf>
    <xf numFmtId="38" fontId="58" fillId="0" borderId="0" applyFont="0" applyFill="0" applyBorder="0" applyAlignment="0" applyProtection="0"/>
    <xf numFmtId="43" fontId="5" fillId="0" borderId="0" applyFont="0" applyFill="0" applyBorder="0" applyAlignment="0" applyProtection="0"/>
    <xf numFmtId="210" fontId="51" fillId="0" borderId="0" applyFill="0" applyBorder="0" applyProtection="0"/>
    <xf numFmtId="211" fontId="33" fillId="0" borderId="0" applyFill="0" applyBorder="0" applyProtection="0"/>
    <xf numFmtId="211" fontId="33" fillId="0" borderId="1" applyFill="0" applyProtection="0"/>
    <xf numFmtId="211" fontId="33" fillId="0" borderId="2" applyFill="0" applyProtection="0"/>
    <xf numFmtId="212" fontId="33" fillId="0" borderId="0" applyFill="0" applyBorder="0" applyProtection="0"/>
    <xf numFmtId="212" fontId="33" fillId="0" borderId="1" applyFill="0" applyProtection="0"/>
    <xf numFmtId="212" fontId="33" fillId="0" borderId="2" applyFill="0" applyProtection="0"/>
    <xf numFmtId="213" fontId="9" fillId="0" borderId="0" applyFont="0" applyFill="0" applyBorder="0" applyAlignment="0" applyProtection="0">
      <alignment vertical="center"/>
    </xf>
    <xf numFmtId="0" fontId="8" fillId="0" borderId="0" applyFill="0" applyBorder="0" applyProtection="0">
      <alignment horizontal="left"/>
    </xf>
    <xf numFmtId="14" fontId="52" fillId="16" borderId="3">
      <alignment horizontal="center" vertical="center" wrapText="1"/>
    </xf>
    <xf numFmtId="0" fontId="50" fillId="0" borderId="0" applyFill="0" applyAlignment="0" applyProtection="0">
      <protection locked="0"/>
    </xf>
    <xf numFmtId="0" fontId="53" fillId="0" borderId="0"/>
    <xf numFmtId="0" fontId="5" fillId="0" borderId="0"/>
    <xf numFmtId="214" fontId="5" fillId="0" borderId="0" applyFont="0" applyFill="0" applyBorder="0" applyAlignment="0" applyProtection="0"/>
    <xf numFmtId="0" fontId="10" fillId="0" borderId="0" applyBorder="0" applyProtection="0">
      <alignment horizontal="left"/>
    </xf>
    <xf numFmtId="0" fontId="11" fillId="0" borderId="0" applyFill="0" applyBorder="0" applyProtection="0">
      <alignment horizontal="left"/>
    </xf>
    <xf numFmtId="0" fontId="12" fillId="0" borderId="4" applyFill="0" applyBorder="0" applyProtection="0">
      <alignment horizontal="left" vertical="top"/>
    </xf>
    <xf numFmtId="0" fontId="54" fillId="0" borderId="0" applyFill="0" applyBorder="0" applyProtection="0">
      <alignment horizontal="left" vertical="top"/>
    </xf>
    <xf numFmtId="0" fontId="13" fillId="0" borderId="0"/>
    <xf numFmtId="0" fontId="9" fillId="0" borderId="0"/>
    <xf numFmtId="0" fontId="67" fillId="0" borderId="0">
      <alignment vertical="center"/>
    </xf>
    <xf numFmtId="0" fontId="68" fillId="0" borderId="0">
      <alignment vertical="center"/>
    </xf>
    <xf numFmtId="0" fontId="5" fillId="0" borderId="0" applyNumberFormat="0" applyFont="0" applyFill="0" applyBorder="0" applyAlignment="0" applyProtection="0"/>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applyNumberFormat="0" applyFont="0" applyFill="0" applyBorder="0" applyAlignment="0" applyProtection="0"/>
    <xf numFmtId="0" fontId="13"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 fillId="0" borderId="0"/>
    <xf numFmtId="0" fontId="5" fillId="0" borderId="0" applyNumberFormat="0" applyFont="0" applyFill="0" applyBorder="0" applyAlignment="0" applyProtection="0"/>
    <xf numFmtId="0" fontId="9" fillId="0" borderId="0"/>
    <xf numFmtId="0" fontId="6" fillId="0" borderId="0">
      <alignment vertical="center"/>
    </xf>
    <xf numFmtId="0" fontId="5" fillId="0" borderId="0" applyNumberFormat="0" applyFont="0" applyFill="0" applyBorder="0" applyAlignment="0" applyProtection="0"/>
    <xf numFmtId="0" fontId="6" fillId="0" borderId="0">
      <alignment vertical="center"/>
    </xf>
    <xf numFmtId="0" fontId="9" fillId="0" borderId="0">
      <alignment vertical="center"/>
    </xf>
    <xf numFmtId="0" fontId="68" fillId="0" borderId="0">
      <alignment vertical="center"/>
    </xf>
    <xf numFmtId="0" fontId="67" fillId="0" borderId="0">
      <alignment vertical="center"/>
    </xf>
    <xf numFmtId="0" fontId="67" fillId="0" borderId="0">
      <alignment vertical="center"/>
    </xf>
    <xf numFmtId="0" fontId="5" fillId="0" borderId="0" applyNumberFormat="0" applyFont="0" applyFill="0" applyBorder="0" applyAlignment="0" applyProtection="0"/>
    <xf numFmtId="0" fontId="13"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alignment vertical="center"/>
    </xf>
    <xf numFmtId="0" fontId="9" fillId="0" borderId="0"/>
    <xf numFmtId="0" fontId="5" fillId="0" borderId="0" applyNumberFormat="0" applyFont="0" applyFill="0" applyBorder="0" applyAlignment="0" applyProtection="0"/>
    <xf numFmtId="0" fontId="67" fillId="0" borderId="0">
      <alignment vertical="center"/>
    </xf>
    <xf numFmtId="0" fontId="6" fillId="0" borderId="0"/>
    <xf numFmtId="0" fontId="5" fillId="0" borderId="0" applyNumberFormat="0" applyFont="0" applyFill="0" applyBorder="0" applyAlignment="0" applyProtection="0"/>
    <xf numFmtId="0" fontId="67" fillId="0" borderId="0">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67"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9" fillId="0" borderId="0">
      <alignment vertical="center"/>
    </xf>
    <xf numFmtId="0" fontId="9" fillId="0" borderId="0">
      <alignment vertical="center"/>
    </xf>
    <xf numFmtId="0" fontId="13" fillId="0" borderId="0"/>
    <xf numFmtId="0" fontId="13" fillId="0" borderId="0"/>
    <xf numFmtId="0" fontId="13" fillId="0" borderId="0"/>
    <xf numFmtId="0" fontId="13" fillId="0" borderId="0"/>
    <xf numFmtId="0" fontId="13" fillId="0" borderId="0"/>
    <xf numFmtId="0" fontId="5" fillId="0" borderId="0" applyNumberFormat="0" applyFont="0" applyFill="0" applyBorder="0" applyAlignment="0" applyProtection="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13" fillId="0" borderId="0"/>
    <xf numFmtId="43" fontId="9"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 fillId="0" borderId="0" applyNumberFormat="0" applyFont="0" applyFill="0" applyBorder="0" applyAlignment="0" applyProtection="0"/>
    <xf numFmtId="43" fontId="5" fillId="0" borderId="0" applyNumberFormat="0" applyFont="0" applyFill="0" applyBorder="0" applyAlignment="0" applyProtection="0"/>
    <xf numFmtId="43" fontId="63" fillId="0" borderId="0" applyFont="0" applyFill="0" applyBorder="0" applyAlignment="0" applyProtection="0">
      <alignment vertical="center"/>
    </xf>
    <xf numFmtId="43" fontId="59" fillId="0" borderId="0" applyFont="0" applyFill="0" applyBorder="0" applyAlignment="0" applyProtection="0"/>
    <xf numFmtId="177" fontId="13" fillId="0" borderId="0" applyFont="0" applyFill="0" applyBorder="0" applyAlignment="0" applyProtection="0"/>
    <xf numFmtId="43" fontId="9" fillId="0" borderId="0" applyFont="0" applyFill="0" applyBorder="0" applyAlignment="0" applyProtection="0"/>
    <xf numFmtId="215" fontId="60" fillId="0" borderId="0" applyFont="0" applyFill="0" applyBorder="0" applyAlignment="0" applyProtection="0"/>
    <xf numFmtId="43" fontId="5" fillId="0" borderId="0" applyNumberFormat="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176" fontId="13" fillId="0" borderId="0" applyFont="0" applyFill="0" applyBorder="0" applyAlignment="0" applyProtection="0"/>
    <xf numFmtId="41" fontId="9"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177" fontId="13" fillId="0" borderId="0" applyFont="0" applyFill="0" applyBorder="0" applyAlignment="0" applyProtection="0"/>
    <xf numFmtId="0" fontId="14" fillId="17" borderId="0" applyNumberFormat="0" applyBorder="0" applyAlignment="0" applyProtection="0">
      <alignment vertical="center"/>
    </xf>
    <xf numFmtId="0" fontId="15" fillId="0" borderId="5" applyNumberFormat="0" applyFill="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55" fillId="4" borderId="0" applyNumberFormat="0" applyBorder="0" applyAlignment="0" applyProtection="0">
      <alignment vertical="center"/>
    </xf>
    <xf numFmtId="0" fontId="16" fillId="4" borderId="0" applyNumberFormat="0" applyBorder="0" applyAlignment="0" applyProtection="0">
      <alignment vertical="center"/>
    </xf>
    <xf numFmtId="0" fontId="55"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alignment vertical="center"/>
    </xf>
    <xf numFmtId="9" fontId="13" fillId="0" borderId="0" applyFont="0" applyFill="0" applyBorder="0" applyAlignment="0" applyProtection="0"/>
    <xf numFmtId="9" fontId="9" fillId="0" borderId="0" applyFont="0" applyFill="0" applyBorder="0" applyAlignment="0" applyProtection="0">
      <alignment vertical="center"/>
    </xf>
    <xf numFmtId="9" fontId="31" fillId="0" borderId="0" applyFont="0" applyFill="0" applyBorder="0" applyAlignment="0" applyProtection="0">
      <alignment vertical="center"/>
    </xf>
    <xf numFmtId="9" fontId="5" fillId="0" borderId="0" applyFont="0" applyFill="0" applyBorder="0" applyAlignment="0" applyProtection="0"/>
    <xf numFmtId="9" fontId="60" fillId="0" borderId="0" applyFont="0" applyFill="0" applyBorder="0" applyAlignment="0" applyProtection="0"/>
    <xf numFmtId="9" fontId="5" fillId="0" borderId="0" applyNumberFormat="0" applyFont="0" applyFill="0" applyBorder="0" applyAlignment="0" applyProtection="0"/>
    <xf numFmtId="9" fontId="6" fillId="0" borderId="0" applyFont="0" applyFill="0" applyBorder="0" applyAlignment="0" applyProtection="0">
      <alignment vertical="center"/>
    </xf>
    <xf numFmtId="0" fontId="17" fillId="18" borderId="6" applyNumberFormat="0" applyAlignment="0" applyProtection="0">
      <alignment vertical="center"/>
    </xf>
    <xf numFmtId="38" fontId="58" fillId="0" borderId="0" applyFont="0" applyFill="0" applyBorder="0" applyAlignment="0" applyProtection="0"/>
    <xf numFmtId="181" fontId="18" fillId="0" borderId="0" applyFont="0" applyFill="0" applyBorder="0" applyAlignment="0" applyProtection="0"/>
    <xf numFmtId="0" fontId="19" fillId="0" borderId="7" applyNumberFormat="0" applyFill="0" applyAlignment="0" applyProtection="0">
      <alignment vertical="center"/>
    </xf>
    <xf numFmtId="0" fontId="9" fillId="19" borderId="8" applyNumberFormat="0" applyFont="0" applyAlignment="0" applyProtection="0">
      <alignment vertical="center"/>
    </xf>
    <xf numFmtId="0" fontId="69" fillId="0" borderId="0" applyNumberFormat="0" applyFill="0" applyBorder="0" applyAlignment="0" applyProtection="0">
      <alignment vertical="top"/>
      <protection locked="0"/>
    </xf>
    <xf numFmtId="0" fontId="20" fillId="0" borderId="0" applyNumberFormat="0" applyFill="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23" borderId="0" applyNumberFormat="0" applyBorder="0" applyAlignment="0" applyProtection="0">
      <alignment vertical="center"/>
    </xf>
    <xf numFmtId="0" fontId="61" fillId="0" borderId="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5" fillId="7" borderId="6" applyNumberFormat="0" applyAlignment="0" applyProtection="0">
      <alignment vertical="center"/>
    </xf>
    <xf numFmtId="0" fontId="26" fillId="18" borderId="12" applyNumberFormat="0" applyAlignment="0" applyProtection="0">
      <alignment vertical="center"/>
    </xf>
    <xf numFmtId="0" fontId="27" fillId="24" borderId="13" applyNumberFormat="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62" fillId="3" borderId="0" applyNumberFormat="0" applyBorder="0" applyAlignment="0" applyProtection="0">
      <alignment vertical="center"/>
    </xf>
    <xf numFmtId="0" fontId="62" fillId="3" borderId="0" applyNumberFormat="0" applyBorder="0" applyAlignment="0" applyProtection="0">
      <alignment vertical="center"/>
    </xf>
    <xf numFmtId="0" fontId="56" fillId="3" borderId="0" applyNumberFormat="0" applyBorder="0" applyAlignment="0" applyProtection="0">
      <alignment vertical="center"/>
    </xf>
    <xf numFmtId="0" fontId="28" fillId="3" borderId="0" applyNumberFormat="0" applyBorder="0" applyAlignment="0" applyProtection="0">
      <alignment vertical="center"/>
    </xf>
    <xf numFmtId="0" fontId="56"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9" fillId="0" borderId="0" applyNumberFormat="0" applyFill="0" applyBorder="0" applyAlignment="0" applyProtection="0">
      <alignment vertical="center"/>
    </xf>
    <xf numFmtId="43" fontId="4"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 fillId="0" borderId="0" applyNumberFormat="0" applyFont="0" applyFill="0" applyBorder="0" applyAlignment="0" applyProtection="0"/>
    <xf numFmtId="43" fontId="5" fillId="0" borderId="0" applyNumberFormat="0" applyFont="0" applyFill="0" applyBorder="0" applyAlignment="0" applyProtection="0"/>
    <xf numFmtId="43" fontId="5" fillId="0" borderId="0" applyNumberFormat="0" applyFont="0" applyFill="0" applyBorder="0" applyAlignment="0" applyProtection="0"/>
    <xf numFmtId="43" fontId="6" fillId="0" borderId="0" applyFont="0" applyFill="0" applyBorder="0" applyAlignment="0" applyProtection="0">
      <alignment vertical="center"/>
    </xf>
    <xf numFmtId="43" fontId="5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5" fillId="0" borderId="0" applyNumberFormat="0" applyFont="0" applyFill="0" applyBorder="0" applyAlignment="0" applyProtection="0"/>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3" fontId="6"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13" fillId="0" borderId="0" applyFont="0" applyFill="0" applyBorder="0" applyAlignment="0" applyProtection="0"/>
    <xf numFmtId="41" fontId="13" fillId="0" borderId="0" applyFont="0" applyFill="0" applyBorder="0" applyAlignment="0" applyProtection="0"/>
    <xf numFmtId="6" fontId="18" fillId="0" borderId="0" applyFont="0" applyFill="0" applyBorder="0" applyAlignment="0" applyProtection="0"/>
    <xf numFmtId="43" fontId="3" fillId="0" borderId="0" applyFont="0" applyFill="0" applyBorder="0" applyAlignment="0" applyProtection="0">
      <alignment vertical="center"/>
    </xf>
    <xf numFmtId="213" fontId="9" fillId="0" borderId="0" applyFont="0" applyFill="0" applyBorder="0" applyAlignment="0" applyProtection="0">
      <alignment vertical="center"/>
    </xf>
    <xf numFmtId="0" fontId="67" fillId="0" borderId="0">
      <alignment vertical="center"/>
    </xf>
    <xf numFmtId="0" fontId="114" fillId="0" borderId="0">
      <alignment vertical="center"/>
    </xf>
    <xf numFmtId="0" fontId="67" fillId="0" borderId="0">
      <alignment vertical="center"/>
    </xf>
    <xf numFmtId="0" fontId="115" fillId="0" borderId="0">
      <alignment vertical="center"/>
    </xf>
    <xf numFmtId="0" fontId="13" fillId="0" borderId="0"/>
    <xf numFmtId="0" fontId="9" fillId="0" borderId="0">
      <alignment vertical="center"/>
    </xf>
    <xf numFmtId="43" fontId="9" fillId="0" borderId="0" applyFont="0" applyFill="0" applyBorder="0" applyAlignment="0" applyProtection="0"/>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9" fillId="0" borderId="0" applyFont="0" applyFill="0" applyBorder="0" applyAlignment="0" applyProtection="0">
      <alignment vertical="center"/>
    </xf>
    <xf numFmtId="43" fontId="57" fillId="0" borderId="0" applyFont="0" applyFill="0" applyBorder="0" applyAlignment="0" applyProtection="0">
      <alignmen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alignment vertical="center"/>
    </xf>
    <xf numFmtId="6" fontId="18" fillId="0" borderId="0" applyFont="0" applyFill="0" applyBorder="0" applyAlignment="0" applyProtection="0"/>
    <xf numFmtId="6" fontId="18" fillId="0" borderId="0" applyFont="0" applyFill="0" applyBorder="0" applyAlignment="0" applyProtection="0"/>
    <xf numFmtId="6" fontId="18" fillId="0" borderId="0" applyFont="0" applyFill="0" applyBorder="0" applyAlignment="0" applyProtection="0"/>
    <xf numFmtId="6" fontId="18" fillId="0" borderId="0" applyFont="0" applyFill="0" applyBorder="0" applyAlignment="0" applyProtection="0"/>
    <xf numFmtId="0" fontId="9" fillId="0" borderId="0">
      <alignment vertical="center"/>
    </xf>
    <xf numFmtId="0" fontId="2" fillId="0" borderId="0">
      <alignment vertical="center"/>
    </xf>
    <xf numFmtId="43" fontId="2" fillId="0" borderId="0" applyFont="0" applyFill="0" applyBorder="0" applyAlignment="0" applyProtection="0">
      <alignment vertical="center"/>
    </xf>
    <xf numFmtId="0" fontId="161" fillId="0" borderId="0">
      <alignment vertical="center"/>
    </xf>
    <xf numFmtId="43" fontId="161" fillId="0" borderId="0" applyFont="0" applyFill="0" applyBorder="0" applyAlignment="0" applyProtection="0">
      <alignment vertical="center"/>
    </xf>
  </cellStyleXfs>
  <cellXfs count="3534">
    <xf numFmtId="0" fontId="0" fillId="0" borderId="0" xfId="0"/>
    <xf numFmtId="0" fontId="43" fillId="0" borderId="0" xfId="128" applyFont="1" applyAlignment="1">
      <alignment horizontal="centerContinuous"/>
    </xf>
    <xf numFmtId="0" fontId="31" fillId="0" borderId="0" xfId="128" applyFont="1" applyAlignment="1">
      <alignment horizontal="centerContinuous"/>
    </xf>
    <xf numFmtId="0" fontId="31" fillId="0" borderId="0" xfId="128" applyFont="1"/>
    <xf numFmtId="0" fontId="47" fillId="0" borderId="0" xfId="128" applyFont="1" applyAlignment="1">
      <alignment horizontal="centerContinuous"/>
    </xf>
    <xf numFmtId="0" fontId="48" fillId="0" borderId="0" xfId="128" applyFont="1" applyAlignment="1">
      <alignment horizontal="centerContinuous"/>
    </xf>
    <xf numFmtId="0" fontId="49" fillId="0" borderId="0" xfId="128" applyFont="1"/>
    <xf numFmtId="49" fontId="74" fillId="0" borderId="138" xfId="52" applyNumberFormat="1" applyFont="1" applyBorder="1" applyAlignment="1">
      <alignment horizontal="center" vertical="center" wrapText="1"/>
    </xf>
    <xf numFmtId="49" fontId="74" fillId="0" borderId="32" xfId="52" applyNumberFormat="1" applyFont="1" applyBorder="1" applyAlignment="1">
      <alignment horizontal="center" vertical="center" wrapText="1"/>
    </xf>
    <xf numFmtId="0" fontId="74" fillId="0" borderId="32" xfId="124" applyFont="1" applyBorder="1" applyAlignment="1">
      <alignment horizontal="center" vertical="center" wrapText="1"/>
    </xf>
    <xf numFmtId="0" fontId="74" fillId="0" borderId="111" xfId="61" applyFont="1" applyBorder="1" applyAlignment="1">
      <alignment horizontal="center" vertical="center" wrapText="1"/>
    </xf>
    <xf numFmtId="0" fontId="74" fillId="0" borderId="174" xfId="61" applyFont="1" applyBorder="1" applyAlignment="1">
      <alignment horizontal="center" vertical="center" wrapText="1"/>
    </xf>
    <xf numFmtId="0" fontId="68" fillId="0" borderId="0" xfId="128" applyFont="1"/>
    <xf numFmtId="0" fontId="74" fillId="0" borderId="0" xfId="124" applyFont="1" applyAlignment="1">
      <alignment vertical="center" wrapText="1"/>
    </xf>
    <xf numFmtId="0" fontId="75" fillId="0" borderId="0" xfId="92" applyFont="1">
      <alignment vertical="center"/>
    </xf>
    <xf numFmtId="0" fontId="75" fillId="0" borderId="0" xfId="104" applyFont="1"/>
    <xf numFmtId="0" fontId="74" fillId="0" borderId="3" xfId="124" applyFont="1" applyBorder="1" applyAlignment="1">
      <alignment vertical="center" wrapText="1"/>
    </xf>
    <xf numFmtId="0" fontId="75" fillId="0" borderId="0" xfId="98" applyFont="1"/>
    <xf numFmtId="0" fontId="75" fillId="0" borderId="0" xfId="93" applyFont="1"/>
    <xf numFmtId="0" fontId="75" fillId="0" borderId="0" xfId="106" applyFont="1"/>
    <xf numFmtId="0" fontId="74" fillId="0" borderId="0" xfId="0" applyFont="1" applyAlignment="1">
      <alignment wrapText="1"/>
    </xf>
    <xf numFmtId="0" fontId="68" fillId="0" borderId="0" xfId="124" applyFont="1">
      <alignment vertical="center"/>
    </xf>
    <xf numFmtId="0" fontId="76" fillId="0" borderId="0" xfId="0" applyFont="1"/>
    <xf numFmtId="0" fontId="74" fillId="0" borderId="0" xfId="107" applyFont="1" applyAlignment="1">
      <alignment vertical="center" wrapText="1"/>
    </xf>
    <xf numFmtId="0" fontId="77" fillId="0" borderId="0" xfId="61" applyFont="1"/>
    <xf numFmtId="0" fontId="77" fillId="0" borderId="0" xfId="137" applyFont="1" applyAlignment="1">
      <alignment vertical="center"/>
    </xf>
    <xf numFmtId="0" fontId="78" fillId="0" borderId="0" xfId="124" applyFont="1">
      <alignment vertical="center"/>
    </xf>
    <xf numFmtId="0" fontId="74" fillId="0" borderId="0" xfId="165" applyFont="1" applyAlignment="1">
      <alignment vertical="center"/>
    </xf>
    <xf numFmtId="0" fontId="77" fillId="0" borderId="0" xfId="0" applyFont="1"/>
    <xf numFmtId="0" fontId="78" fillId="0" borderId="0" xfId="0" applyFont="1"/>
    <xf numFmtId="0" fontId="78" fillId="0" borderId="0" xfId="93" applyFont="1" applyAlignment="1">
      <alignment vertical="center"/>
    </xf>
    <xf numFmtId="0" fontId="76" fillId="0" borderId="0" xfId="52" applyFont="1"/>
    <xf numFmtId="0" fontId="68" fillId="0" borderId="0" xfId="0" applyFont="1"/>
    <xf numFmtId="0" fontId="79" fillId="0" borderId="0" xfId="0" applyFont="1"/>
    <xf numFmtId="0" fontId="78" fillId="0" borderId="0" xfId="105" applyFont="1" applyAlignment="1">
      <alignment vertical="center"/>
    </xf>
    <xf numFmtId="0" fontId="74" fillId="0" borderId="0" xfId="61" applyFont="1"/>
    <xf numFmtId="0" fontId="75" fillId="0" borderId="0" xfId="0" applyFont="1"/>
    <xf numFmtId="0" fontId="74" fillId="0" borderId="0" xfId="124" applyFont="1" applyAlignment="1">
      <alignment horizontal="left" wrapText="1"/>
    </xf>
    <xf numFmtId="0" fontId="74" fillId="0" borderId="0" xfId="141" applyFont="1" applyAlignment="1">
      <alignment horizontal="right"/>
    </xf>
    <xf numFmtId="0" fontId="74" fillId="0" borderId="0" xfId="0" applyFont="1" applyAlignment="1">
      <alignment vertical="center" wrapText="1"/>
    </xf>
    <xf numFmtId="0" fontId="74" fillId="0" borderId="0" xfId="93" applyFont="1" applyAlignment="1">
      <alignment horizontal="center" vertical="center" wrapText="1"/>
    </xf>
    <xf numFmtId="0" fontId="74" fillId="0" borderId="0" xfId="96" applyFont="1" applyAlignment="1">
      <alignment vertical="center" wrapText="1"/>
    </xf>
    <xf numFmtId="0" fontId="75" fillId="0" borderId="0" xfId="144" applyFont="1"/>
    <xf numFmtId="0" fontId="75" fillId="0" borderId="0" xfId="144" applyFont="1" applyAlignment="1">
      <alignment horizontal="right"/>
    </xf>
    <xf numFmtId="0" fontId="75" fillId="0" borderId="0" xfId="110" applyFont="1"/>
    <xf numFmtId="0" fontId="75" fillId="0" borderId="0" xfId="109" applyFont="1"/>
    <xf numFmtId="0" fontId="75" fillId="0" borderId="0" xfId="158" applyFont="1"/>
    <xf numFmtId="0" fontId="75" fillId="0" borderId="0" xfId="153" applyFont="1" applyAlignment="1">
      <alignment vertical="center"/>
    </xf>
    <xf numFmtId="179" fontId="75" fillId="0" borderId="0" xfId="158" applyNumberFormat="1" applyFont="1"/>
    <xf numFmtId="0" fontId="75" fillId="0" borderId="0" xfId="142" applyFont="1"/>
    <xf numFmtId="0" fontId="75" fillId="0" borderId="0" xfId="155" applyFont="1"/>
    <xf numFmtId="179" fontId="75" fillId="0" borderId="0" xfId="142" applyNumberFormat="1" applyFont="1"/>
    <xf numFmtId="179" fontId="75" fillId="0" borderId="0" xfId="155" applyNumberFormat="1" applyFont="1"/>
    <xf numFmtId="0" fontId="75" fillId="0" borderId="0" xfId="140" applyFont="1" applyAlignment="1">
      <alignment horizontal="left" vertical="center"/>
    </xf>
    <xf numFmtId="0" fontId="78" fillId="0" borderId="0" xfId="153" applyFont="1" applyAlignment="1">
      <alignment vertical="center"/>
    </xf>
    <xf numFmtId="0" fontId="75" fillId="0" borderId="0" xfId="136" applyFont="1" applyAlignment="1">
      <alignment vertical="center"/>
    </xf>
    <xf numFmtId="0" fontId="75" fillId="0" borderId="0" xfId="0" applyFont="1" applyAlignment="1">
      <alignment horizontal="left" vertical="center"/>
    </xf>
    <xf numFmtId="0" fontId="78" fillId="0" borderId="0" xfId="107" applyFont="1" applyAlignment="1">
      <alignment vertical="center"/>
    </xf>
    <xf numFmtId="0" fontId="78" fillId="0" borderId="0" xfId="107" applyFont="1"/>
    <xf numFmtId="0" fontId="78" fillId="0" borderId="0" xfId="51" applyFont="1">
      <alignment vertical="center"/>
    </xf>
    <xf numFmtId="0" fontId="74" fillId="0" borderId="0" xfId="115" applyFont="1" applyAlignment="1">
      <alignment vertical="center" wrapText="1"/>
    </xf>
    <xf numFmtId="0" fontId="80" fillId="0" borderId="0" xfId="145" applyFont="1" applyAlignment="1">
      <alignment horizontal="center" vertical="center" wrapText="1"/>
    </xf>
    <xf numFmtId="0" fontId="74" fillId="0" borderId="0" xfId="129" applyFont="1" applyAlignment="1">
      <alignment vertical="center" wrapText="1"/>
    </xf>
    <xf numFmtId="0" fontId="74" fillId="0" borderId="0" xfId="116" applyFont="1" applyAlignment="1">
      <alignment vertical="center" wrapText="1"/>
    </xf>
    <xf numFmtId="0" fontId="81" fillId="0" borderId="0" xfId="161" applyFont="1"/>
    <xf numFmtId="0" fontId="81" fillId="0" borderId="0" xfId="161" applyFont="1" applyAlignment="1">
      <alignment horizontal="left" vertical="center"/>
    </xf>
    <xf numFmtId="0" fontId="75" fillId="0" borderId="0" xfId="107" applyFont="1"/>
    <xf numFmtId="0" fontId="74" fillId="0" borderId="18" xfId="0" applyFont="1" applyBorder="1" applyAlignment="1">
      <alignment horizontal="left" vertical="center" wrapText="1"/>
    </xf>
    <xf numFmtId="0" fontId="74" fillId="0" borderId="0" xfId="0" applyFont="1"/>
    <xf numFmtId="0" fontId="82" fillId="0" borderId="18" xfId="0" applyFont="1" applyBorder="1" applyAlignment="1">
      <alignment horizontal="center" vertical="center" wrapText="1"/>
    </xf>
    <xf numFmtId="0" fontId="74" fillId="0" borderId="0" xfId="124" applyFont="1" applyProtection="1">
      <alignment vertical="center"/>
      <protection locked="0"/>
    </xf>
    <xf numFmtId="0" fontId="74" fillId="0" borderId="0" xfId="93" applyFont="1" applyAlignment="1" applyProtection="1">
      <alignment horizontal="center" vertical="center" wrapText="1"/>
      <protection locked="0"/>
    </xf>
    <xf numFmtId="0" fontId="84" fillId="0" borderId="0" xfId="124" applyFont="1" applyAlignment="1">
      <alignment horizontal="left" vertical="center"/>
    </xf>
    <xf numFmtId="0" fontId="74" fillId="0" borderId="0" xfId="93" applyFont="1" applyAlignment="1">
      <alignment vertical="center" wrapText="1"/>
    </xf>
    <xf numFmtId="199" fontId="74" fillId="0" borderId="0" xfId="61" applyNumberFormat="1" applyFont="1" applyAlignment="1">
      <alignment horizontal="right" vertical="center" wrapText="1"/>
    </xf>
    <xf numFmtId="0" fontId="82" fillId="0" borderId="234" xfId="124" applyFont="1" applyBorder="1" applyAlignment="1">
      <alignment horizontal="center" vertical="center" wrapText="1"/>
    </xf>
    <xf numFmtId="0" fontId="82" fillId="0" borderId="134" xfId="124" applyFont="1" applyBorder="1" applyAlignment="1">
      <alignment horizontal="center" vertical="center" wrapText="1"/>
    </xf>
    <xf numFmtId="0" fontId="82" fillId="0" borderId="235" xfId="124" applyFont="1" applyBorder="1" applyAlignment="1">
      <alignment horizontal="center" vertical="center" wrapText="1"/>
    </xf>
    <xf numFmtId="177" fontId="79" fillId="0" borderId="32" xfId="180" applyFont="1" applyFill="1" applyBorder="1" applyAlignment="1" applyProtection="1">
      <alignment horizontal="center" vertical="center" wrapText="1"/>
      <protection locked="0"/>
    </xf>
    <xf numFmtId="177" fontId="79" fillId="0" borderId="32" xfId="180" applyFont="1" applyFill="1" applyBorder="1" applyAlignment="1">
      <alignment horizontal="center" vertical="center" wrapText="1"/>
    </xf>
    <xf numFmtId="9" fontId="74" fillId="0" borderId="32" xfId="213" applyFont="1" applyFill="1" applyBorder="1" applyAlignment="1">
      <alignment horizontal="center" vertical="center" wrapText="1"/>
    </xf>
    <xf numFmtId="200" fontId="74" fillId="0" borderId="32" xfId="271" applyNumberFormat="1" applyFont="1" applyFill="1" applyBorder="1" applyAlignment="1">
      <alignment horizontal="center" vertical="center" wrapText="1"/>
    </xf>
    <xf numFmtId="0" fontId="82" fillId="0" borderId="236" xfId="124" applyFont="1" applyBorder="1" applyAlignment="1">
      <alignment horizontal="center" vertical="center" wrapText="1"/>
    </xf>
    <xf numFmtId="191" fontId="74" fillId="0" borderId="272" xfId="52" applyNumberFormat="1" applyFont="1" applyBorder="1" applyAlignment="1">
      <alignment horizontal="left" vertical="center" wrapText="1"/>
    </xf>
    <xf numFmtId="0" fontId="74" fillId="0" borderId="233" xfId="124" applyFont="1" applyBorder="1" applyAlignment="1">
      <alignment horizontal="center" vertical="center" wrapText="1"/>
    </xf>
    <xf numFmtId="0" fontId="74" fillId="0" borderId="138" xfId="50" quotePrefix="1" applyFont="1" applyBorder="1" applyAlignment="1">
      <alignment horizontal="center" vertical="center" wrapText="1"/>
    </xf>
    <xf numFmtId="177" fontId="79" fillId="0" borderId="181" xfId="180" applyFont="1" applyFill="1" applyBorder="1" applyAlignment="1">
      <alignment horizontal="center" vertical="center" wrapText="1"/>
    </xf>
    <xf numFmtId="0" fontId="74" fillId="0" borderId="181" xfId="124" applyFont="1" applyBorder="1" applyAlignment="1">
      <alignment horizontal="center" vertical="center" wrapText="1"/>
    </xf>
    <xf numFmtId="200" fontId="74" fillId="0" borderId="181" xfId="271" applyNumberFormat="1" applyFont="1" applyFill="1" applyBorder="1" applyAlignment="1">
      <alignment horizontal="center" vertical="center" wrapText="1"/>
    </xf>
    <xf numFmtId="0" fontId="74" fillId="0" borderId="139" xfId="61" applyFont="1" applyBorder="1" applyAlignment="1">
      <alignment horizontal="center" vertical="center" wrapText="1"/>
    </xf>
    <xf numFmtId="0" fontId="74" fillId="0" borderId="131" xfId="61" applyFont="1" applyBorder="1" applyAlignment="1">
      <alignment horizontal="center" vertical="center" wrapText="1"/>
    </xf>
    <xf numFmtId="0" fontId="74" fillId="0" borderId="131" xfId="124" applyFont="1" applyBorder="1" applyAlignment="1">
      <alignment horizontal="center" vertical="center" wrapText="1"/>
    </xf>
    <xf numFmtId="177" fontId="74" fillId="0" borderId="131" xfId="180" applyFont="1" applyFill="1" applyBorder="1" applyAlignment="1">
      <alignment horizontal="center" vertical="center" wrapText="1"/>
    </xf>
    <xf numFmtId="9" fontId="74" fillId="0" borderId="131" xfId="213" applyFont="1" applyFill="1" applyBorder="1" applyAlignment="1">
      <alignment horizontal="center" vertical="center" wrapText="1"/>
    </xf>
    <xf numFmtId="200" fontId="74" fillId="0" borderId="131" xfId="180" applyNumberFormat="1" applyFont="1" applyFill="1" applyBorder="1" applyAlignment="1">
      <alignment horizontal="center" vertical="center" wrapText="1"/>
    </xf>
    <xf numFmtId="0" fontId="74" fillId="0" borderId="237" xfId="61" applyFont="1" applyBorder="1" applyAlignment="1">
      <alignment horizontal="center" vertical="center" wrapText="1"/>
    </xf>
    <xf numFmtId="177" fontId="74" fillId="0" borderId="34" xfId="180" applyFont="1" applyFill="1" applyBorder="1" applyAlignment="1">
      <alignment horizontal="center" vertical="center" wrapText="1"/>
    </xf>
    <xf numFmtId="9" fontId="74" fillId="0" borderId="34" xfId="213" applyFont="1" applyFill="1" applyBorder="1" applyAlignment="1">
      <alignment horizontal="center" vertical="center" wrapText="1"/>
    </xf>
    <xf numFmtId="200" fontId="74" fillId="0" borderId="34" xfId="180" applyNumberFormat="1" applyFont="1" applyFill="1" applyBorder="1" applyAlignment="1">
      <alignment horizontal="center" vertical="center" wrapText="1"/>
    </xf>
    <xf numFmtId="0" fontId="74" fillId="0" borderId="159" xfId="61" applyFont="1" applyBorder="1" applyAlignment="1">
      <alignment horizontal="center" vertical="center" wrapText="1"/>
    </xf>
    <xf numFmtId="0" fontId="74" fillId="0" borderId="0" xfId="124" applyFont="1">
      <alignment vertical="center"/>
    </xf>
    <xf numFmtId="199" fontId="74" fillId="0" borderId="0" xfId="52" applyNumberFormat="1" applyFont="1" applyAlignment="1">
      <alignment horizontal="right" vertical="center" wrapText="1"/>
    </xf>
    <xf numFmtId="49" fontId="82" fillId="0" borderId="234" xfId="124" applyNumberFormat="1" applyFont="1" applyBorder="1" applyAlignment="1">
      <alignment horizontal="center" vertical="center" wrapText="1"/>
    </xf>
    <xf numFmtId="0" fontId="74" fillId="0" borderId="0" xfId="124" applyFont="1" applyAlignment="1">
      <alignment horizontal="center" wrapText="1"/>
    </xf>
    <xf numFmtId="177" fontId="79" fillId="0" borderId="32" xfId="180" applyFont="1" applyFill="1" applyBorder="1" applyAlignment="1" applyProtection="1">
      <alignment vertical="center" wrapText="1"/>
      <protection locked="0"/>
    </xf>
    <xf numFmtId="177" fontId="79" fillId="0" borderId="32" xfId="180" applyFont="1" applyFill="1" applyBorder="1" applyAlignment="1">
      <alignment vertical="center" wrapText="1"/>
    </xf>
    <xf numFmtId="9" fontId="74" fillId="0" borderId="32" xfId="213" applyFont="1" applyFill="1" applyBorder="1" applyAlignment="1">
      <alignment vertical="center" wrapText="1"/>
    </xf>
    <xf numFmtId="0" fontId="74" fillId="0" borderId="233" xfId="124" applyFont="1" applyBorder="1" applyAlignment="1">
      <alignment vertical="center" wrapText="1"/>
    </xf>
    <xf numFmtId="0" fontId="74" fillId="0" borderId="57" xfId="124" applyFont="1" applyBorder="1" applyAlignment="1">
      <alignment vertical="center" wrapText="1"/>
    </xf>
    <xf numFmtId="0" fontId="68" fillId="0" borderId="56" xfId="124" applyFont="1" applyBorder="1" applyAlignment="1">
      <alignment vertical="center" wrapText="1"/>
    </xf>
    <xf numFmtId="0" fontId="74" fillId="0" borderId="0" xfId="124" quotePrefix="1" applyFont="1" applyAlignment="1">
      <alignment vertical="center" wrapText="1"/>
    </xf>
    <xf numFmtId="191" fontId="79" fillId="0" borderId="111" xfId="61" applyNumberFormat="1" applyFont="1" applyBorder="1" applyAlignment="1">
      <alignment horizontal="left" vertical="center" wrapText="1"/>
    </xf>
    <xf numFmtId="49" fontId="74" fillId="0" borderId="139" xfId="52" applyNumberFormat="1" applyFont="1" applyBorder="1" applyAlignment="1">
      <alignment horizontal="center" vertical="center" wrapText="1"/>
    </xf>
    <xf numFmtId="49" fontId="74" fillId="0" borderId="131" xfId="52" applyNumberFormat="1" applyFont="1" applyBorder="1" applyAlignment="1">
      <alignment horizontal="center" vertical="center" wrapText="1"/>
    </xf>
    <xf numFmtId="0" fontId="74" fillId="0" borderId="131" xfId="52" applyFont="1" applyBorder="1" applyAlignment="1">
      <alignment horizontal="center" vertical="center" wrapText="1"/>
    </xf>
    <xf numFmtId="177" fontId="74" fillId="0" borderId="131" xfId="180" applyFont="1" applyFill="1" applyBorder="1" applyAlignment="1" applyProtection="1">
      <alignment vertical="center" wrapText="1"/>
      <protection locked="0"/>
    </xf>
    <xf numFmtId="177" fontId="74" fillId="0" borderId="131" xfId="180" applyFont="1" applyFill="1" applyBorder="1" applyAlignment="1">
      <alignment vertical="center" wrapText="1"/>
    </xf>
    <xf numFmtId="9" fontId="74" fillId="0" borderId="131" xfId="213" applyFont="1" applyFill="1" applyBorder="1" applyAlignment="1">
      <alignment vertical="center" wrapText="1"/>
    </xf>
    <xf numFmtId="191" fontId="79" fillId="0" borderId="237" xfId="52" applyNumberFormat="1" applyFont="1" applyBorder="1" applyAlignment="1">
      <alignment horizontal="left" vertical="center" wrapText="1"/>
    </xf>
    <xf numFmtId="177" fontId="74" fillId="0" borderId="34" xfId="180" applyFont="1" applyFill="1" applyBorder="1" applyAlignment="1">
      <alignment vertical="center" wrapText="1"/>
    </xf>
    <xf numFmtId="9" fontId="74" fillId="0" borderId="34" xfId="213" applyFont="1" applyFill="1" applyBorder="1" applyAlignment="1">
      <alignment vertical="center" wrapText="1"/>
    </xf>
    <xf numFmtId="200" fontId="74" fillId="0" borderId="34" xfId="180" applyNumberFormat="1" applyFont="1" applyFill="1" applyBorder="1" applyAlignment="1">
      <alignment vertical="center" wrapText="1"/>
    </xf>
    <xf numFmtId="0" fontId="74" fillId="0" borderId="159" xfId="124" applyFont="1" applyBorder="1" applyAlignment="1">
      <alignment vertical="center" wrapText="1"/>
    </xf>
    <xf numFmtId="49" fontId="74" fillId="0" borderId="0" xfId="124" applyNumberFormat="1" applyFont="1" applyAlignment="1">
      <alignment horizontal="left" wrapText="1"/>
    </xf>
    <xf numFmtId="49" fontId="74" fillId="0" borderId="0" xfId="124" applyNumberFormat="1" applyFont="1" applyAlignment="1">
      <alignment horizontal="center" vertical="center" wrapText="1"/>
    </xf>
    <xf numFmtId="49" fontId="74" fillId="0" borderId="0" xfId="124" applyNumberFormat="1" applyFont="1" applyAlignment="1">
      <alignment vertical="center" wrapText="1"/>
    </xf>
    <xf numFmtId="0" fontId="75" fillId="0" borderId="0" xfId="92" applyFont="1" applyAlignment="1">
      <alignment horizontal="left"/>
    </xf>
    <xf numFmtId="179" fontId="75" fillId="0" borderId="0" xfId="98" applyNumberFormat="1" applyFont="1" applyAlignment="1">
      <alignment horizontal="right"/>
    </xf>
    <xf numFmtId="0" fontId="75" fillId="0" borderId="18" xfId="107" applyFont="1" applyBorder="1" applyAlignment="1">
      <alignment horizontal="center" vertical="center" wrapText="1"/>
    </xf>
    <xf numFmtId="49" fontId="75" fillId="0" borderId="18" xfId="107" applyNumberFormat="1" applyFont="1" applyBorder="1" applyAlignment="1">
      <alignment horizontal="center" vertical="center" wrapText="1"/>
    </xf>
    <xf numFmtId="49" fontId="75" fillId="0" borderId="56" xfId="107" applyNumberFormat="1" applyFont="1" applyBorder="1" applyAlignment="1">
      <alignment horizontal="center" vertical="center" wrapText="1"/>
    </xf>
    <xf numFmtId="0" fontId="75" fillId="0" borderId="57" xfId="92" applyFont="1" applyBorder="1" applyAlignment="1">
      <alignment horizontal="center" vertical="center"/>
    </xf>
    <xf numFmtId="197" fontId="75" fillId="0" borderId="18" xfId="107" applyNumberFormat="1" applyFont="1" applyBorder="1" applyAlignment="1" applyProtection="1">
      <alignment horizontal="center" vertical="center" wrapText="1"/>
      <protection locked="0"/>
    </xf>
    <xf numFmtId="197" fontId="75" fillId="0" borderId="18" xfId="107" applyNumberFormat="1" applyFont="1" applyBorder="1" applyAlignment="1" applyProtection="1">
      <alignment horizontal="left" vertical="center" wrapText="1"/>
      <protection locked="0"/>
    </xf>
    <xf numFmtId="0" fontId="75" fillId="0" borderId="18" xfId="92" applyFont="1" applyBorder="1" applyProtection="1">
      <alignment vertical="center"/>
      <protection locked="0"/>
    </xf>
    <xf numFmtId="0" fontId="75" fillId="0" borderId="56" xfId="92" applyFont="1" applyBorder="1" applyProtection="1">
      <alignment vertical="center"/>
      <protection locked="0"/>
    </xf>
    <xf numFmtId="0" fontId="75" fillId="26" borderId="58" xfId="92" applyFont="1" applyFill="1" applyBorder="1" applyAlignment="1">
      <alignment horizontal="center" vertical="center"/>
    </xf>
    <xf numFmtId="197" fontId="75" fillId="26" borderId="59" xfId="107" applyNumberFormat="1" applyFont="1" applyFill="1" applyBorder="1" applyAlignment="1">
      <alignment horizontal="center" vertical="center" wrapText="1"/>
    </xf>
    <xf numFmtId="197" fontId="75" fillId="0" borderId="28" xfId="107" applyNumberFormat="1" applyFont="1" applyBorder="1" applyAlignment="1">
      <alignment vertical="center" wrapText="1"/>
    </xf>
    <xf numFmtId="0" fontId="75" fillId="0" borderId="0" xfId="92" applyFont="1" applyAlignment="1">
      <alignment horizontal="center" vertical="center"/>
    </xf>
    <xf numFmtId="0" fontId="75" fillId="0" borderId="0" xfId="107" applyFont="1" applyAlignment="1">
      <alignment vertical="center" wrapText="1"/>
    </xf>
    <xf numFmtId="0" fontId="87" fillId="0" borderId="0" xfId="104" applyFont="1" applyAlignment="1">
      <alignment horizontal="left"/>
    </xf>
    <xf numFmtId="0" fontId="75" fillId="0" borderId="24" xfId="107" applyFont="1" applyBorder="1" applyAlignment="1">
      <alignment horizontal="center" vertical="center" wrapText="1"/>
    </xf>
    <xf numFmtId="0" fontId="75" fillId="0" borderId="24" xfId="0" applyFont="1" applyBorder="1" applyAlignment="1">
      <alignment horizontal="center" vertical="center"/>
    </xf>
    <xf numFmtId="0" fontId="75" fillId="0" borderId="55" xfId="0" applyFont="1" applyBorder="1" applyAlignment="1">
      <alignment horizontal="center" vertical="center"/>
    </xf>
    <xf numFmtId="0" fontId="75" fillId="0" borderId="57" xfId="107" applyFont="1" applyBorder="1" applyAlignment="1">
      <alignment horizontal="center" vertical="center" wrapText="1"/>
    </xf>
    <xf numFmtId="0" fontId="75" fillId="0" borderId="18" xfId="0" applyFont="1" applyBorder="1" applyProtection="1">
      <protection locked="0"/>
    </xf>
    <xf numFmtId="0" fontId="75" fillId="26" borderId="56" xfId="0" applyFont="1" applyFill="1" applyBorder="1"/>
    <xf numFmtId="0" fontId="75" fillId="26" borderId="58" xfId="107" applyFont="1" applyFill="1" applyBorder="1" applyAlignment="1">
      <alignment horizontal="center" vertical="center" wrapText="1"/>
    </xf>
    <xf numFmtId="0" fontId="75" fillId="0" borderId="27" xfId="107" applyFont="1" applyBorder="1" applyAlignment="1">
      <alignment vertical="center" wrapText="1"/>
    </xf>
    <xf numFmtId="0" fontId="75" fillId="0" borderId="27" xfId="107" applyFont="1" applyBorder="1" applyAlignment="1">
      <alignment horizontal="center" vertical="center" wrapText="1"/>
    </xf>
    <xf numFmtId="0" fontId="75" fillId="26" borderId="28" xfId="104" applyFont="1" applyFill="1" applyBorder="1"/>
    <xf numFmtId="0" fontId="75" fillId="0" borderId="0" xfId="104" applyFont="1" applyAlignment="1">
      <alignment horizontal="center"/>
    </xf>
    <xf numFmtId="0" fontId="75" fillId="0" borderId="0" xfId="0" applyFont="1" applyAlignment="1">
      <alignment horizontal="center"/>
    </xf>
    <xf numFmtId="0" fontId="75" fillId="0" borderId="0" xfId="107" applyFont="1" applyAlignment="1">
      <alignment horizontal="center" vertical="center" wrapText="1"/>
    </xf>
    <xf numFmtId="0" fontId="75" fillId="0" borderId="0" xfId="0" applyFont="1" applyAlignment="1">
      <alignment horizontal="center" vertical="center"/>
    </xf>
    <xf numFmtId="0" fontId="81" fillId="0" borderId="0" xfId="104" applyFont="1"/>
    <xf numFmtId="0" fontId="74" fillId="0" borderId="3" xfId="124" applyFont="1" applyBorder="1" applyAlignment="1">
      <alignment horizontal="left"/>
    </xf>
    <xf numFmtId="0" fontId="74" fillId="0" borderId="3" xfId="93" applyFont="1" applyBorder="1" applyAlignment="1">
      <alignment vertical="center" wrapText="1"/>
    </xf>
    <xf numFmtId="0" fontId="82" fillId="0" borderId="15" xfId="124" applyFont="1" applyBorder="1" applyAlignment="1">
      <alignment horizontal="center" vertical="center" wrapText="1"/>
    </xf>
    <xf numFmtId="0" fontId="82" fillId="0" borderId="55" xfId="124" applyFont="1" applyBorder="1" applyAlignment="1">
      <alignment horizontal="center" vertical="center" wrapText="1"/>
    </xf>
    <xf numFmtId="0" fontId="82" fillId="0" borderId="18" xfId="139" quotePrefix="1" applyFont="1" applyBorder="1" applyAlignment="1">
      <alignment horizontal="center" vertical="center" wrapText="1"/>
    </xf>
    <xf numFmtId="0" fontId="82" fillId="0" borderId="56" xfId="139" quotePrefix="1" applyFont="1" applyBorder="1" applyAlignment="1">
      <alignment horizontal="center" vertical="center" wrapText="1"/>
    </xf>
    <xf numFmtId="0" fontId="82" fillId="0" borderId="68" xfId="124" applyFont="1" applyBorder="1" applyAlignment="1">
      <alignment horizontal="center" vertical="center" wrapText="1"/>
    </xf>
    <xf numFmtId="0" fontId="74" fillId="0" borderId="18" xfId="124" applyFont="1" applyBorder="1" applyAlignment="1">
      <alignment vertical="center" wrapText="1"/>
    </xf>
    <xf numFmtId="200" fontId="74" fillId="25" borderId="18" xfId="180" applyNumberFormat="1" applyFont="1" applyFill="1" applyBorder="1" applyAlignment="1">
      <alignment vertical="center" wrapText="1"/>
    </xf>
    <xf numFmtId="183" fontId="74" fillId="25" borderId="18" xfId="180" applyNumberFormat="1" applyFont="1" applyFill="1" applyBorder="1" applyAlignment="1">
      <alignment vertical="center" wrapText="1"/>
    </xf>
    <xf numFmtId="200" fontId="74" fillId="25" borderId="56" xfId="180" applyNumberFormat="1" applyFont="1" applyFill="1" applyBorder="1" applyAlignment="1">
      <alignment vertical="center" wrapText="1"/>
    </xf>
    <xf numFmtId="0" fontId="74" fillId="0" borderId="18" xfId="124" applyFont="1" applyBorder="1" applyAlignment="1">
      <alignment horizontal="left" vertical="center" wrapText="1" indent="2"/>
    </xf>
    <xf numFmtId="0" fontId="74" fillId="0" borderId="18" xfId="124" applyFont="1" applyBorder="1" applyAlignment="1">
      <alignment horizontal="left" vertical="center" wrapText="1" indent="4"/>
    </xf>
    <xf numFmtId="200" fontId="74" fillId="0" borderId="18" xfId="180" applyNumberFormat="1" applyFont="1" applyFill="1" applyBorder="1" applyAlignment="1">
      <alignment vertical="center" wrapText="1"/>
    </xf>
    <xf numFmtId="183" fontId="74" fillId="0" borderId="18" xfId="180" applyNumberFormat="1" applyFont="1" applyFill="1" applyBorder="1" applyAlignment="1">
      <alignment vertical="center" wrapText="1"/>
    </xf>
    <xf numFmtId="200" fontId="74" fillId="0" borderId="56" xfId="180" applyNumberFormat="1" applyFont="1" applyFill="1" applyBorder="1" applyAlignment="1">
      <alignment vertical="center" wrapText="1"/>
    </xf>
    <xf numFmtId="0" fontId="82" fillId="0" borderId="58" xfId="124" applyFont="1" applyBorder="1" applyAlignment="1">
      <alignment horizontal="center" vertical="center" wrapText="1"/>
    </xf>
    <xf numFmtId="0" fontId="68" fillId="0" borderId="27" xfId="124" applyFont="1" applyBorder="1" applyAlignment="1">
      <alignment horizontal="left" vertical="center" wrapText="1" indent="2"/>
    </xf>
    <xf numFmtId="200" fontId="74" fillId="0" borderId="27" xfId="180" applyNumberFormat="1" applyFont="1" applyFill="1" applyBorder="1" applyAlignment="1">
      <alignment vertical="center" wrapText="1"/>
    </xf>
    <xf numFmtId="183" fontId="74" fillId="0" borderId="27" xfId="180" applyNumberFormat="1" applyFont="1" applyFill="1" applyBorder="1" applyAlignment="1">
      <alignment vertical="center" wrapText="1"/>
    </xf>
    <xf numFmtId="200" fontId="74" fillId="0" borderId="28" xfId="180" applyNumberFormat="1" applyFont="1" applyFill="1" applyBorder="1" applyAlignment="1">
      <alignment vertical="center" wrapText="1"/>
    </xf>
    <xf numFmtId="0" fontId="82" fillId="0" borderId="22" xfId="124" applyFont="1" applyBorder="1" applyAlignment="1">
      <alignment horizontal="center" vertical="center" wrapText="1"/>
    </xf>
    <xf numFmtId="0" fontId="74" fillId="0" borderId="15" xfId="124" applyFont="1" applyBorder="1" applyAlignment="1">
      <alignment vertical="center" wrapText="1"/>
    </xf>
    <xf numFmtId="200" fontId="74" fillId="25" borderId="15" xfId="180" applyNumberFormat="1" applyFont="1" applyFill="1" applyBorder="1" applyAlignment="1">
      <alignment vertical="center" wrapText="1"/>
    </xf>
    <xf numFmtId="200" fontId="74" fillId="25" borderId="74" xfId="180" applyNumberFormat="1" applyFont="1" applyFill="1" applyBorder="1" applyAlignment="1">
      <alignment vertical="center" wrapText="1"/>
    </xf>
    <xf numFmtId="0" fontId="88" fillId="0" borderId="0" xfId="98" applyFont="1" applyAlignment="1">
      <alignment horizontal="center" vertical="center"/>
    </xf>
    <xf numFmtId="0" fontId="75" fillId="0" borderId="0" xfId="98" applyFont="1" applyAlignment="1">
      <alignment horizontal="left"/>
    </xf>
    <xf numFmtId="0" fontId="75" fillId="0" borderId="0" xfId="98" applyFont="1" applyAlignment="1">
      <alignment horizontal="center"/>
    </xf>
    <xf numFmtId="0" fontId="75" fillId="0" borderId="24" xfId="98" applyFont="1" applyBorder="1" applyAlignment="1">
      <alignment horizontal="center"/>
    </xf>
    <xf numFmtId="179" fontId="75" fillId="0" borderId="55" xfId="98" applyNumberFormat="1" applyFont="1" applyBorder="1" applyAlignment="1">
      <alignment horizontal="center"/>
    </xf>
    <xf numFmtId="0" fontId="75" fillId="0" borderId="18" xfId="98" quotePrefix="1" applyFont="1" applyBorder="1" applyAlignment="1">
      <alignment horizontal="center"/>
    </xf>
    <xf numFmtId="179" fontId="75" fillId="0" borderId="56" xfId="98" quotePrefix="1" applyNumberFormat="1" applyFont="1" applyBorder="1" applyAlignment="1">
      <alignment horizontal="center"/>
    </xf>
    <xf numFmtId="0" fontId="89" fillId="0" borderId="57" xfId="98" applyFont="1" applyBorder="1" applyAlignment="1">
      <alignment horizontal="center"/>
    </xf>
    <xf numFmtId="0" fontId="89" fillId="0" borderId="16" xfId="98" applyFont="1" applyBorder="1" applyAlignment="1">
      <alignment horizontal="center"/>
    </xf>
    <xf numFmtId="0" fontId="75" fillId="0" borderId="16" xfId="98" applyFont="1" applyBorder="1" applyAlignment="1" applyProtection="1">
      <alignment horizontal="center"/>
      <protection locked="0"/>
    </xf>
    <xf numFmtId="0" fontId="89" fillId="0" borderId="16" xfId="98" applyFont="1" applyBorder="1" applyAlignment="1" applyProtection="1">
      <alignment horizontal="center"/>
      <protection locked="0"/>
    </xf>
    <xf numFmtId="180" fontId="89" fillId="0" borderId="72" xfId="98" applyNumberFormat="1" applyFont="1" applyBorder="1" applyAlignment="1" applyProtection="1">
      <alignment horizontal="center"/>
      <protection locked="0"/>
    </xf>
    <xf numFmtId="0" fontId="89" fillId="0" borderId="32" xfId="98" applyFont="1" applyBorder="1" applyAlignment="1">
      <alignment horizontal="center"/>
    </xf>
    <xf numFmtId="0" fontId="89" fillId="0" borderId="32" xfId="98" applyFont="1" applyBorder="1" applyAlignment="1" applyProtection="1">
      <alignment horizontal="center"/>
      <protection locked="0"/>
    </xf>
    <xf numFmtId="180" fontId="89" fillId="0" borderId="111" xfId="98" applyNumberFormat="1" applyFont="1" applyBorder="1" applyAlignment="1" applyProtection="1">
      <alignment horizontal="center"/>
      <protection locked="0"/>
    </xf>
    <xf numFmtId="0" fontId="89" fillId="0" borderId="15" xfId="98" applyFont="1" applyBorder="1" applyAlignment="1">
      <alignment horizontal="center"/>
    </xf>
    <xf numFmtId="0" fontId="89" fillId="0" borderId="15" xfId="98" applyFont="1" applyBorder="1" applyAlignment="1" applyProtection="1">
      <alignment horizontal="center"/>
      <protection locked="0"/>
    </xf>
    <xf numFmtId="180" fontId="89" fillId="0" borderId="74" xfId="98" applyNumberFormat="1" applyFont="1" applyBorder="1" applyAlignment="1" applyProtection="1">
      <alignment horizontal="center"/>
      <protection locked="0"/>
    </xf>
    <xf numFmtId="0" fontId="89" fillId="25" borderId="18" xfId="98" applyFont="1" applyFill="1" applyBorder="1" applyAlignment="1">
      <alignment horizontal="center"/>
    </xf>
    <xf numFmtId="180" fontId="89" fillId="25" borderId="56" xfId="98" applyNumberFormat="1" applyFont="1" applyFill="1" applyBorder="1" applyAlignment="1">
      <alignment horizontal="center"/>
    </xf>
    <xf numFmtId="180" fontId="89" fillId="0" borderId="17" xfId="98" applyNumberFormat="1" applyFont="1" applyBorder="1" applyAlignment="1" applyProtection="1">
      <alignment horizontal="center"/>
      <protection locked="0"/>
    </xf>
    <xf numFmtId="0" fontId="89" fillId="0" borderId="16" xfId="98" applyFont="1" applyBorder="1"/>
    <xf numFmtId="0" fontId="89" fillId="0" borderId="112" xfId="98" applyFont="1" applyBorder="1" applyAlignment="1">
      <alignment horizontal="center"/>
    </xf>
    <xf numFmtId="180" fontId="89" fillId="0" borderId="113" xfId="98" applyNumberFormat="1" applyFont="1" applyBorder="1" applyAlignment="1" applyProtection="1">
      <alignment horizontal="center"/>
      <protection locked="0"/>
    </xf>
    <xf numFmtId="0" fontId="75" fillId="25" borderId="18" xfId="98" applyFont="1" applyFill="1" applyBorder="1"/>
    <xf numFmtId="0" fontId="89" fillId="25" borderId="68" xfId="98" applyFont="1" applyFill="1" applyBorder="1"/>
    <xf numFmtId="0" fontId="89" fillId="0" borderId="86" xfId="98" applyFont="1" applyBorder="1" applyAlignment="1">
      <alignment horizontal="center"/>
    </xf>
    <xf numFmtId="0" fontId="89" fillId="0" borderId="86" xfId="98" applyFont="1" applyBorder="1" applyAlignment="1" applyProtection="1">
      <alignment horizontal="center"/>
      <protection locked="0"/>
    </xf>
    <xf numFmtId="180" fontId="89" fillId="0" borderId="112" xfId="98" applyNumberFormat="1" applyFont="1" applyBorder="1" applyAlignment="1" applyProtection="1">
      <alignment horizontal="center"/>
      <protection locked="0"/>
    </xf>
    <xf numFmtId="0" fontId="89" fillId="0" borderId="58" xfId="98" applyFont="1" applyBorder="1" applyAlignment="1">
      <alignment horizontal="center"/>
    </xf>
    <xf numFmtId="0" fontId="75" fillId="25" borderId="27" xfId="98" applyFont="1" applyFill="1" applyBorder="1" applyAlignment="1">
      <alignment horizontal="center" wrapText="1"/>
    </xf>
    <xf numFmtId="0" fontId="89" fillId="25" borderId="27" xfId="98" applyFont="1" applyFill="1" applyBorder="1" applyAlignment="1">
      <alignment horizontal="center" wrapText="1"/>
    </xf>
    <xf numFmtId="0" fontId="89" fillId="25" borderId="27" xfId="98" applyFont="1" applyFill="1" applyBorder="1" applyAlignment="1">
      <alignment horizontal="center"/>
    </xf>
    <xf numFmtId="180" fontId="89" fillId="25" borderId="28" xfId="98" applyNumberFormat="1" applyFont="1" applyFill="1" applyBorder="1" applyAlignment="1">
      <alignment horizontal="center"/>
    </xf>
    <xf numFmtId="179" fontId="75" fillId="0" borderId="0" xfId="98" applyNumberFormat="1" applyFont="1" applyAlignment="1">
      <alignment horizontal="center"/>
    </xf>
    <xf numFmtId="0" fontId="75" fillId="0" borderId="0" xfId="98" applyFont="1" applyAlignment="1">
      <alignment horizontal="center" vertical="center"/>
    </xf>
    <xf numFmtId="0" fontId="75" fillId="0" borderId="0" xfId="98" applyFont="1" applyAlignment="1">
      <alignment horizontal="left" vertical="center" wrapText="1"/>
    </xf>
    <xf numFmtId="0" fontId="75" fillId="0" borderId="0" xfId="98" applyFont="1" applyAlignment="1">
      <alignment vertical="center"/>
    </xf>
    <xf numFmtId="0" fontId="75" fillId="0" borderId="0" xfId="93"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right" vertical="center"/>
    </xf>
    <xf numFmtId="0" fontId="75" fillId="0" borderId="0" xfId="96" applyFont="1" applyAlignment="1">
      <alignment vertical="center"/>
    </xf>
    <xf numFmtId="0" fontId="75" fillId="0" borderId="0" xfId="96" applyFont="1" applyAlignment="1">
      <alignment horizontal="center" vertical="center"/>
    </xf>
    <xf numFmtId="0" fontId="75" fillId="0" borderId="0" xfId="96" applyFont="1"/>
    <xf numFmtId="0" fontId="75" fillId="0" borderId="0" xfId="96" applyFont="1" applyAlignment="1">
      <alignment horizontal="right" vertical="center"/>
    </xf>
    <xf numFmtId="0" fontId="75" fillId="0" borderId="36" xfId="96" applyFont="1" applyBorder="1" applyAlignment="1">
      <alignment vertical="center"/>
    </xf>
    <xf numFmtId="0" fontId="75" fillId="0" borderId="37" xfId="96" applyFont="1" applyBorder="1" applyAlignment="1">
      <alignment horizontal="center" vertical="center"/>
    </xf>
    <xf numFmtId="0" fontId="75" fillId="0" borderId="38" xfId="96" applyFont="1" applyBorder="1" applyAlignment="1">
      <alignment horizontal="center" vertical="center"/>
    </xf>
    <xf numFmtId="0" fontId="75" fillId="0" borderId="39" xfId="96" applyFont="1" applyBorder="1" applyAlignment="1">
      <alignment horizontal="center" vertical="center"/>
    </xf>
    <xf numFmtId="0" fontId="75" fillId="0" borderId="40" xfId="96" applyFont="1" applyBorder="1" applyAlignment="1">
      <alignment horizontal="center" vertical="center"/>
    </xf>
    <xf numFmtId="0" fontId="75" fillId="0" borderId="41" xfId="96" applyFont="1" applyBorder="1" applyAlignment="1">
      <alignment vertical="center"/>
    </xf>
    <xf numFmtId="0" fontId="75" fillId="0" borderId="19" xfId="96" applyFont="1" applyBorder="1" applyAlignment="1">
      <alignment horizontal="center" vertical="center"/>
    </xf>
    <xf numFmtId="0" fontId="75" fillId="0" borderId="42" xfId="96" applyFont="1" applyBorder="1" applyAlignment="1">
      <alignment horizontal="center" vertical="center"/>
    </xf>
    <xf numFmtId="0" fontId="75" fillId="0" borderId="43" xfId="96" applyFont="1" applyBorder="1" applyAlignment="1">
      <alignment horizontal="center" vertical="center"/>
    </xf>
    <xf numFmtId="0" fontId="75" fillId="0" borderId="44" xfId="96" applyFont="1" applyBorder="1" applyAlignment="1">
      <alignment horizontal="center" vertical="center"/>
    </xf>
    <xf numFmtId="0" fontId="75" fillId="0" borderId="45" xfId="130" applyFont="1" applyBorder="1"/>
    <xf numFmtId="192" fontId="89" fillId="0" borderId="92" xfId="96" applyNumberFormat="1" applyFont="1" applyBorder="1" applyAlignment="1" applyProtection="1">
      <alignment horizontal="center" vertical="center"/>
      <protection locked="0"/>
    </xf>
    <xf numFmtId="192" fontId="89" fillId="0" borderId="93" xfId="96" applyNumberFormat="1" applyFont="1" applyBorder="1" applyAlignment="1" applyProtection="1">
      <alignment horizontal="center" vertical="center"/>
      <protection locked="0"/>
    </xf>
    <xf numFmtId="192" fontId="89" fillId="0" borderId="93" xfId="96" applyNumberFormat="1" applyFont="1" applyBorder="1" applyAlignment="1">
      <alignment horizontal="center" vertical="center"/>
    </xf>
    <xf numFmtId="192" fontId="89" fillId="0" borderId="94" xfId="96" applyNumberFormat="1" applyFont="1" applyBorder="1" applyAlignment="1">
      <alignment horizontal="center" vertical="center"/>
    </xf>
    <xf numFmtId="190" fontId="89" fillId="0" borderId="94" xfId="96" applyNumberFormat="1" applyFont="1" applyBorder="1" applyAlignment="1">
      <alignment horizontal="center" vertical="center"/>
    </xf>
    <xf numFmtId="0" fontId="89" fillId="25" borderId="95" xfId="96" applyFont="1" applyFill="1" applyBorder="1" applyAlignment="1">
      <alignment horizontal="center" vertical="center"/>
    </xf>
    <xf numFmtId="192" fontId="90" fillId="0" borderId="69" xfId="0" applyNumberFormat="1" applyFont="1" applyBorder="1" applyAlignment="1" applyProtection="1">
      <alignment horizontal="center" vertical="center"/>
      <protection locked="0"/>
    </xf>
    <xf numFmtId="192" fontId="89" fillId="0" borderId="96" xfId="0" applyNumberFormat="1" applyFont="1" applyBorder="1" applyAlignment="1" applyProtection="1">
      <alignment horizontal="center" vertical="center"/>
      <protection locked="0"/>
    </xf>
    <xf numFmtId="192" fontId="89" fillId="0" borderId="96" xfId="96" applyNumberFormat="1" applyFont="1" applyBorder="1" applyAlignment="1">
      <alignment horizontal="center" vertical="center"/>
    </xf>
    <xf numFmtId="192" fontId="89" fillId="0" borderId="97" xfId="96" applyNumberFormat="1" applyFont="1" applyBorder="1" applyAlignment="1">
      <alignment horizontal="center" vertical="center"/>
    </xf>
    <xf numFmtId="190" fontId="89" fillId="0" borderId="97" xfId="96" applyNumberFormat="1" applyFont="1" applyBorder="1" applyAlignment="1">
      <alignment horizontal="center" vertical="center"/>
    </xf>
    <xf numFmtId="0" fontId="89" fillId="25" borderId="98" xfId="96" applyFont="1" applyFill="1" applyBorder="1" applyAlignment="1">
      <alignment horizontal="center" vertical="center"/>
    </xf>
    <xf numFmtId="0" fontId="75" fillId="0" borderId="46" xfId="130" applyFont="1" applyBorder="1"/>
    <xf numFmtId="192" fontId="90" fillId="0" borderId="99" xfId="0" applyNumberFormat="1" applyFont="1" applyBorder="1" applyAlignment="1" applyProtection="1">
      <alignment horizontal="center" vertical="center"/>
      <protection locked="0"/>
    </xf>
    <xf numFmtId="192" fontId="89" fillId="0" borderId="100" xfId="0" applyNumberFormat="1" applyFont="1" applyBorder="1" applyAlignment="1" applyProtection="1">
      <alignment horizontal="center" vertical="center"/>
      <protection locked="0"/>
    </xf>
    <xf numFmtId="192" fontId="89" fillId="0" borderId="101" xfId="96" applyNumberFormat="1" applyFont="1" applyBorder="1" applyAlignment="1">
      <alignment horizontal="center" vertical="center"/>
    </xf>
    <xf numFmtId="10" fontId="89" fillId="25" borderId="102" xfId="96" applyNumberFormat="1" applyFont="1" applyFill="1" applyBorder="1" applyAlignment="1">
      <alignment horizontal="center" vertical="center"/>
    </xf>
    <xf numFmtId="0" fontId="89" fillId="25" borderId="103" xfId="96" applyFont="1" applyFill="1" applyBorder="1" applyAlignment="1">
      <alignment horizontal="center" vertical="center"/>
    </xf>
    <xf numFmtId="0" fontId="75" fillId="0" borderId="47" xfId="130" applyFont="1" applyBorder="1"/>
    <xf numFmtId="0" fontId="89" fillId="25" borderId="92" xfId="96" applyFont="1" applyFill="1" applyBorder="1" applyAlignment="1">
      <alignment horizontal="center" vertical="center"/>
    </xf>
    <xf numFmtId="0" fontId="89" fillId="25" borderId="93" xfId="96" applyFont="1" applyFill="1" applyBorder="1" applyAlignment="1">
      <alignment horizontal="center" vertical="center"/>
    </xf>
    <xf numFmtId="0" fontId="89" fillId="25" borderId="94" xfId="96" applyFont="1" applyFill="1" applyBorder="1" applyAlignment="1">
      <alignment horizontal="center" vertical="center"/>
    </xf>
    <xf numFmtId="0" fontId="75" fillId="0" borderId="48" xfId="130" applyFont="1" applyBorder="1"/>
    <xf numFmtId="0" fontId="89" fillId="25" borderId="104" xfId="96" applyFont="1" applyFill="1" applyBorder="1" applyAlignment="1">
      <alignment horizontal="center" vertical="center"/>
    </xf>
    <xf numFmtId="0" fontId="89" fillId="25" borderId="105" xfId="96" applyFont="1" applyFill="1" applyBorder="1" applyAlignment="1">
      <alignment horizontal="center" vertical="center"/>
    </xf>
    <xf numFmtId="0" fontId="89" fillId="25" borderId="106" xfId="96" applyFont="1" applyFill="1" applyBorder="1" applyAlignment="1">
      <alignment horizontal="center" vertical="center"/>
    </xf>
    <xf numFmtId="190" fontId="89" fillId="0" borderId="106" xfId="96" applyNumberFormat="1" applyFont="1" applyBorder="1" applyAlignment="1">
      <alignment horizontal="center" vertical="center"/>
    </xf>
    <xf numFmtId="0" fontId="89" fillId="25" borderId="107" xfId="96" applyFont="1" applyFill="1" applyBorder="1" applyAlignment="1">
      <alignment horizontal="center" vertical="center"/>
    </xf>
    <xf numFmtId="0" fontId="75" fillId="0" borderId="49" xfId="130" applyFont="1" applyBorder="1"/>
    <xf numFmtId="0" fontId="89" fillId="25" borderId="108" xfId="96" applyFont="1" applyFill="1" applyBorder="1" applyAlignment="1">
      <alignment horizontal="center" vertical="center"/>
    </xf>
    <xf numFmtId="0" fontId="89" fillId="25" borderId="109" xfId="96" applyFont="1" applyFill="1" applyBorder="1" applyAlignment="1">
      <alignment horizontal="center" vertical="center"/>
    </xf>
    <xf numFmtId="0" fontId="89" fillId="25" borderId="110" xfId="96" applyFont="1" applyFill="1" applyBorder="1" applyAlignment="1">
      <alignment horizontal="center" vertical="center"/>
    </xf>
    <xf numFmtId="191" fontId="89" fillId="0" borderId="118" xfId="96" applyNumberFormat="1" applyFont="1" applyBorder="1" applyAlignment="1">
      <alignment horizontal="center" vertical="center"/>
    </xf>
    <xf numFmtId="0" fontId="75" fillId="0" borderId="50" xfId="96" applyFont="1" applyBorder="1" applyAlignment="1">
      <alignment vertical="center"/>
    </xf>
    <xf numFmtId="0" fontId="75" fillId="0" borderId="51" xfId="96" applyFont="1" applyBorder="1" applyAlignment="1">
      <alignment horizontal="center" vertical="center"/>
    </xf>
    <xf numFmtId="0" fontId="75" fillId="0" borderId="52" xfId="96" applyFont="1" applyBorder="1" applyAlignment="1">
      <alignment horizontal="center" vertical="center"/>
    </xf>
    <xf numFmtId="0" fontId="75" fillId="0" borderId="53" xfId="130" applyFont="1" applyBorder="1"/>
    <xf numFmtId="10" fontId="89" fillId="0" borderId="85" xfId="96" applyNumberFormat="1" applyFont="1" applyBorder="1" applyAlignment="1">
      <alignment horizontal="center" vertical="center"/>
    </xf>
    <xf numFmtId="0" fontId="89" fillId="25" borderId="87" xfId="96" applyFont="1" applyFill="1" applyBorder="1" applyAlignment="1">
      <alignment horizontal="center" vertical="center"/>
    </xf>
    <xf numFmtId="0" fontId="75" fillId="0" borderId="54" xfId="130" applyFont="1" applyBorder="1"/>
    <xf numFmtId="0" fontId="89" fillId="25" borderId="82" xfId="96" applyFont="1" applyFill="1" applyBorder="1" applyAlignment="1">
      <alignment horizontal="center" vertical="center"/>
    </xf>
    <xf numFmtId="0" fontId="89" fillId="0" borderId="117" xfId="96" applyFont="1" applyBorder="1" applyAlignment="1">
      <alignment horizontal="center" vertical="center"/>
    </xf>
    <xf numFmtId="179" fontId="75" fillId="0" borderId="0" xfId="106" applyNumberFormat="1" applyFont="1" applyAlignment="1">
      <alignment vertical="center"/>
    </xf>
    <xf numFmtId="0" fontId="75" fillId="0" borderId="0" xfId="106" applyFont="1" applyAlignment="1">
      <alignment horizontal="right" vertical="center"/>
    </xf>
    <xf numFmtId="0" fontId="75" fillId="0" borderId="0" xfId="106" applyFont="1" applyAlignment="1">
      <alignment vertical="center"/>
    </xf>
    <xf numFmtId="0" fontId="75" fillId="0" borderId="0" xfId="106" applyFont="1" applyAlignment="1">
      <alignment horizontal="left" vertical="center"/>
    </xf>
    <xf numFmtId="179" fontId="75" fillId="0" borderId="0" xfId="106" applyNumberFormat="1" applyFont="1" applyAlignment="1">
      <alignment horizontal="center" vertical="center"/>
    </xf>
    <xf numFmtId="0" fontId="75" fillId="0" borderId="0" xfId="106" applyFont="1" applyAlignment="1">
      <alignment horizontal="center" vertical="center"/>
    </xf>
    <xf numFmtId="0" fontId="75" fillId="0" borderId="0" xfId="120" applyFont="1" applyAlignment="1">
      <alignment horizontal="right"/>
    </xf>
    <xf numFmtId="0" fontId="75" fillId="0" borderId="61" xfId="106" applyFont="1" applyBorder="1" applyAlignment="1">
      <alignment horizontal="center" vertical="center"/>
    </xf>
    <xf numFmtId="179" fontId="75" fillId="0" borderId="51" xfId="106" applyNumberFormat="1" applyFont="1" applyBorder="1" applyAlignment="1">
      <alignment horizontal="center" vertical="center"/>
    </xf>
    <xf numFmtId="0" fontId="91" fillId="0" borderId="52" xfId="106" applyFont="1" applyBorder="1" applyAlignment="1">
      <alignment horizontal="center" vertical="center"/>
    </xf>
    <xf numFmtId="0" fontId="75" fillId="0" borderId="31" xfId="105" applyFont="1" applyBorder="1" applyAlignment="1">
      <alignment vertical="center"/>
    </xf>
    <xf numFmtId="179" fontId="89" fillId="0" borderId="75" xfId="106" applyNumberFormat="1" applyFont="1" applyBorder="1" applyAlignment="1">
      <alignment horizontal="right" vertical="center"/>
    </xf>
    <xf numFmtId="208" fontId="89" fillId="0" borderId="76" xfId="106" applyNumberFormat="1" applyFont="1" applyBorder="1" applyAlignment="1">
      <alignment horizontal="right" vertical="center"/>
    </xf>
    <xf numFmtId="195" fontId="89" fillId="0" borderId="77" xfId="106" applyNumberFormat="1" applyFont="1" applyBorder="1" applyAlignment="1">
      <alignment horizontal="center" vertical="center"/>
    </xf>
    <xf numFmtId="0" fontId="75" fillId="0" borderId="31" xfId="105" applyFont="1" applyBorder="1" applyAlignment="1">
      <alignment horizontal="left" vertical="center" indent="1"/>
    </xf>
    <xf numFmtId="208" fontId="89" fillId="0" borderId="32" xfId="106" applyNumberFormat="1" applyFont="1" applyBorder="1" applyAlignment="1">
      <alignment horizontal="right" vertical="center"/>
    </xf>
    <xf numFmtId="195" fontId="89" fillId="0" borderId="78" xfId="106" applyNumberFormat="1" applyFont="1" applyBorder="1" applyAlignment="1">
      <alignment horizontal="center" vertical="center"/>
    </xf>
    <xf numFmtId="0" fontId="75" fillId="0" borderId="31" xfId="105" applyFont="1" applyBorder="1" applyAlignment="1">
      <alignment horizontal="left" vertical="center" indent="2"/>
    </xf>
    <xf numFmtId="0" fontId="75" fillId="0" borderId="31" xfId="105" applyFont="1" applyBorder="1" applyAlignment="1">
      <alignment horizontal="left" vertical="center" indent="3"/>
    </xf>
    <xf numFmtId="0" fontId="75" fillId="0" borderId="62" xfId="106" applyFont="1" applyBorder="1" applyAlignment="1">
      <alignment horizontal="left" vertical="center" indent="1"/>
    </xf>
    <xf numFmtId="179" fontId="89" fillId="0" borderId="79" xfId="106" applyNumberFormat="1" applyFont="1" applyBorder="1" applyAlignment="1">
      <alignment horizontal="right" vertical="center"/>
    </xf>
    <xf numFmtId="208" fontId="89" fillId="0" borderId="80" xfId="106" applyNumberFormat="1" applyFont="1" applyBorder="1" applyAlignment="1">
      <alignment horizontal="right" vertical="center"/>
    </xf>
    <xf numFmtId="195" fontId="89" fillId="0" borderId="81" xfId="106" applyNumberFormat="1" applyFont="1" applyBorder="1" applyAlignment="1">
      <alignment horizontal="center" vertical="center"/>
    </xf>
    <xf numFmtId="0" fontId="75" fillId="0" borderId="49" xfId="106" applyFont="1" applyBorder="1" applyAlignment="1">
      <alignment horizontal="left" vertical="center" indent="1"/>
    </xf>
    <xf numFmtId="179" fontId="89" fillId="0" borderId="82" xfId="106" applyNumberFormat="1" applyFont="1" applyBorder="1" applyAlignment="1">
      <alignment horizontal="center" vertical="center"/>
    </xf>
    <xf numFmtId="0" fontId="89" fillId="0" borderId="83" xfId="106" applyFont="1" applyBorder="1" applyAlignment="1">
      <alignment horizontal="right" vertical="center"/>
    </xf>
    <xf numFmtId="188" fontId="94" fillId="0" borderId="84" xfId="106" applyNumberFormat="1" applyFont="1" applyBorder="1" applyAlignment="1">
      <alignment horizontal="center"/>
    </xf>
    <xf numFmtId="179" fontId="95" fillId="0" borderId="0" xfId="106" applyNumberFormat="1" applyFont="1" applyAlignment="1">
      <alignment vertical="center"/>
    </xf>
    <xf numFmtId="0" fontId="95" fillId="0" borderId="261" xfId="106" applyFont="1" applyBorder="1" applyAlignment="1">
      <alignment horizontal="right" vertical="center"/>
    </xf>
    <xf numFmtId="0" fontId="95" fillId="0" borderId="0" xfId="106" applyFont="1" applyAlignment="1">
      <alignment vertical="center"/>
    </xf>
    <xf numFmtId="0" fontId="96" fillId="0" borderId="0" xfId="106" applyFont="1" applyAlignment="1">
      <alignment vertical="center"/>
    </xf>
    <xf numFmtId="0" fontId="95" fillId="0" borderId="108" xfId="106" applyFont="1" applyBorder="1" applyAlignment="1">
      <alignment horizontal="right" vertical="center"/>
    </xf>
    <xf numFmtId="0" fontId="75" fillId="0" borderId="50" xfId="106" applyFont="1" applyBorder="1" applyAlignment="1">
      <alignment horizontal="center" vertical="center"/>
    </xf>
    <xf numFmtId="0" fontId="75" fillId="0" borderId="35" xfId="105" applyFont="1" applyBorder="1" applyAlignment="1">
      <alignment horizontal="left" vertical="center"/>
    </xf>
    <xf numFmtId="179" fontId="89" fillId="0" borderId="85" xfId="106" applyNumberFormat="1" applyFont="1" applyBorder="1" applyAlignment="1">
      <alignment horizontal="right" vertical="center"/>
    </xf>
    <xf numFmtId="208" fontId="89" fillId="0" borderId="86" xfId="106" applyNumberFormat="1" applyFont="1" applyBorder="1" applyAlignment="1">
      <alignment horizontal="right" vertical="center"/>
    </xf>
    <xf numFmtId="195" fontId="89" fillId="0" borderId="87" xfId="106" applyNumberFormat="1" applyFont="1" applyBorder="1" applyAlignment="1">
      <alignment horizontal="center" vertical="center"/>
    </xf>
    <xf numFmtId="0" fontId="75" fillId="0" borderId="63" xfId="106" applyFont="1" applyBorder="1" applyAlignment="1">
      <alignment horizontal="left" vertical="center" indent="1"/>
    </xf>
    <xf numFmtId="0" fontId="75" fillId="0" borderId="64" xfId="106" applyFont="1" applyBorder="1" applyAlignment="1">
      <alignment horizontal="left" vertical="center" indent="1"/>
    </xf>
    <xf numFmtId="179" fontId="89" fillId="0" borderId="88" xfId="106" applyNumberFormat="1" applyFont="1" applyBorder="1" applyAlignment="1">
      <alignment horizontal="center" vertical="center"/>
    </xf>
    <xf numFmtId="0" fontId="89" fillId="0" borderId="89" xfId="106" applyFont="1" applyBorder="1" applyAlignment="1">
      <alignment horizontal="right" vertical="center"/>
    </xf>
    <xf numFmtId="188" fontId="94" fillId="0" borderId="90" xfId="106" applyNumberFormat="1" applyFont="1" applyBorder="1" applyAlignment="1">
      <alignment horizontal="center"/>
    </xf>
    <xf numFmtId="179" fontId="96" fillId="0" borderId="18" xfId="106" applyNumberFormat="1" applyFont="1" applyBorder="1" applyAlignment="1">
      <alignment horizontal="center" vertical="center"/>
    </xf>
    <xf numFmtId="0" fontId="96" fillId="0" borderId="18" xfId="106" applyFont="1" applyBorder="1" applyAlignment="1">
      <alignment horizontal="right" vertical="center"/>
    </xf>
    <xf numFmtId="179" fontId="89" fillId="0" borderId="32" xfId="106" applyNumberFormat="1" applyFont="1" applyBorder="1" applyAlignment="1">
      <alignment horizontal="center" vertical="center"/>
    </xf>
    <xf numFmtId="188" fontId="89" fillId="0" borderId="32" xfId="106" applyNumberFormat="1" applyFont="1" applyBorder="1" applyAlignment="1">
      <alignment horizontal="right" vertical="center"/>
    </xf>
    <xf numFmtId="179" fontId="89" fillId="0" borderId="91" xfId="106" applyNumberFormat="1" applyFont="1" applyBorder="1" applyAlignment="1">
      <alignment horizontal="center" vertical="center"/>
    </xf>
    <xf numFmtId="188" fontId="89" fillId="0" borderId="91" xfId="106" applyNumberFormat="1" applyFont="1" applyBorder="1" applyAlignment="1">
      <alignment horizontal="right" vertical="center"/>
    </xf>
    <xf numFmtId="0" fontId="74" fillId="0" borderId="0" xfId="0" applyFont="1" applyProtection="1">
      <protection locked="0"/>
    </xf>
    <xf numFmtId="0" fontId="74" fillId="0" borderId="0" xfId="93" applyFont="1" applyAlignment="1">
      <alignment horizontal="left" vertical="center"/>
    </xf>
    <xf numFmtId="0" fontId="74" fillId="0" borderId="0" xfId="93" applyFont="1" applyAlignment="1">
      <alignment horizontal="right" vertical="center"/>
    </xf>
    <xf numFmtId="0" fontId="82" fillId="0" borderId="18" xfId="93" applyFont="1" applyBorder="1" applyAlignment="1">
      <alignment horizontal="center" vertical="center" wrapText="1"/>
    </xf>
    <xf numFmtId="0" fontId="97" fillId="0" borderId="18" xfId="93" applyFont="1" applyBorder="1" applyAlignment="1">
      <alignment horizontal="center" vertical="center" wrapText="1"/>
    </xf>
    <xf numFmtId="0" fontId="74" fillId="0" borderId="86" xfId="93" applyFont="1" applyBorder="1" applyAlignment="1">
      <alignment horizontal="left" vertical="center" wrapText="1"/>
    </xf>
    <xf numFmtId="183" fontId="74" fillId="0" borderId="86" xfId="180" applyNumberFormat="1" applyFont="1" applyFill="1" applyBorder="1" applyAlignment="1" applyProtection="1">
      <alignment horizontal="center" vertical="center" wrapText="1"/>
    </xf>
    <xf numFmtId="10" fontId="74" fillId="0" borderId="86" xfId="213" applyNumberFormat="1" applyFont="1" applyFill="1" applyBorder="1" applyAlignment="1" applyProtection="1">
      <alignment horizontal="center" vertical="center" wrapText="1"/>
    </xf>
    <xf numFmtId="200" fontId="74" fillId="0" borderId="86" xfId="180" applyNumberFormat="1" applyFont="1" applyFill="1" applyBorder="1" applyAlignment="1" applyProtection="1">
      <alignment horizontal="center" vertical="center" wrapText="1"/>
    </xf>
    <xf numFmtId="0" fontId="74" fillId="0" borderId="32" xfId="93" applyFont="1" applyBorder="1" applyAlignment="1">
      <alignment horizontal="left" vertical="center" wrapText="1"/>
    </xf>
    <xf numFmtId="183" fontId="74" fillId="0" borderId="32" xfId="180" applyNumberFormat="1" applyFont="1" applyFill="1" applyBorder="1" applyAlignment="1" applyProtection="1">
      <alignment horizontal="center" vertical="center" wrapText="1"/>
    </xf>
    <xf numFmtId="10" fontId="74" fillId="0" borderId="32" xfId="213" applyNumberFormat="1" applyFont="1" applyFill="1" applyBorder="1" applyAlignment="1" applyProtection="1">
      <alignment horizontal="center" vertical="center" wrapText="1"/>
    </xf>
    <xf numFmtId="200" fontId="74" fillId="0" borderId="32" xfId="180" applyNumberFormat="1" applyFont="1" applyFill="1" applyBorder="1" applyAlignment="1" applyProtection="1">
      <alignment horizontal="center" vertical="center" wrapText="1"/>
    </xf>
    <xf numFmtId="0" fontId="74" fillId="0" borderId="80" xfId="93" applyFont="1" applyBorder="1" applyAlignment="1">
      <alignment horizontal="left" vertical="center" wrapText="1"/>
    </xf>
    <xf numFmtId="183" fontId="74" fillId="0" borderId="80" xfId="180" applyNumberFormat="1" applyFont="1" applyFill="1" applyBorder="1" applyAlignment="1" applyProtection="1">
      <alignment horizontal="center" vertical="center" wrapText="1"/>
    </xf>
    <xf numFmtId="10" fontId="74" fillId="25" borderId="80" xfId="213" applyNumberFormat="1" applyFont="1" applyFill="1" applyBorder="1" applyAlignment="1" applyProtection="1">
      <alignment horizontal="center" vertical="center" wrapText="1"/>
    </xf>
    <xf numFmtId="200" fontId="74" fillId="0" borderId="80" xfId="180" applyNumberFormat="1" applyFont="1" applyFill="1" applyBorder="1" applyAlignment="1" applyProtection="1">
      <alignment horizontal="center" vertical="center" wrapText="1"/>
    </xf>
    <xf numFmtId="0" fontId="74" fillId="0" borderId="15" xfId="93" applyFont="1" applyBorder="1" applyAlignment="1">
      <alignment horizontal="left" vertical="center" wrapText="1"/>
    </xf>
    <xf numFmtId="183" fontId="74" fillId="25" borderId="15" xfId="180" applyNumberFormat="1" applyFont="1" applyFill="1" applyBorder="1" applyAlignment="1" applyProtection="1">
      <alignment horizontal="center" vertical="center" wrapText="1"/>
    </xf>
    <xf numFmtId="10" fontId="74" fillId="25" borderId="15" xfId="213" applyNumberFormat="1" applyFont="1" applyFill="1" applyBorder="1" applyAlignment="1" applyProtection="1">
      <alignment horizontal="center" vertical="center" wrapText="1"/>
    </xf>
    <xf numFmtId="200" fontId="74" fillId="0" borderId="15" xfId="180" applyNumberFormat="1" applyFont="1" applyFill="1" applyBorder="1" applyAlignment="1" applyProtection="1">
      <alignment horizontal="center" wrapText="1"/>
    </xf>
    <xf numFmtId="191" fontId="74" fillId="0" borderId="0" xfId="0" applyNumberFormat="1" applyFont="1" applyAlignment="1">
      <alignment wrapText="1"/>
    </xf>
    <xf numFmtId="0" fontId="74" fillId="0" borderId="0" xfId="93" applyFont="1" applyAlignment="1">
      <alignment horizontal="left" vertical="center" wrapText="1"/>
    </xf>
    <xf numFmtId="0" fontId="82" fillId="0" borderId="130" xfId="93" applyFont="1" applyBorder="1" applyAlignment="1">
      <alignment horizontal="center" vertical="center" wrapText="1"/>
    </xf>
    <xf numFmtId="0" fontId="82" fillId="0" borderId="15" xfId="93" applyFont="1" applyBorder="1" applyAlignment="1">
      <alignment horizontal="center" vertical="center" wrapText="1"/>
    </xf>
    <xf numFmtId="0" fontId="74" fillId="0" borderId="85" xfId="93" applyFont="1" applyBorder="1" applyAlignment="1">
      <alignment horizontal="center" vertical="center" wrapText="1"/>
    </xf>
    <xf numFmtId="220" fontId="82" fillId="0" borderId="0" xfId="93" applyNumberFormat="1" applyFont="1" applyAlignment="1">
      <alignment horizontal="center" vertical="center" wrapText="1"/>
    </xf>
    <xf numFmtId="220" fontId="74" fillId="0" borderId="0" xfId="93" applyNumberFormat="1" applyFont="1" applyAlignment="1">
      <alignment horizontal="center" vertical="center" wrapText="1"/>
    </xf>
    <xf numFmtId="0" fontId="74" fillId="0" borderId="238" xfId="93" applyFont="1" applyBorder="1" applyAlignment="1">
      <alignment horizontal="center" vertical="center" wrapText="1"/>
    </xf>
    <xf numFmtId="200" fontId="74" fillId="0" borderId="76" xfId="180" applyNumberFormat="1" applyFont="1" applyFill="1" applyBorder="1" applyAlignment="1" applyProtection="1">
      <alignment horizontal="center" vertical="center" wrapText="1"/>
    </xf>
    <xf numFmtId="0" fontId="74" fillId="0" borderId="75" xfId="93" applyFont="1" applyBorder="1" applyAlignment="1">
      <alignment horizontal="center" vertical="center" wrapText="1"/>
    </xf>
    <xf numFmtId="0" fontId="74" fillId="0" borderId="239" xfId="93" applyFont="1" applyBorder="1" applyAlignment="1">
      <alignment horizontal="center" vertical="center" wrapText="1"/>
    </xf>
    <xf numFmtId="200" fontId="74" fillId="0" borderId="91" xfId="180" applyNumberFormat="1" applyFont="1" applyFill="1" applyBorder="1" applyAlignment="1" applyProtection="1">
      <alignment horizontal="center" vertical="center" wrapText="1"/>
    </xf>
    <xf numFmtId="196" fontId="74" fillId="0" borderId="0" xfId="0" applyNumberFormat="1" applyFont="1" applyAlignment="1">
      <alignment wrapText="1"/>
    </xf>
    <xf numFmtId="0" fontId="75" fillId="0" borderId="0" xfId="93" applyFont="1" applyAlignment="1">
      <alignment horizontal="center"/>
    </xf>
    <xf numFmtId="183" fontId="75" fillId="0" borderId="0" xfId="194" applyNumberFormat="1" applyFont="1" applyFill="1" applyAlignment="1" applyProtection="1">
      <alignment horizontal="center"/>
      <protection locked="0"/>
    </xf>
    <xf numFmtId="191" fontId="75" fillId="0" borderId="0" xfId="93" applyNumberFormat="1" applyFont="1" applyAlignment="1">
      <alignment horizontal="center"/>
    </xf>
    <xf numFmtId="183" fontId="75" fillId="0" borderId="0" xfId="194" applyNumberFormat="1" applyFont="1" applyFill="1" applyAlignment="1">
      <alignment horizontal="center"/>
    </xf>
    <xf numFmtId="0" fontId="75" fillId="0" borderId="65" xfId="93" applyFont="1" applyBorder="1" applyAlignment="1">
      <alignment horizontal="center" vertical="center" wrapText="1"/>
    </xf>
    <xf numFmtId="0" fontId="75" fillId="0" borderId="24" xfId="93" applyFont="1" applyBorder="1" applyAlignment="1">
      <alignment horizontal="center" vertical="center" wrapText="1"/>
    </xf>
    <xf numFmtId="183" fontId="75" fillId="0" borderId="24" xfId="194" applyNumberFormat="1" applyFont="1" applyFill="1" applyBorder="1" applyAlignment="1" applyProtection="1">
      <alignment horizontal="center" vertical="center" wrapText="1"/>
      <protection locked="0"/>
    </xf>
    <xf numFmtId="191" fontId="75" fillId="0" borderId="24" xfId="93" applyNumberFormat="1" applyFont="1" applyBorder="1" applyAlignment="1">
      <alignment horizontal="center" vertical="center" wrapText="1"/>
    </xf>
    <xf numFmtId="183" fontId="75" fillId="0" borderId="55" xfId="194" applyNumberFormat="1" applyFont="1" applyFill="1" applyBorder="1" applyAlignment="1">
      <alignment horizontal="center" vertical="center" wrapText="1"/>
    </xf>
    <xf numFmtId="0" fontId="75" fillId="0" borderId="0" xfId="93" applyFont="1" applyAlignment="1">
      <alignment vertical="center"/>
    </xf>
    <xf numFmtId="0" fontId="75" fillId="0" borderId="57" xfId="93" applyFont="1" applyBorder="1" applyAlignment="1">
      <alignment vertical="center"/>
    </xf>
    <xf numFmtId="0" fontId="95" fillId="0" borderId="18" xfId="93" applyFont="1" applyBorder="1" applyAlignment="1">
      <alignment horizontal="center" vertical="center"/>
    </xf>
    <xf numFmtId="179" fontId="95" fillId="0" borderId="18" xfId="194" applyNumberFormat="1" applyFont="1" applyFill="1" applyBorder="1" applyAlignment="1" applyProtection="1">
      <alignment horizontal="right" vertical="center"/>
      <protection locked="0"/>
    </xf>
    <xf numFmtId="191" fontId="95" fillId="0" borderId="18" xfId="93" applyNumberFormat="1" applyFont="1" applyBorder="1" applyAlignment="1">
      <alignment horizontal="center" vertical="center"/>
    </xf>
    <xf numFmtId="183" fontId="95" fillId="0" borderId="56" xfId="194" applyNumberFormat="1" applyFont="1" applyFill="1" applyBorder="1" applyAlignment="1">
      <alignment horizontal="center" vertical="center"/>
    </xf>
    <xf numFmtId="0" fontId="89" fillId="0" borderId="16" xfId="93" applyFont="1" applyBorder="1" applyAlignment="1">
      <alignment horizontal="center" vertical="center"/>
    </xf>
    <xf numFmtId="179" fontId="89" fillId="0" borderId="16" xfId="194" applyNumberFormat="1" applyFont="1" applyFill="1" applyBorder="1" applyAlignment="1" applyProtection="1">
      <alignment horizontal="right" vertical="center"/>
    </xf>
    <xf numFmtId="191" fontId="89" fillId="0" borderId="16" xfId="93" applyNumberFormat="1" applyFont="1" applyBorder="1" applyAlignment="1">
      <alignment horizontal="center" vertical="center"/>
    </xf>
    <xf numFmtId="179" fontId="89" fillId="0" borderId="72" xfId="194" applyNumberFormat="1" applyFont="1" applyFill="1" applyBorder="1" applyAlignment="1" applyProtection="1">
      <alignment horizontal="right" vertical="center"/>
    </xf>
    <xf numFmtId="0" fontId="89" fillId="0" borderId="32" xfId="93" applyFont="1" applyBorder="1" applyAlignment="1">
      <alignment horizontal="center" vertical="center"/>
    </xf>
    <xf numFmtId="179" fontId="89" fillId="0" borderId="32" xfId="194" applyNumberFormat="1" applyFont="1" applyFill="1" applyBorder="1" applyAlignment="1" applyProtection="1">
      <alignment horizontal="right" vertical="center"/>
    </xf>
    <xf numFmtId="191" fontId="89" fillId="0" borderId="32" xfId="93" applyNumberFormat="1" applyFont="1" applyBorder="1" applyAlignment="1">
      <alignment horizontal="center" vertical="center"/>
    </xf>
    <xf numFmtId="179" fontId="89" fillId="0" borderId="111" xfId="194" applyNumberFormat="1" applyFont="1" applyFill="1" applyBorder="1" applyAlignment="1" applyProtection="1">
      <alignment horizontal="right" vertical="center"/>
    </xf>
    <xf numFmtId="0" fontId="89" fillId="0" borderId="15" xfId="93" applyFont="1" applyBorder="1" applyAlignment="1">
      <alignment horizontal="center" vertical="center"/>
    </xf>
    <xf numFmtId="179" fontId="89" fillId="0" borderId="15" xfId="194" applyNumberFormat="1" applyFont="1" applyFill="1" applyBorder="1" applyAlignment="1" applyProtection="1">
      <alignment horizontal="right" vertical="center"/>
    </xf>
    <xf numFmtId="191" fontId="89" fillId="0" borderId="15" xfId="93" applyNumberFormat="1" applyFont="1" applyBorder="1" applyAlignment="1">
      <alignment horizontal="center" vertical="center"/>
    </xf>
    <xf numFmtId="179" fontId="89" fillId="0" borderId="74" xfId="194" applyNumberFormat="1" applyFont="1" applyFill="1" applyBorder="1" applyAlignment="1" applyProtection="1">
      <alignment horizontal="right" vertical="center"/>
    </xf>
    <xf numFmtId="191" fontId="89" fillId="0" borderId="14" xfId="93" applyNumberFormat="1" applyFont="1" applyBorder="1" applyAlignment="1">
      <alignment horizontal="center" vertical="center"/>
    </xf>
    <xf numFmtId="179" fontId="89" fillId="0" borderId="17" xfId="194" applyNumberFormat="1" applyFont="1" applyFill="1" applyBorder="1" applyAlignment="1" applyProtection="1">
      <alignment horizontal="right" vertical="center"/>
    </xf>
    <xf numFmtId="191" fontId="89" fillId="0" borderId="60" xfId="93" applyNumberFormat="1" applyFont="1" applyBorder="1" applyAlignment="1">
      <alignment horizontal="center" vertical="center"/>
    </xf>
    <xf numFmtId="179" fontId="89" fillId="0" borderId="75" xfId="194" applyNumberFormat="1" applyFont="1" applyFill="1" applyBorder="1" applyAlignment="1" applyProtection="1">
      <alignment horizontal="right" vertical="center"/>
    </xf>
    <xf numFmtId="191" fontId="89" fillId="0" borderId="114" xfId="93" applyNumberFormat="1" applyFont="1" applyBorder="1" applyAlignment="1">
      <alignment horizontal="center" vertical="center"/>
    </xf>
    <xf numFmtId="179" fontId="89" fillId="0" borderId="4" xfId="194" applyNumberFormat="1" applyFont="1" applyFill="1" applyBorder="1" applyAlignment="1" applyProtection="1">
      <alignment horizontal="right" vertical="center"/>
    </xf>
    <xf numFmtId="191" fontId="89" fillId="0" borderId="22" xfId="93" applyNumberFormat="1" applyFont="1" applyBorder="1" applyAlignment="1">
      <alignment horizontal="center" vertical="center"/>
    </xf>
    <xf numFmtId="179" fontId="89" fillId="0" borderId="73" xfId="194" applyNumberFormat="1" applyFont="1" applyFill="1" applyBorder="1" applyAlignment="1" applyProtection="1">
      <alignment horizontal="right" vertical="center"/>
    </xf>
    <xf numFmtId="179" fontId="89" fillId="0" borderId="23" xfId="194" applyNumberFormat="1" applyFont="1" applyFill="1" applyBorder="1" applyAlignment="1" applyProtection="1">
      <alignment horizontal="right" vertical="center"/>
    </xf>
    <xf numFmtId="0" fontId="75" fillId="0" borderId="66" xfId="93" applyFont="1" applyBorder="1" applyAlignment="1">
      <alignment vertical="center"/>
    </xf>
    <xf numFmtId="0" fontId="89" fillId="0" borderId="18" xfId="93" applyFont="1" applyBorder="1" applyAlignment="1">
      <alignment horizontal="center" vertical="center"/>
    </xf>
    <xf numFmtId="179" fontId="89" fillId="0" borderId="18" xfId="194" applyNumberFormat="1" applyFont="1" applyFill="1" applyBorder="1" applyAlignment="1" applyProtection="1">
      <alignment horizontal="right" vertical="center"/>
    </xf>
    <xf numFmtId="191" fontId="89" fillId="0" borderId="18" xfId="93" applyNumberFormat="1" applyFont="1" applyBorder="1" applyAlignment="1">
      <alignment horizontal="center" vertical="center"/>
    </xf>
    <xf numFmtId="179" fontId="89" fillId="0" borderId="56" xfId="194" applyNumberFormat="1" applyFont="1" applyFill="1" applyBorder="1" applyAlignment="1" applyProtection="1">
      <alignment horizontal="right" vertical="center"/>
    </xf>
    <xf numFmtId="0" fontId="75" fillId="0" borderId="58" xfId="93" applyFont="1" applyBorder="1" applyAlignment="1">
      <alignment vertical="center"/>
    </xf>
    <xf numFmtId="0" fontId="89" fillId="0" borderId="27" xfId="93" applyFont="1" applyBorder="1" applyAlignment="1">
      <alignment horizontal="center" vertical="center"/>
    </xf>
    <xf numFmtId="179" fontId="89" fillId="0" borderId="27" xfId="194" applyNumberFormat="1" applyFont="1" applyFill="1" applyBorder="1" applyAlignment="1" applyProtection="1">
      <alignment horizontal="right" vertical="center"/>
    </xf>
    <xf numFmtId="191" fontId="89" fillId="0" borderId="27" xfId="93" applyNumberFormat="1" applyFont="1" applyBorder="1" applyAlignment="1">
      <alignment horizontal="center" vertical="center"/>
    </xf>
    <xf numFmtId="179" fontId="89" fillId="0" borderId="28" xfId="194" applyNumberFormat="1" applyFont="1" applyFill="1" applyBorder="1" applyAlignment="1" applyProtection="1">
      <alignment horizontal="right" vertical="center"/>
    </xf>
    <xf numFmtId="183" fontId="75" fillId="0" borderId="0" xfId="194" applyNumberFormat="1" applyFont="1" applyAlignment="1" applyProtection="1">
      <alignment horizontal="center"/>
      <protection locked="0"/>
    </xf>
    <xf numFmtId="183" fontId="75" fillId="0" borderId="0" xfId="194" applyNumberFormat="1" applyFont="1" applyAlignment="1">
      <alignment horizontal="center"/>
    </xf>
    <xf numFmtId="0" fontId="75" fillId="0" borderId="0" xfId="124" applyFont="1">
      <alignment vertical="center"/>
    </xf>
    <xf numFmtId="0" fontId="74" fillId="0" borderId="0" xfId="164" applyFont="1" applyAlignment="1" applyProtection="1">
      <alignment vertical="center"/>
      <protection locked="0"/>
    </xf>
    <xf numFmtId="0" fontId="84" fillId="0" borderId="0" xfId="93" applyFont="1" applyAlignment="1">
      <alignment horizontal="left" vertical="center"/>
    </xf>
    <xf numFmtId="0" fontId="74" fillId="0" borderId="0" xfId="93" applyFont="1" applyAlignment="1">
      <alignment horizontal="center" vertical="center"/>
    </xf>
    <xf numFmtId="0" fontId="74" fillId="0" borderId="0" xfId="95" applyFont="1" applyAlignment="1">
      <alignment horizontal="left" vertical="center"/>
    </xf>
    <xf numFmtId="0" fontId="74" fillId="0" borderId="18" xfId="95" applyFont="1" applyBorder="1" applyAlignment="1">
      <alignment horizontal="center" vertical="center" wrapText="1"/>
    </xf>
    <xf numFmtId="0" fontId="81" fillId="0" borderId="18" xfId="0" quotePrefix="1" applyFont="1" applyBorder="1" applyAlignment="1">
      <alignment horizontal="center"/>
    </xf>
    <xf numFmtId="0" fontId="81" fillId="0" borderId="18" xfId="107" quotePrefix="1" applyFont="1" applyBorder="1" applyAlignment="1">
      <alignment horizontal="center" vertical="center"/>
    </xf>
    <xf numFmtId="0" fontId="81" fillId="0" borderId="18" xfId="0" applyFont="1" applyBorder="1" applyAlignment="1">
      <alignment horizontal="center"/>
    </xf>
    <xf numFmtId="0" fontId="100" fillId="0" borderId="0" xfId="0" applyFont="1"/>
    <xf numFmtId="0" fontId="74" fillId="0" borderId="0" xfId="95" applyFont="1" applyAlignment="1">
      <alignment horizontal="left" vertical="center" wrapText="1"/>
    </xf>
    <xf numFmtId="0" fontId="74" fillId="0" borderId="0" xfId="0" applyFont="1" applyAlignment="1">
      <alignment horizontal="center"/>
    </xf>
    <xf numFmtId="0" fontId="74" fillId="0" borderId="18" xfId="0" applyFont="1" applyBorder="1" applyAlignment="1">
      <alignment horizontal="center" vertical="center" wrapText="1"/>
    </xf>
    <xf numFmtId="178" fontId="81" fillId="0" borderId="18" xfId="166" applyNumberFormat="1" applyFont="1" applyBorder="1" applyAlignment="1" applyProtection="1">
      <alignment horizontal="center" vertical="center" wrapText="1"/>
    </xf>
    <xf numFmtId="0" fontId="81" fillId="0" borderId="0" xfId="0" applyFont="1"/>
    <xf numFmtId="0" fontId="68" fillId="0" borderId="0" xfId="107" applyFont="1" applyAlignment="1">
      <alignment vertical="center"/>
    </xf>
    <xf numFmtId="0" fontId="74" fillId="0" borderId="0" xfId="107" applyFont="1" applyAlignment="1">
      <alignment vertical="center"/>
    </xf>
    <xf numFmtId="0" fontId="74" fillId="0" borderId="0" xfId="107" applyFont="1" applyAlignment="1">
      <alignment horizontal="right" vertical="center"/>
    </xf>
    <xf numFmtId="0" fontId="82" fillId="0" borderId="18" xfId="107" applyFont="1" applyBorder="1" applyAlignment="1">
      <alignment horizontal="center" vertical="center" wrapText="1"/>
    </xf>
    <xf numFmtId="49" fontId="82" fillId="0" borderId="18" xfId="107" applyNumberFormat="1" applyFont="1" applyBorder="1" applyAlignment="1">
      <alignment horizontal="center" vertical="center" wrapText="1"/>
    </xf>
    <xf numFmtId="0" fontId="74" fillId="0" borderId="18" xfId="107" applyFont="1" applyBorder="1" applyAlignment="1">
      <alignment horizontal="center" vertical="center" wrapText="1"/>
    </xf>
    <xf numFmtId="197" fontId="74" fillId="0" borderId="15" xfId="107" applyNumberFormat="1" applyFont="1" applyBorder="1" applyAlignment="1">
      <alignment horizontal="center" vertical="center" wrapText="1"/>
    </xf>
    <xf numFmtId="197" fontId="74" fillId="0" borderId="15" xfId="107" applyNumberFormat="1" applyFont="1" applyBorder="1" applyAlignment="1">
      <alignment horizontal="left" vertical="center" wrapText="1"/>
    </xf>
    <xf numFmtId="201" fontId="74" fillId="0" borderId="15" xfId="107" applyNumberFormat="1" applyFont="1" applyBorder="1" applyAlignment="1">
      <alignment horizontal="right" vertical="center" wrapText="1"/>
    </xf>
    <xf numFmtId="198" fontId="74" fillId="0" borderId="15" xfId="107" applyNumberFormat="1" applyFont="1" applyBorder="1" applyAlignment="1">
      <alignment horizontal="right" vertical="center" wrapText="1"/>
    </xf>
    <xf numFmtId="0" fontId="74" fillId="0" borderId="0" xfId="107" applyFont="1" applyAlignment="1">
      <alignment horizontal="center" vertical="center" wrapText="1"/>
    </xf>
    <xf numFmtId="197" fontId="74" fillId="0" borderId="0" xfId="107" applyNumberFormat="1" applyFont="1" applyAlignment="1">
      <alignment horizontal="center" vertical="center" wrapText="1"/>
    </xf>
    <xf numFmtId="197" fontId="74" fillId="0" borderId="0" xfId="107" applyNumberFormat="1" applyFont="1" applyAlignment="1">
      <alignment horizontal="left" vertical="center" wrapText="1"/>
    </xf>
    <xf numFmtId="201" fontId="74" fillId="0" borderId="0" xfId="107" applyNumberFormat="1" applyFont="1" applyAlignment="1">
      <alignment horizontal="right" vertical="center" wrapText="1"/>
    </xf>
    <xf numFmtId="198" fontId="74" fillId="0" borderId="0" xfId="107" applyNumberFormat="1" applyFont="1" applyAlignment="1">
      <alignment horizontal="right" vertical="center" wrapText="1"/>
    </xf>
    <xf numFmtId="197" fontId="82" fillId="0" borderId="18" xfId="107" applyNumberFormat="1" applyFont="1" applyBorder="1" applyAlignment="1">
      <alignment horizontal="center" vertical="center" wrapText="1"/>
    </xf>
    <xf numFmtId="197" fontId="74" fillId="0" borderId="18" xfId="107" applyNumberFormat="1" applyFont="1" applyBorder="1" applyAlignment="1">
      <alignment horizontal="left" vertical="center" wrapText="1"/>
    </xf>
    <xf numFmtId="183" fontId="74" fillId="34"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center" vertical="center" wrapText="1"/>
    </xf>
    <xf numFmtId="183" fontId="74" fillId="0"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2"/>
    </xf>
    <xf numFmtId="183" fontId="74" fillId="34"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4"/>
    </xf>
    <xf numFmtId="183" fontId="74" fillId="0"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left" vertical="center" wrapText="1" indent="6"/>
    </xf>
    <xf numFmtId="0" fontId="74" fillId="0" borderId="0" xfId="107" applyFont="1" applyAlignment="1">
      <alignment horizontal="center" vertical="center"/>
    </xf>
    <xf numFmtId="0" fontId="74" fillId="0" borderId="0" xfId="107" applyFont="1" applyAlignment="1">
      <alignment horizontal="left" vertical="center" wrapText="1"/>
    </xf>
    <xf numFmtId="0" fontId="74" fillId="0" borderId="0" xfId="107" applyFont="1" applyAlignment="1">
      <alignment horizontal="left" vertical="center"/>
    </xf>
    <xf numFmtId="0" fontId="74" fillId="0" borderId="0" xfId="148" applyFont="1" applyAlignment="1">
      <alignment horizontal="center" vertical="center" wrapText="1"/>
    </xf>
    <xf numFmtId="0" fontId="74" fillId="0" borderId="0" xfId="137" applyFont="1" applyAlignment="1">
      <alignment vertical="center"/>
    </xf>
    <xf numFmtId="0" fontId="74" fillId="0" borderId="0" xfId="137" applyFont="1" applyAlignment="1">
      <alignment wrapText="1"/>
    </xf>
    <xf numFmtId="0" fontId="78" fillId="0" borderId="0" xfId="107" applyFont="1" applyAlignment="1">
      <alignment horizontal="left" vertical="center" wrapText="1"/>
    </xf>
    <xf numFmtId="0" fontId="78" fillId="0" borderId="0" xfId="98" applyFont="1" applyAlignment="1">
      <alignment vertical="center"/>
    </xf>
    <xf numFmtId="0" fontId="75" fillId="0" borderId="0" xfId="107" applyFont="1" applyAlignment="1">
      <alignment vertical="center"/>
    </xf>
    <xf numFmtId="0" fontId="78" fillId="0" borderId="0" xfId="124" applyFont="1" applyAlignment="1">
      <alignment horizontal="left" vertical="center"/>
    </xf>
    <xf numFmtId="0" fontId="78" fillId="0" borderId="16" xfId="107" applyFont="1" applyBorder="1" applyAlignment="1">
      <alignment horizontal="center" vertical="center" wrapText="1"/>
    </xf>
    <xf numFmtId="0" fontId="77" fillId="0" borderId="18" xfId="61" quotePrefix="1" applyFont="1" applyBorder="1" applyAlignment="1">
      <alignment horizontal="center"/>
    </xf>
    <xf numFmtId="0" fontId="77" fillId="0" borderId="18" xfId="61" applyFont="1" applyBorder="1" applyAlignment="1">
      <alignment horizontal="center" vertical="center"/>
    </xf>
    <xf numFmtId="216" fontId="78" fillId="26" borderId="18" xfId="0" applyNumberFormat="1" applyFont="1" applyFill="1" applyBorder="1" applyAlignment="1">
      <alignment vertical="center"/>
    </xf>
    <xf numFmtId="0" fontId="78" fillId="26" borderId="18" xfId="61" applyFont="1" applyFill="1" applyBorder="1" applyAlignment="1">
      <alignment vertical="center"/>
    </xf>
    <xf numFmtId="0" fontId="77" fillId="26" borderId="18" xfId="61" applyFont="1" applyFill="1" applyBorder="1" applyAlignment="1">
      <alignment vertical="center"/>
    </xf>
    <xf numFmtId="49" fontId="77" fillId="26" borderId="18" xfId="61" applyNumberFormat="1" applyFont="1" applyFill="1" applyBorder="1" applyAlignment="1">
      <alignment horizontal="right" vertical="center"/>
    </xf>
    <xf numFmtId="0" fontId="77" fillId="26" borderId="18" xfId="61" applyFont="1" applyFill="1" applyBorder="1" applyAlignment="1">
      <alignment horizontal="right" vertical="center"/>
    </xf>
    <xf numFmtId="0" fontId="77" fillId="0" borderId="129" xfId="61" applyFont="1" applyBorder="1"/>
    <xf numFmtId="0" fontId="78" fillId="0" borderId="0" xfId="107" applyFont="1" applyAlignment="1">
      <alignment horizontal="center" vertical="center"/>
    </xf>
    <xf numFmtId="0" fontId="78" fillId="0" borderId="0" xfId="107" applyFont="1" applyAlignment="1">
      <alignment horizontal="left" vertical="center"/>
    </xf>
    <xf numFmtId="0" fontId="75" fillId="0" borderId="16" xfId="107" applyFont="1" applyBorder="1" applyAlignment="1">
      <alignment horizontal="center" vertical="center" wrapText="1"/>
    </xf>
    <xf numFmtId="0" fontId="75" fillId="0" borderId="16" xfId="61" applyFont="1" applyBorder="1" applyAlignment="1">
      <alignment horizontal="center" wrapText="1"/>
    </xf>
    <xf numFmtId="0" fontId="77" fillId="0" borderId="15" xfId="61" quotePrefix="1" applyFont="1" applyBorder="1" applyAlignment="1">
      <alignment horizontal="center"/>
    </xf>
    <xf numFmtId="0" fontId="77" fillId="0" borderId="14" xfId="61" quotePrefix="1" applyFont="1" applyBorder="1" applyAlignment="1">
      <alignment horizontal="center"/>
    </xf>
    <xf numFmtId="0" fontId="78" fillId="0" borderId="129" xfId="61" applyFont="1" applyBorder="1"/>
    <xf numFmtId="0" fontId="75" fillId="0" borderId="0" xfId="164" applyFont="1" applyAlignment="1" applyProtection="1">
      <alignment vertical="center"/>
      <protection locked="0"/>
    </xf>
    <xf numFmtId="0" fontId="78" fillId="0" borderId="0" xfId="107" quotePrefix="1" applyFont="1" applyAlignment="1">
      <alignment vertical="center"/>
    </xf>
    <xf numFmtId="0" fontId="81" fillId="0" borderId="16" xfId="107" applyFont="1" applyBorder="1" applyAlignment="1">
      <alignment horizontal="center" vertical="center" wrapText="1"/>
    </xf>
    <xf numFmtId="0" fontId="78" fillId="0" borderId="18" xfId="107" quotePrefix="1" applyFont="1" applyBorder="1" applyAlignment="1">
      <alignment horizontal="center" vertical="center"/>
    </xf>
    <xf numFmtId="0" fontId="78" fillId="0" borderId="18" xfId="107" quotePrefix="1" applyFont="1" applyBorder="1" applyAlignment="1">
      <alignment vertical="center"/>
    </xf>
    <xf numFmtId="0" fontId="78" fillId="0" borderId="18" xfId="107" applyFont="1" applyBorder="1" applyAlignment="1">
      <alignment vertical="center"/>
    </xf>
    <xf numFmtId="0" fontId="78" fillId="0" borderId="18" xfId="148" applyFont="1" applyBorder="1" applyAlignment="1">
      <alignment horizontal="center" vertical="center"/>
    </xf>
    <xf numFmtId="0" fontId="78" fillId="0" borderId="130" xfId="107" applyFont="1" applyBorder="1" applyAlignment="1">
      <alignment vertical="center" wrapText="1"/>
    </xf>
    <xf numFmtId="198" fontId="78" fillId="31" borderId="18" xfId="107" applyNumberFormat="1" applyFont="1" applyFill="1" applyBorder="1" applyAlignment="1">
      <alignment horizontal="right" vertical="center"/>
    </xf>
    <xf numFmtId="183" fontId="100" fillId="0" borderId="18" xfId="180" applyNumberFormat="1" applyFont="1" applyBorder="1" applyAlignment="1">
      <alignment vertical="center" wrapText="1"/>
    </xf>
    <xf numFmtId="0" fontId="75" fillId="0" borderId="130" xfId="107" applyFont="1" applyBorder="1" applyAlignment="1">
      <alignment vertical="center" wrapText="1"/>
    </xf>
    <xf numFmtId="0" fontId="78" fillId="0" borderId="0" xfId="148" applyFont="1" applyAlignment="1">
      <alignment horizontal="center" vertical="center"/>
    </xf>
    <xf numFmtId="0" fontId="78" fillId="0" borderId="0" xfId="107" applyFont="1" applyAlignment="1">
      <alignment vertical="center" wrapText="1"/>
    </xf>
    <xf numFmtId="198" fontId="78" fillId="0" borderId="0" xfId="107" applyNumberFormat="1" applyFont="1" applyAlignment="1">
      <alignment horizontal="right" vertical="center"/>
    </xf>
    <xf numFmtId="0" fontId="78" fillId="0" borderId="18" xfId="124" applyFont="1" applyBorder="1">
      <alignment vertical="center"/>
    </xf>
    <xf numFmtId="0" fontId="78" fillId="0" borderId="18" xfId="124" applyFont="1" applyBorder="1" applyAlignment="1">
      <alignment horizontal="center" vertical="center"/>
    </xf>
    <xf numFmtId="0" fontId="78" fillId="0" borderId="18" xfId="124" applyFont="1" applyBorder="1" applyAlignment="1">
      <alignment horizontal="left" vertical="center"/>
    </xf>
    <xf numFmtId="0" fontId="78" fillId="0" borderId="0" xfId="124" applyFont="1" applyAlignment="1">
      <alignment horizontal="center" vertical="center"/>
    </xf>
    <xf numFmtId="0" fontId="81" fillId="0" borderId="0" xfId="124" applyFont="1" applyAlignment="1">
      <alignment horizontal="center" vertical="center"/>
    </xf>
    <xf numFmtId="0" fontId="68" fillId="0" borderId="0" xfId="0" applyFont="1" applyAlignment="1">
      <alignment vertical="center"/>
    </xf>
    <xf numFmtId="0" fontId="74" fillId="0" borderId="0" xfId="0" applyFont="1" applyAlignment="1">
      <alignment vertical="center"/>
    </xf>
    <xf numFmtId="0" fontId="74" fillId="0" borderId="0" xfId="0" applyFont="1" applyAlignment="1">
      <alignment horizontal="right" vertical="center"/>
    </xf>
    <xf numFmtId="0" fontId="82" fillId="0" borderId="18" xfId="165" applyFont="1" applyBorder="1" applyAlignment="1">
      <alignment horizontal="center" vertical="center" wrapText="1"/>
    </xf>
    <xf numFmtId="0" fontId="82" fillId="0" borderId="16" xfId="165" applyFont="1" applyBorder="1" applyAlignment="1">
      <alignment horizontal="center" vertical="center" wrapText="1"/>
    </xf>
    <xf numFmtId="0" fontId="85" fillId="0" borderId="16" xfId="0" applyFont="1" applyBorder="1" applyAlignment="1">
      <alignment horizontal="center" vertical="center" wrapText="1"/>
    </xf>
    <xf numFmtId="0" fontId="74" fillId="0" borderId="18" xfId="165" applyFont="1" applyBorder="1" applyAlignment="1">
      <alignment horizontal="center" vertical="center" wrapText="1"/>
    </xf>
    <xf numFmtId="0" fontId="74" fillId="0" borderId="18" xfId="165" applyFont="1" applyBorder="1" applyAlignment="1">
      <alignment horizontal="justify" vertical="center" wrapText="1"/>
    </xf>
    <xf numFmtId="0" fontId="74" fillId="0" borderId="18" xfId="0" applyFont="1" applyBorder="1" applyAlignment="1">
      <alignment horizontal="justify" vertical="center" wrapText="1"/>
    </xf>
    <xf numFmtId="0" fontId="82" fillId="0" borderId="18" xfId="165" applyFont="1" applyBorder="1" applyAlignment="1">
      <alignment horizontal="justify" vertical="center" wrapText="1"/>
    </xf>
    <xf numFmtId="0" fontId="82" fillId="25" borderId="18" xfId="165" applyFont="1" applyFill="1" applyBorder="1" applyAlignment="1">
      <alignment horizontal="center" vertical="center" wrapText="1"/>
    </xf>
    <xf numFmtId="0" fontId="82" fillId="0" borderId="18" xfId="0" applyFont="1" applyBorder="1" applyAlignment="1">
      <alignment horizontal="justify" vertical="center" wrapText="1"/>
    </xf>
    <xf numFmtId="0" fontId="82" fillId="0" borderId="0" xfId="165" applyFont="1" applyAlignment="1">
      <alignment vertical="center"/>
    </xf>
    <xf numFmtId="0" fontId="74" fillId="0" borderId="0" xfId="0" applyFont="1" applyAlignment="1">
      <alignment horizontal="left" vertical="center"/>
    </xf>
    <xf numFmtId="0" fontId="74" fillId="0" borderId="0" xfId="0" applyFont="1" applyAlignment="1">
      <alignment horizontal="left" vertical="center" indent="2"/>
    </xf>
    <xf numFmtId="183" fontId="74" fillId="0" borderId="18" xfId="180" applyNumberFormat="1" applyFont="1" applyFill="1" applyBorder="1" applyAlignment="1">
      <alignment horizontal="justify" vertical="center" wrapText="1"/>
    </xf>
    <xf numFmtId="0" fontId="79" fillId="0" borderId="18" xfId="0" applyFont="1" applyBorder="1" applyAlignment="1">
      <alignment horizontal="justify" vertical="center" wrapText="1"/>
    </xf>
    <xf numFmtId="0" fontId="74" fillId="25" borderId="18" xfId="165" applyFont="1" applyFill="1" applyBorder="1" applyAlignment="1">
      <alignment horizontal="center" vertical="center" wrapText="1"/>
    </xf>
    <xf numFmtId="0" fontId="74" fillId="26" borderId="18" xfId="165" applyFont="1" applyFill="1" applyBorder="1" applyAlignment="1">
      <alignment horizontal="justify" vertical="center" wrapText="1"/>
    </xf>
    <xf numFmtId="192" fontId="74" fillId="0" borderId="0" xfId="93" applyNumberFormat="1" applyFont="1" applyAlignment="1">
      <alignment horizontal="center" vertical="center" wrapText="1"/>
    </xf>
    <xf numFmtId="0" fontId="82" fillId="0" borderId="240" xfId="96" applyFont="1" applyBorder="1" applyAlignment="1">
      <alignment horizontal="center" vertical="center" wrapText="1"/>
    </xf>
    <xf numFmtId="0" fontId="74" fillId="0" borderId="32" xfId="95" applyFont="1" applyBorder="1" applyAlignment="1" applyProtection="1">
      <alignment horizontal="left" vertical="center" wrapText="1"/>
      <protection locked="0"/>
    </xf>
    <xf numFmtId="0" fontId="74" fillId="0" borderId="0" xfId="95" applyFont="1" applyAlignment="1">
      <alignment vertical="center" wrapText="1"/>
    </xf>
    <xf numFmtId="0" fontId="74" fillId="27" borderId="32" xfId="95" applyFont="1" applyFill="1" applyBorder="1" applyAlignment="1" applyProtection="1">
      <alignment horizontal="left" vertical="center" wrapText="1"/>
      <protection locked="0"/>
    </xf>
    <xf numFmtId="0" fontId="74" fillId="0" borderId="0" xfId="95" applyFont="1" applyAlignment="1">
      <alignment vertical="center"/>
    </xf>
    <xf numFmtId="192" fontId="78" fillId="0" borderId="0" xfId="93" applyNumberFormat="1" applyFont="1" applyAlignment="1">
      <alignment horizontal="center" vertical="center"/>
    </xf>
    <xf numFmtId="191" fontId="78" fillId="0" borderId="0" xfId="93" applyNumberFormat="1" applyFont="1" applyAlignment="1">
      <alignment horizontal="center" vertical="center"/>
    </xf>
    <xf numFmtId="0" fontId="78" fillId="0" borderId="0" xfId="93" applyFont="1" applyAlignment="1">
      <alignment horizontal="left" vertical="center"/>
    </xf>
    <xf numFmtId="0" fontId="103" fillId="0" borderId="0" xfId="93" applyFont="1" applyAlignment="1">
      <alignment horizontal="left" vertical="center"/>
    </xf>
    <xf numFmtId="0" fontId="103" fillId="0" borderId="0" xfId="93" applyFont="1" applyAlignment="1">
      <alignment horizontal="center" vertical="center"/>
    </xf>
    <xf numFmtId="0" fontId="78" fillId="0" borderId="0" xfId="93" applyFont="1" applyAlignment="1">
      <alignment horizontal="right"/>
    </xf>
    <xf numFmtId="0" fontId="103" fillId="0" borderId="132" xfId="96" applyFont="1" applyBorder="1" applyAlignment="1">
      <alignment horizontal="center" vertical="center"/>
    </xf>
    <xf numFmtId="0" fontId="103" fillId="0" borderId="30" xfId="96" applyFont="1" applyBorder="1" applyAlignment="1">
      <alignment horizontal="center" vertical="center"/>
    </xf>
    <xf numFmtId="0" fontId="103" fillId="0" borderId="133" xfId="96" applyFont="1" applyBorder="1" applyAlignment="1">
      <alignment horizontal="center" vertical="center"/>
    </xf>
    <xf numFmtId="0" fontId="103" fillId="0" borderId="134" xfId="96" applyFont="1" applyBorder="1" applyAlignment="1">
      <alignment horizontal="center" vertical="center" wrapText="1"/>
    </xf>
    <xf numFmtId="0" fontId="103" fillId="0" borderId="134" xfId="96" applyFont="1" applyBorder="1" applyAlignment="1">
      <alignment horizontal="center" vertical="center"/>
    </xf>
    <xf numFmtId="0" fontId="103" fillId="0" borderId="135" xfId="96" applyFont="1" applyBorder="1" applyAlignment="1">
      <alignment horizontal="center" vertical="center"/>
    </xf>
    <xf numFmtId="0" fontId="78" fillId="0" borderId="136" xfId="96" applyFont="1" applyBorder="1" applyAlignment="1">
      <alignment vertical="center"/>
    </xf>
    <xf numFmtId="0" fontId="78" fillId="0" borderId="86" xfId="96" applyFont="1" applyBorder="1" applyAlignment="1">
      <alignment horizontal="left" vertical="center" wrapText="1"/>
    </xf>
    <xf numFmtId="189" fontId="78" fillId="25" borderId="92" xfId="96" applyNumberFormat="1" applyFont="1" applyFill="1" applyBorder="1" applyAlignment="1">
      <alignment horizontal="right" vertical="center"/>
    </xf>
    <xf numFmtId="189" fontId="78" fillId="25" borderId="86" xfId="96" applyNumberFormat="1" applyFont="1" applyFill="1" applyBorder="1" applyAlignment="1">
      <alignment horizontal="right" vertical="center"/>
    </xf>
    <xf numFmtId="195" fontId="78" fillId="25" borderId="86" xfId="96" applyNumberFormat="1" applyFont="1" applyFill="1" applyBorder="1" applyAlignment="1">
      <alignment horizontal="center" vertical="center"/>
    </xf>
    <xf numFmtId="189" fontId="78" fillId="25" borderId="137" xfId="96" applyNumberFormat="1" applyFont="1" applyFill="1" applyBorder="1" applyAlignment="1">
      <alignment horizontal="right" vertical="center"/>
    </xf>
    <xf numFmtId="0" fontId="78" fillId="0" borderId="138" xfId="105" applyFont="1" applyBorder="1" applyAlignment="1">
      <alignment horizontal="left" vertical="center" indent="1"/>
    </xf>
    <xf numFmtId="0" fontId="78" fillId="0" borderId="32" xfId="105" applyFont="1" applyBorder="1" applyAlignment="1" applyProtection="1">
      <alignment horizontal="left" vertical="center" wrapText="1"/>
      <protection locked="0"/>
    </xf>
    <xf numFmtId="189" fontId="78" fillId="0" borderId="69" xfId="96" applyNumberFormat="1" applyFont="1" applyBorder="1" applyAlignment="1">
      <alignment horizontal="right" vertical="center"/>
    </xf>
    <xf numFmtId="189" fontId="78" fillId="0" borderId="32" xfId="96" applyNumberFormat="1" applyFont="1" applyBorder="1" applyAlignment="1">
      <alignment horizontal="right" vertical="center"/>
    </xf>
    <xf numFmtId="195" fontId="78" fillId="0" borderId="32" xfId="96" applyNumberFormat="1" applyFont="1" applyBorder="1" applyAlignment="1">
      <alignment horizontal="center" vertical="center"/>
    </xf>
    <xf numFmtId="189" fontId="78" fillId="0" borderId="70" xfId="96" applyNumberFormat="1" applyFont="1" applyBorder="1" applyAlignment="1">
      <alignment horizontal="right" vertical="center"/>
    </xf>
    <xf numFmtId="0" fontId="103" fillId="0" borderId="33" xfId="96" applyFont="1" applyBorder="1" applyAlignment="1">
      <alignment vertical="center"/>
    </xf>
    <xf numFmtId="0" fontId="78" fillId="0" borderId="34" xfId="96" applyFont="1" applyBorder="1" applyAlignment="1">
      <alignment vertical="center"/>
    </xf>
    <xf numFmtId="189" fontId="78" fillId="0" borderId="3" xfId="96" applyNumberFormat="1" applyFont="1" applyBorder="1" applyAlignment="1">
      <alignment horizontal="right" vertical="center"/>
    </xf>
    <xf numFmtId="189" fontId="78" fillId="0" borderId="34" xfId="96" applyNumberFormat="1" applyFont="1" applyBorder="1" applyAlignment="1">
      <alignment horizontal="right" vertical="center"/>
    </xf>
    <xf numFmtId="195" fontId="78" fillId="0" borderId="34" xfId="96" applyNumberFormat="1" applyFont="1" applyBorder="1" applyAlignment="1">
      <alignment horizontal="center" vertical="center"/>
    </xf>
    <xf numFmtId="189" fontId="78" fillId="0" borderId="71" xfId="96" applyNumberFormat="1" applyFont="1" applyBorder="1" applyAlignment="1">
      <alignment horizontal="right" vertical="center"/>
    </xf>
    <xf numFmtId="0" fontId="78" fillId="0" borderId="0" xfId="96" applyFont="1" applyAlignment="1">
      <alignment vertical="center"/>
    </xf>
    <xf numFmtId="192" fontId="78" fillId="0" borderId="0" xfId="96" applyNumberFormat="1" applyFont="1" applyAlignment="1">
      <alignment horizontal="center" vertical="center"/>
    </xf>
    <xf numFmtId="195" fontId="78" fillId="0" borderId="0" xfId="96" applyNumberFormat="1" applyFont="1" applyAlignment="1">
      <alignment horizontal="center" vertical="center"/>
    </xf>
    <xf numFmtId="0" fontId="78" fillId="0" borderId="18" xfId="0" applyFont="1" applyBorder="1" applyAlignment="1">
      <alignment horizontal="center"/>
    </xf>
    <xf numFmtId="0" fontId="78" fillId="0" borderId="16" xfId="98" applyFont="1" applyBorder="1" applyAlignment="1">
      <alignment horizontal="center" vertical="center" wrapText="1"/>
    </xf>
    <xf numFmtId="0" fontId="78" fillId="0" borderId="16" xfId="98" applyFont="1" applyBorder="1" applyAlignment="1">
      <alignment horizontal="center" vertical="center"/>
    </xf>
    <xf numFmtId="0" fontId="78" fillId="0" borderId="16" xfId="0" applyFont="1" applyBorder="1" applyAlignment="1">
      <alignment horizontal="center"/>
    </xf>
    <xf numFmtId="0" fontId="78" fillId="0" borderId="16" xfId="0" applyFont="1" applyBorder="1" applyAlignment="1">
      <alignment horizontal="center" wrapText="1"/>
    </xf>
    <xf numFmtId="0" fontId="78" fillId="0" borderId="15" xfId="0" applyFont="1" applyBorder="1" applyAlignment="1">
      <alignment horizontal="center"/>
    </xf>
    <xf numFmtId="0" fontId="78" fillId="0" borderId="18" xfId="0" applyFont="1" applyBorder="1"/>
    <xf numFmtId="0" fontId="78" fillId="0" borderId="18" xfId="98" applyFont="1" applyBorder="1" applyAlignment="1">
      <alignment vertical="center" wrapText="1"/>
    </xf>
    <xf numFmtId="0" fontId="78" fillId="0" borderId="18" xfId="98" applyFont="1" applyBorder="1" applyAlignment="1">
      <alignment horizontal="left" vertical="center" wrapText="1" indent="1"/>
    </xf>
    <xf numFmtId="0" fontId="78" fillId="0" borderId="18" xfId="98" applyFont="1" applyBorder="1" applyAlignment="1">
      <alignment horizontal="left" vertical="center" wrapText="1" indent="2"/>
    </xf>
    <xf numFmtId="0" fontId="78" fillId="0" borderId="18" xfId="98" applyFont="1" applyBorder="1" applyAlignment="1">
      <alignment horizontal="left" vertical="center" wrapText="1" indent="4"/>
    </xf>
    <xf numFmtId="0" fontId="78" fillId="0" borderId="18" xfId="98" applyFont="1" applyBorder="1" applyAlignment="1">
      <alignment horizontal="center" vertical="center"/>
    </xf>
    <xf numFmtId="0" fontId="78" fillId="0" borderId="0" xfId="98" applyFont="1" applyAlignment="1">
      <alignment horizontal="left" vertical="center" wrapText="1"/>
    </xf>
    <xf numFmtId="183" fontId="78" fillId="0" borderId="0" xfId="180" applyNumberFormat="1" applyFont="1" applyFill="1" applyAlignment="1">
      <alignment vertical="center"/>
    </xf>
    <xf numFmtId="0" fontId="103" fillId="0" borderId="24" xfId="96" applyFont="1" applyBorder="1" applyAlignment="1">
      <alignment horizontal="center" vertical="center"/>
    </xf>
    <xf numFmtId="0" fontId="77" fillId="0" borderId="86" xfId="0" applyFont="1" applyBorder="1"/>
    <xf numFmtId="0" fontId="77" fillId="0" borderId="112" xfId="0" applyFont="1" applyBorder="1"/>
    <xf numFmtId="0" fontId="78" fillId="0" borderId="138" xfId="0" applyFont="1" applyBorder="1"/>
    <xf numFmtId="0" fontId="77" fillId="0" borderId="32" xfId="0" applyFont="1" applyBorder="1"/>
    <xf numFmtId="0" fontId="77" fillId="0" borderId="111" xfId="0" applyFont="1" applyBorder="1"/>
    <xf numFmtId="191" fontId="78" fillId="0" borderId="32" xfId="96" applyNumberFormat="1" applyFont="1" applyBorder="1" applyAlignment="1">
      <alignment horizontal="center" vertical="center"/>
    </xf>
    <xf numFmtId="0" fontId="78" fillId="0" borderId="138" xfId="0" applyFont="1" applyBorder="1" applyAlignment="1">
      <alignment horizontal="left" indent="1"/>
    </xf>
    <xf numFmtId="0" fontId="77" fillId="0" borderId="32" xfId="0" applyFont="1" applyBorder="1" applyAlignment="1">
      <alignment wrapText="1"/>
    </xf>
    <xf numFmtId="0" fontId="78" fillId="0" borderId="217" xfId="0" applyFont="1" applyBorder="1"/>
    <xf numFmtId="0" fontId="77" fillId="0" borderId="181" xfId="0" applyFont="1" applyBorder="1" applyAlignment="1">
      <alignment wrapText="1"/>
    </xf>
    <xf numFmtId="0" fontId="77" fillId="0" borderId="174" xfId="0" applyFont="1" applyBorder="1"/>
    <xf numFmtId="0" fontId="77" fillId="0" borderId="175" xfId="0" applyFont="1" applyBorder="1"/>
    <xf numFmtId="0" fontId="78" fillId="0" borderId="166" xfId="96" applyFont="1" applyBorder="1" applyAlignment="1">
      <alignment vertical="center"/>
    </xf>
    <xf numFmtId="0" fontId="77" fillId="0" borderId="166" xfId="0" applyFont="1" applyBorder="1"/>
    <xf numFmtId="191" fontId="78" fillId="0" borderId="0" xfId="96" applyNumberFormat="1" applyFont="1" applyAlignment="1">
      <alignment horizontal="center" vertical="center"/>
    </xf>
    <xf numFmtId="0" fontId="76" fillId="0" borderId="0" xfId="93" applyFont="1" applyAlignment="1">
      <alignment horizontal="left" vertical="center"/>
    </xf>
    <xf numFmtId="0" fontId="76" fillId="0" borderId="0" xfId="93" applyFont="1" applyAlignment="1">
      <alignment horizontal="center" vertical="center"/>
    </xf>
    <xf numFmtId="0" fontId="105" fillId="0" borderId="24" xfId="52" applyFont="1" applyBorder="1" applyAlignment="1">
      <alignment horizontal="center"/>
    </xf>
    <xf numFmtId="0" fontId="105" fillId="0" borderId="55" xfId="52" applyFont="1" applyBorder="1" applyAlignment="1">
      <alignment horizontal="center"/>
    </xf>
    <xf numFmtId="0" fontId="105" fillId="0" borderId="0" xfId="52" applyFont="1" applyAlignment="1">
      <alignment horizontal="center"/>
    </xf>
    <xf numFmtId="0" fontId="76" fillId="0" borderId="0" xfId="52" applyFont="1" applyAlignment="1">
      <alignment wrapText="1"/>
    </xf>
    <xf numFmtId="217" fontId="76" fillId="0" borderId="80" xfId="93" quotePrefix="1" applyNumberFormat="1" applyFont="1" applyBorder="1" applyAlignment="1" applyProtection="1">
      <alignment horizontal="center" vertical="center" wrapText="1"/>
      <protection locked="0"/>
    </xf>
    <xf numFmtId="217" fontId="76" fillId="0" borderId="80" xfId="93" quotePrefix="1" applyNumberFormat="1" applyFont="1" applyBorder="1" applyAlignment="1">
      <alignment horizontal="center" vertical="center" wrapText="1"/>
    </xf>
    <xf numFmtId="217" fontId="76" fillId="0" borderId="257" xfId="93" quotePrefix="1" applyNumberFormat="1" applyFont="1" applyBorder="1" applyAlignment="1">
      <alignment horizontal="center" vertical="center" wrapText="1"/>
    </xf>
    <xf numFmtId="217" fontId="76" fillId="0" borderId="0" xfId="93" quotePrefix="1" applyNumberFormat="1" applyFont="1" applyAlignment="1">
      <alignment horizontal="center" vertical="center" wrapText="1"/>
    </xf>
    <xf numFmtId="0" fontId="76" fillId="0" borderId="252" xfId="96" applyFont="1" applyBorder="1" applyAlignment="1">
      <alignment horizontal="left" vertical="center"/>
    </xf>
    <xf numFmtId="178" fontId="76" fillId="0" borderId="266" xfId="256" applyNumberFormat="1" applyFont="1" applyFill="1" applyBorder="1" applyAlignment="1" applyProtection="1">
      <alignment horizontal="center" vertical="center" wrapText="1"/>
      <protection locked="0"/>
    </xf>
    <xf numFmtId="178" fontId="76" fillId="0" borderId="250" xfId="256" applyNumberFormat="1" applyFont="1" applyFill="1" applyBorder="1" applyAlignment="1" applyProtection="1">
      <alignment horizontal="center" vertical="center" wrapText="1"/>
    </xf>
    <xf numFmtId="178" fontId="76" fillId="0" borderId="0" xfId="256" applyNumberFormat="1" applyFont="1" applyFill="1" applyBorder="1" applyAlignment="1" applyProtection="1">
      <alignment horizontal="center" vertical="center" wrapText="1"/>
    </xf>
    <xf numFmtId="0" fontId="76" fillId="0" borderId="138" xfId="96" applyFont="1" applyBorder="1" applyAlignment="1">
      <alignment horizontal="left" vertical="center"/>
    </xf>
    <xf numFmtId="178" fontId="76" fillId="0" borderId="267" xfId="256" applyNumberFormat="1" applyFont="1" applyFill="1" applyBorder="1" applyAlignment="1" applyProtection="1">
      <alignment horizontal="center" vertical="center" wrapText="1"/>
      <protection locked="0"/>
    </xf>
    <xf numFmtId="178" fontId="76" fillId="0" borderId="123" xfId="256" applyNumberFormat="1" applyFont="1" applyFill="1" applyBorder="1" applyAlignment="1" applyProtection="1">
      <alignment horizontal="center" vertical="center" wrapText="1"/>
    </xf>
    <xf numFmtId="0" fontId="76" fillId="0" borderId="0" xfId="93" applyFont="1" applyAlignment="1">
      <alignment vertical="center"/>
    </xf>
    <xf numFmtId="178" fontId="105" fillId="0" borderId="0" xfId="256" applyNumberFormat="1" applyFont="1" applyFill="1" applyBorder="1" applyAlignment="1" applyProtection="1">
      <alignment horizontal="center" vertical="center" wrapText="1"/>
    </xf>
    <xf numFmtId="0" fontId="105" fillId="0" borderId="24" xfId="96" applyFont="1" applyBorder="1" applyAlignment="1">
      <alignment horizontal="center" vertical="center" wrapText="1"/>
    </xf>
    <xf numFmtId="0" fontId="85" fillId="0" borderId="24" xfId="96" applyFont="1" applyBorder="1" applyAlignment="1">
      <alignment horizontal="center" vertical="center" wrapText="1"/>
    </xf>
    <xf numFmtId="0" fontId="105" fillId="39" borderId="55" xfId="96" applyFont="1" applyFill="1" applyBorder="1" applyAlignment="1">
      <alignment horizontal="center" vertical="center" wrapText="1"/>
    </xf>
    <xf numFmtId="0" fontId="105" fillId="0" borderId="18" xfId="96" quotePrefix="1" applyFont="1" applyBorder="1" applyAlignment="1">
      <alignment horizontal="center" vertical="center" wrapText="1"/>
    </xf>
    <xf numFmtId="0" fontId="105" fillId="0" borderId="16" xfId="96" quotePrefix="1" applyFont="1" applyBorder="1" applyAlignment="1">
      <alignment horizontal="center" vertical="center" wrapText="1"/>
    </xf>
    <xf numFmtId="0" fontId="105" fillId="0" borderId="16" xfId="96" applyFont="1" applyBorder="1" applyAlignment="1">
      <alignment horizontal="center" vertical="center" wrapText="1"/>
    </xf>
    <xf numFmtId="0" fontId="105" fillId="39" borderId="56" xfId="96" quotePrefix="1" applyFont="1" applyFill="1" applyBorder="1" applyAlignment="1">
      <alignment horizontal="center" vertical="center" wrapText="1"/>
    </xf>
    <xf numFmtId="0" fontId="105" fillId="0" borderId="252" xfId="96" applyFont="1" applyBorder="1" applyAlignment="1">
      <alignment horizontal="justify" vertical="center"/>
    </xf>
    <xf numFmtId="0" fontId="76" fillId="39" borderId="238" xfId="93" applyFont="1" applyFill="1" applyBorder="1" applyAlignment="1" applyProtection="1">
      <alignment horizontal="left" vertical="center" wrapText="1"/>
      <protection locked="0"/>
    </xf>
    <xf numFmtId="217" fontId="76" fillId="39" borderId="179" xfId="93" applyNumberFormat="1" applyFont="1" applyFill="1" applyBorder="1" applyAlignment="1">
      <alignment horizontal="center" vertical="center" wrapText="1"/>
    </xf>
    <xf numFmtId="217" fontId="68" fillId="39" borderId="92" xfId="93" applyNumberFormat="1" applyFont="1" applyFill="1" applyBorder="1" applyAlignment="1">
      <alignment horizontal="center" vertical="center" wrapText="1"/>
    </xf>
    <xf numFmtId="217" fontId="76" fillId="39" borderId="92" xfId="93" applyNumberFormat="1" applyFont="1" applyFill="1" applyBorder="1" applyAlignment="1">
      <alignment horizontal="center" vertical="center" wrapText="1"/>
    </xf>
    <xf numFmtId="217" fontId="76" fillId="39" borderId="253" xfId="93" applyNumberFormat="1" applyFont="1" applyFill="1" applyBorder="1" applyAlignment="1">
      <alignment horizontal="center" vertical="center" wrapText="1"/>
    </xf>
    <xf numFmtId="0" fontId="76" fillId="0" borderId="138" xfId="96" applyFont="1" applyBorder="1" applyAlignment="1">
      <alignment horizontal="left" vertical="center" indent="2"/>
    </xf>
    <xf numFmtId="178" fontId="76" fillId="40" borderId="96" xfId="256" applyNumberFormat="1" applyFont="1" applyFill="1" applyBorder="1" applyAlignment="1" applyProtection="1">
      <alignment horizontal="center" vertical="center" wrapText="1"/>
    </xf>
    <xf numFmtId="178" fontId="76" fillId="0" borderId="96" xfId="256" applyNumberFormat="1" applyFont="1" applyFill="1" applyBorder="1" applyAlignment="1" applyProtection="1">
      <alignment horizontal="center" vertical="center" wrapText="1"/>
    </xf>
    <xf numFmtId="180" fontId="89" fillId="39" borderId="268" xfId="96" applyNumberFormat="1" applyFont="1" applyFill="1" applyBorder="1" applyAlignment="1">
      <alignment vertical="center"/>
    </xf>
    <xf numFmtId="178" fontId="76" fillId="40" borderId="180" xfId="256" applyNumberFormat="1" applyFont="1" applyFill="1" applyBorder="1" applyAlignment="1" applyProtection="1">
      <alignment horizontal="center" vertical="center" wrapText="1"/>
    </xf>
    <xf numFmtId="0" fontId="105" fillId="0" borderId="138" xfId="96" applyFont="1" applyBorder="1" applyAlignment="1">
      <alignment horizontal="left" vertical="center"/>
    </xf>
    <xf numFmtId="0" fontId="76" fillId="39" borderId="69" xfId="93" applyFont="1" applyFill="1" applyBorder="1" applyAlignment="1" applyProtection="1">
      <alignment horizontal="left" vertical="center" wrapText="1"/>
      <protection locked="0"/>
    </xf>
    <xf numFmtId="217" fontId="76" fillId="39" borderId="69" xfId="93" applyNumberFormat="1" applyFont="1" applyFill="1" applyBorder="1" applyAlignment="1">
      <alignment horizontal="center" vertical="center" wrapText="1"/>
    </xf>
    <xf numFmtId="217" fontId="68" fillId="39" borderId="69" xfId="93" applyNumberFormat="1" applyFont="1" applyFill="1" applyBorder="1" applyAlignment="1">
      <alignment horizontal="center" vertical="center" wrapText="1"/>
    </xf>
    <xf numFmtId="217" fontId="76" fillId="39" borderId="70" xfId="93" applyNumberFormat="1" applyFont="1" applyFill="1" applyBorder="1" applyAlignment="1">
      <alignment horizontal="center" vertical="center" wrapText="1"/>
    </xf>
    <xf numFmtId="0" fontId="76" fillId="0" borderId="269" xfId="96" applyFont="1" applyBorder="1" applyAlignment="1">
      <alignment horizontal="left" vertical="center" indent="2"/>
    </xf>
    <xf numFmtId="178" fontId="76" fillId="40" borderId="125" xfId="256" applyNumberFormat="1" applyFont="1" applyFill="1" applyBorder="1" applyAlignment="1" applyProtection="1">
      <alignment horizontal="center" vertical="center" wrapText="1"/>
    </xf>
    <xf numFmtId="178" fontId="76" fillId="0" borderId="125" xfId="256" applyNumberFormat="1" applyFont="1" applyFill="1" applyBorder="1" applyAlignment="1" applyProtection="1">
      <alignment horizontal="center" vertical="center" wrapText="1"/>
    </xf>
    <xf numFmtId="180" fontId="89" fillId="39" borderId="270" xfId="96" applyNumberFormat="1" applyFont="1" applyFill="1" applyBorder="1" applyAlignment="1">
      <alignment vertical="center"/>
    </xf>
    <xf numFmtId="0" fontId="75" fillId="0" borderId="0" xfId="0" applyFont="1" applyAlignment="1">
      <alignment horizontal="right"/>
    </xf>
    <xf numFmtId="0" fontId="75" fillId="0" borderId="16" xfId="98" applyFont="1" applyBorder="1" applyAlignment="1">
      <alignment horizontal="center" vertical="center"/>
    </xf>
    <xf numFmtId="0" fontId="75" fillId="0" borderId="16" xfId="98" applyFont="1" applyBorder="1" applyAlignment="1">
      <alignment horizontal="center" vertical="center" wrapText="1"/>
    </xf>
    <xf numFmtId="183" fontId="75" fillId="0" borderId="16" xfId="180" applyNumberFormat="1" applyFont="1" applyFill="1" applyBorder="1" applyAlignment="1">
      <alignment horizontal="center" vertical="center" wrapText="1"/>
    </xf>
    <xf numFmtId="0" fontId="75" fillId="0" borderId="15" xfId="98" quotePrefix="1" applyFont="1" applyBorder="1" applyAlignment="1">
      <alignment horizontal="center"/>
    </xf>
    <xf numFmtId="0" fontId="75" fillId="0" borderId="18" xfId="98" applyFont="1" applyBorder="1" applyAlignment="1">
      <alignment horizontal="center" vertical="center"/>
    </xf>
    <xf numFmtId="0" fontId="75" fillId="0" borderId="18" xfId="98" applyFont="1" applyBorder="1" applyAlignment="1">
      <alignment vertical="center" wrapText="1"/>
    </xf>
    <xf numFmtId="180" fontId="75" fillId="0" borderId="18" xfId="180" applyNumberFormat="1" applyFont="1" applyFill="1" applyBorder="1" applyAlignment="1">
      <alignment horizontal="right" vertical="center"/>
    </xf>
    <xf numFmtId="0" fontId="75" fillId="0" borderId="18" xfId="98" applyFont="1" applyBorder="1" applyAlignment="1">
      <alignment horizontal="left" vertical="center" wrapText="1" indent="1"/>
    </xf>
    <xf numFmtId="0" fontId="75" fillId="0" borderId="18" xfId="98" applyFont="1" applyBorder="1" applyAlignment="1">
      <alignment horizontal="left" vertical="center" wrapText="1" indent="2"/>
    </xf>
    <xf numFmtId="0" fontId="75" fillId="0" borderId="18" xfId="98" applyFont="1" applyBorder="1" applyAlignment="1">
      <alignment horizontal="left" vertical="center" wrapText="1" indent="4"/>
    </xf>
    <xf numFmtId="180" fontId="75" fillId="25" borderId="18" xfId="98" applyNumberFormat="1" applyFont="1" applyFill="1" applyBorder="1" applyAlignment="1">
      <alignment horizontal="right" vertical="center"/>
    </xf>
    <xf numFmtId="180" fontId="75" fillId="0" borderId="18" xfId="166" applyNumberFormat="1" applyFont="1" applyFill="1" applyBorder="1" applyAlignment="1">
      <alignment horizontal="right" vertical="center"/>
    </xf>
    <xf numFmtId="180" fontId="75" fillId="25" borderId="18" xfId="180" applyNumberFormat="1" applyFont="1" applyFill="1" applyBorder="1" applyAlignment="1" applyProtection="1">
      <alignment horizontal="right" vertical="center"/>
      <protection locked="0"/>
    </xf>
    <xf numFmtId="0" fontId="75" fillId="0" borderId="18" xfId="98" applyFont="1" applyBorder="1" applyAlignment="1">
      <alignment horizontal="center" vertical="center" wrapText="1"/>
    </xf>
    <xf numFmtId="0" fontId="75" fillId="0" borderId="0" xfId="98" applyFont="1" applyAlignment="1">
      <alignment horizontal="left" vertical="center"/>
    </xf>
    <xf numFmtId="183" fontId="75" fillId="0" borderId="0" xfId="180" applyNumberFormat="1" applyFont="1" applyFill="1" applyAlignment="1">
      <alignment vertical="center"/>
    </xf>
    <xf numFmtId="0" fontId="96" fillId="0" borderId="65" xfId="93" applyFont="1" applyBorder="1" applyAlignment="1">
      <alignment horizontal="center" vertical="center"/>
    </xf>
    <xf numFmtId="0" fontId="96" fillId="0" borderId="24" xfId="93" applyFont="1" applyBorder="1" applyAlignment="1">
      <alignment horizontal="center" vertical="center"/>
    </xf>
    <xf numFmtId="183" fontId="96" fillId="0" borderId="26" xfId="194" applyNumberFormat="1" applyFont="1" applyFill="1" applyBorder="1" applyAlignment="1" applyProtection="1">
      <alignment horizontal="center" vertical="center"/>
    </xf>
    <xf numFmtId="191" fontId="96" fillId="0" borderId="176" xfId="93" applyNumberFormat="1" applyFont="1" applyBorder="1" applyAlignment="1">
      <alignment horizontal="center" vertical="center"/>
    </xf>
    <xf numFmtId="183" fontId="96" fillId="0" borderId="177" xfId="194" applyNumberFormat="1" applyFont="1" applyFill="1" applyBorder="1" applyAlignment="1" applyProtection="1">
      <alignment horizontal="center" vertical="center"/>
    </xf>
    <xf numFmtId="0" fontId="75" fillId="0" borderId="178" xfId="93" applyFont="1" applyBorder="1" applyAlignment="1">
      <alignment vertical="center" wrapText="1"/>
    </xf>
    <xf numFmtId="0" fontId="89" fillId="0" borderId="14" xfId="93" applyFont="1" applyBorder="1" applyAlignment="1" applyProtection="1">
      <alignment horizontal="left" vertical="center" wrapText="1"/>
      <protection locked="0"/>
    </xf>
    <xf numFmtId="183" fontId="75" fillId="25" borderId="179" xfId="194" applyNumberFormat="1" applyFont="1" applyFill="1" applyBorder="1" applyAlignment="1" applyProtection="1">
      <alignment horizontal="center" vertical="center"/>
    </xf>
    <xf numFmtId="217" fontId="75" fillId="25" borderId="180" xfId="93" applyNumberFormat="1" applyFont="1" applyFill="1" applyBorder="1" applyAlignment="1">
      <alignment horizontal="center" vertical="center" wrapText="1"/>
    </xf>
    <xf numFmtId="183" fontId="75" fillId="25" borderId="137"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2"/>
    </xf>
    <xf numFmtId="0" fontId="75" fillId="0" borderId="32" xfId="93" applyFont="1" applyBorder="1" applyAlignment="1" applyProtection="1">
      <alignment horizontal="left" vertical="center" wrapText="1"/>
      <protection locked="0"/>
    </xf>
    <xf numFmtId="183" fontId="75" fillId="25" borderId="69" xfId="194" applyNumberFormat="1" applyFont="1" applyFill="1" applyBorder="1" applyAlignment="1" applyProtection="1">
      <alignment horizontal="center" vertical="center"/>
    </xf>
    <xf numFmtId="217" fontId="75" fillId="25" borderId="96" xfId="93" applyNumberFormat="1" applyFont="1" applyFill="1" applyBorder="1" applyAlignment="1">
      <alignment horizontal="center" vertical="center" wrapText="1"/>
    </xf>
    <xf numFmtId="183" fontId="75" fillId="25"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4"/>
    </xf>
    <xf numFmtId="217" fontId="75" fillId="25" borderId="96" xfId="93" applyNumberFormat="1" applyFont="1" applyFill="1" applyBorder="1" applyAlignment="1">
      <alignment horizontal="center" vertical="center"/>
    </xf>
    <xf numFmtId="0" fontId="75" fillId="0" borderId="31" xfId="93" applyFont="1" applyBorder="1" applyAlignment="1">
      <alignment horizontal="left" vertical="center" wrapText="1" indent="6"/>
    </xf>
    <xf numFmtId="183" fontId="75" fillId="0" borderId="69" xfId="194" applyNumberFormat="1" applyFont="1" applyFill="1" applyBorder="1" applyAlignment="1" applyProtection="1">
      <alignment horizontal="center" vertical="center"/>
    </xf>
    <xf numFmtId="217" fontId="75" fillId="0" borderId="96" xfId="93" applyNumberFormat="1" applyFont="1" applyBorder="1" applyAlignment="1">
      <alignment horizontal="center" vertical="center"/>
    </xf>
    <xf numFmtId="183" fontId="75" fillId="0"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8"/>
    </xf>
    <xf numFmtId="179" fontId="75" fillId="0" borderId="96" xfId="93" applyNumberFormat="1" applyFont="1" applyBorder="1" applyAlignment="1">
      <alignment horizontal="center" vertical="center"/>
    </xf>
    <xf numFmtId="0" fontId="75" fillId="0" borderId="31" xfId="93" applyFont="1" applyBorder="1" applyAlignment="1">
      <alignment vertical="center" wrapText="1"/>
    </xf>
    <xf numFmtId="0" fontId="75" fillId="0" borderId="181" xfId="93" applyFont="1" applyBorder="1" applyAlignment="1" applyProtection="1">
      <alignment horizontal="left" vertical="center" wrapText="1"/>
      <protection locked="0"/>
    </xf>
    <xf numFmtId="217" fontId="75" fillId="0" borderId="182" xfId="93" applyNumberFormat="1" applyFont="1" applyBorder="1" applyAlignment="1">
      <alignment horizontal="center" vertical="center"/>
    </xf>
    <xf numFmtId="0" fontId="96" fillId="0" borderId="175" xfId="93" applyFont="1" applyBorder="1" applyAlignment="1">
      <alignment vertical="center"/>
    </xf>
    <xf numFmtId="0" fontId="89" fillId="0" borderId="166" xfId="93" applyFont="1" applyBorder="1" applyAlignment="1">
      <alignment horizontal="left" vertical="center" wrapText="1"/>
    </xf>
    <xf numFmtId="180" fontId="89" fillId="0" borderId="172" xfId="194" applyNumberFormat="1" applyFont="1" applyFill="1" applyBorder="1" applyAlignment="1" applyProtection="1">
      <alignment horizontal="right" vertical="center"/>
    </xf>
    <xf numFmtId="191" fontId="89" fillId="0" borderId="183" xfId="93" applyNumberFormat="1" applyFont="1" applyBorder="1" applyAlignment="1">
      <alignment horizontal="center" vertical="center"/>
    </xf>
    <xf numFmtId="180" fontId="89" fillId="0" borderId="184" xfId="194" applyNumberFormat="1" applyFont="1" applyFill="1" applyBorder="1" applyAlignment="1" applyProtection="1">
      <alignment horizontal="right" vertical="center"/>
    </xf>
    <xf numFmtId="0" fontId="78" fillId="0" borderId="0" xfId="93" applyFont="1" applyAlignment="1">
      <alignment horizontal="center" vertical="center"/>
    </xf>
    <xf numFmtId="0" fontId="78" fillId="0" borderId="0" xfId="121" applyFont="1" applyAlignment="1">
      <alignment horizontal="right"/>
    </xf>
    <xf numFmtId="0" fontId="103" fillId="0" borderId="65" xfId="96" applyFont="1" applyBorder="1" applyAlignment="1">
      <alignment horizontal="center" vertical="center"/>
    </xf>
    <xf numFmtId="0" fontId="103" fillId="0" borderId="167" xfId="96" applyFont="1" applyBorder="1" applyAlignment="1">
      <alignment horizontal="center" vertical="center"/>
    </xf>
    <xf numFmtId="0" fontId="103" fillId="0" borderId="25" xfId="96" applyFont="1" applyBorder="1" applyAlignment="1">
      <alignment horizontal="center" vertical="center"/>
    </xf>
    <xf numFmtId="0" fontId="78" fillId="0" borderId="35" xfId="105" applyFont="1" applyBorder="1" applyAlignment="1">
      <alignment vertical="center"/>
    </xf>
    <xf numFmtId="0" fontId="78" fillId="0" borderId="86" xfId="105" applyFont="1" applyBorder="1" applyAlignment="1" applyProtection="1">
      <alignment horizontal="left" vertical="center"/>
      <protection locked="0"/>
    </xf>
    <xf numFmtId="207" fontId="78" fillId="0" borderId="85" xfId="196" applyNumberFormat="1" applyFont="1" applyFill="1" applyBorder="1" applyAlignment="1" applyProtection="1">
      <alignment horizontal="right" vertical="center"/>
    </xf>
    <xf numFmtId="180" fontId="78" fillId="0" borderId="86" xfId="96" applyNumberFormat="1" applyFont="1" applyBorder="1" applyAlignment="1">
      <alignment vertical="center"/>
    </xf>
    <xf numFmtId="194" fontId="78" fillId="0" borderId="86" xfId="105" applyNumberFormat="1" applyFont="1" applyBorder="1" applyAlignment="1">
      <alignment horizontal="center" vertical="center"/>
    </xf>
    <xf numFmtId="207" fontId="78" fillId="0" borderId="137" xfId="196" applyNumberFormat="1" applyFont="1" applyFill="1" applyBorder="1" applyAlignment="1" applyProtection="1">
      <alignment horizontal="right" vertical="center"/>
    </xf>
    <xf numFmtId="0" fontId="78" fillId="0" borderId="31" xfId="105" applyFont="1" applyBorder="1" applyAlignment="1">
      <alignment vertical="center"/>
    </xf>
    <xf numFmtId="0" fontId="78" fillId="0" borderId="32" xfId="105" applyFont="1" applyBorder="1" applyAlignment="1" applyProtection="1">
      <alignment horizontal="left" vertical="center"/>
      <protection locked="0"/>
    </xf>
    <xf numFmtId="207" fontId="78" fillId="0" borderId="75" xfId="196" applyNumberFormat="1" applyFont="1" applyFill="1" applyBorder="1" applyAlignment="1" applyProtection="1">
      <alignment horizontal="right" vertical="center"/>
    </xf>
    <xf numFmtId="180" fontId="78" fillId="0" borderId="32" xfId="96" applyNumberFormat="1" applyFont="1" applyBorder="1" applyAlignment="1">
      <alignment vertical="center"/>
    </xf>
    <xf numFmtId="194" fontId="78" fillId="0" borderId="32" xfId="105" applyNumberFormat="1" applyFont="1" applyBorder="1" applyAlignment="1">
      <alignment horizontal="center" vertical="center"/>
    </xf>
    <xf numFmtId="207" fontId="78" fillId="0" borderId="70" xfId="196" applyNumberFormat="1" applyFont="1" applyFill="1" applyBorder="1" applyAlignment="1" applyProtection="1">
      <alignment horizontal="right" vertical="center"/>
    </xf>
    <xf numFmtId="0" fontId="78" fillId="0" borderId="31" xfId="105" applyFont="1" applyBorder="1" applyAlignment="1">
      <alignment horizontal="left" vertical="center" indent="1"/>
    </xf>
    <xf numFmtId="180" fontId="78" fillId="0" borderId="168" xfId="96" applyNumberFormat="1" applyFont="1" applyBorder="1" applyAlignment="1">
      <alignment vertical="center"/>
    </xf>
    <xf numFmtId="189" fontId="78" fillId="0" borderId="32" xfId="105" applyNumberFormat="1" applyFont="1" applyBorder="1" applyAlignment="1" applyProtection="1">
      <alignment horizontal="center" vertical="center"/>
      <protection locked="0"/>
    </xf>
    <xf numFmtId="0" fontId="78" fillId="0" borderId="31" xfId="105" applyFont="1" applyBorder="1" applyAlignment="1">
      <alignment horizontal="left" vertical="center" indent="2"/>
    </xf>
    <xf numFmtId="0" fontId="78" fillId="0" borderId="31" xfId="105" applyFont="1" applyBorder="1" applyAlignment="1">
      <alignment horizontal="left" vertical="center" indent="3"/>
    </xf>
    <xf numFmtId="206" fontId="78" fillId="0" borderId="32" xfId="105" applyNumberFormat="1" applyFont="1" applyBorder="1" applyAlignment="1">
      <alignment horizontal="center" vertical="center"/>
    </xf>
    <xf numFmtId="0" fontId="78" fillId="0" borderId="31" xfId="105" applyFont="1" applyBorder="1" applyAlignment="1">
      <alignment horizontal="left" vertical="center"/>
    </xf>
    <xf numFmtId="0" fontId="78" fillId="0" borderId="169" xfId="105" applyFont="1" applyBorder="1" applyAlignment="1">
      <alignment horizontal="left" vertical="center"/>
    </xf>
    <xf numFmtId="0" fontId="78" fillId="0" borderId="131" xfId="105" applyFont="1" applyBorder="1" applyAlignment="1" applyProtection="1">
      <alignment horizontal="left" vertical="center"/>
      <protection locked="0"/>
    </xf>
    <xf numFmtId="207" fontId="78" fillId="0" borderId="170" xfId="196" applyNumberFormat="1" applyFont="1" applyFill="1" applyBorder="1" applyAlignment="1" applyProtection="1">
      <alignment horizontal="right" vertical="center"/>
    </xf>
    <xf numFmtId="194" fontId="78" fillId="0" borderId="131" xfId="105" applyNumberFormat="1" applyFont="1" applyBorder="1" applyAlignment="1">
      <alignment horizontal="center" vertical="center"/>
    </xf>
    <xf numFmtId="207" fontId="78" fillId="0" borderId="140" xfId="196" applyNumberFormat="1" applyFont="1" applyFill="1" applyBorder="1" applyAlignment="1" applyProtection="1">
      <alignment horizontal="right" vertical="center"/>
    </xf>
    <xf numFmtId="0" fontId="78" fillId="0" borderId="171" xfId="105" applyFont="1" applyBorder="1" applyAlignment="1">
      <alignment horizontal="left" vertical="center"/>
    </xf>
    <xf numFmtId="0" fontId="78" fillId="0" borderId="14" xfId="105" applyFont="1" applyBorder="1" applyAlignment="1" applyProtection="1">
      <alignment horizontal="left" vertical="center"/>
      <protection locked="0"/>
    </xf>
    <xf numFmtId="207" fontId="78" fillId="0" borderId="172" xfId="196" applyNumberFormat="1" applyFont="1" applyFill="1" applyBorder="1" applyAlignment="1" applyProtection="1">
      <alignment horizontal="right" vertical="center"/>
    </xf>
    <xf numFmtId="194" fontId="78" fillId="0" borderId="14" xfId="105" applyNumberFormat="1" applyFont="1" applyBorder="1" applyAlignment="1">
      <alignment horizontal="center" vertical="center"/>
    </xf>
    <xf numFmtId="207" fontId="78" fillId="0" borderId="173" xfId="196" applyNumberFormat="1" applyFont="1" applyFill="1" applyBorder="1" applyAlignment="1" applyProtection="1">
      <alignment horizontal="right" vertical="center"/>
    </xf>
    <xf numFmtId="0" fontId="78" fillId="0" borderId="155" xfId="105" applyFont="1" applyBorder="1" applyAlignment="1">
      <alignment horizontal="justify" vertical="center"/>
    </xf>
    <xf numFmtId="0" fontId="78" fillId="0" borderId="24" xfId="105" applyFont="1" applyBorder="1" applyAlignment="1" applyProtection="1">
      <alignment horizontal="left" vertical="center"/>
      <protection locked="0"/>
    </xf>
    <xf numFmtId="207" fontId="78" fillId="0" borderId="26" xfId="196" applyNumberFormat="1" applyFont="1" applyFill="1" applyBorder="1" applyAlignment="1" applyProtection="1">
      <alignment horizontal="right" vertical="center"/>
    </xf>
    <xf numFmtId="194" fontId="78" fillId="0" borderId="24" xfId="105" applyNumberFormat="1" applyFont="1" applyBorder="1" applyAlignment="1">
      <alignment horizontal="center" vertical="center"/>
    </xf>
    <xf numFmtId="207" fontId="78" fillId="0" borderId="25" xfId="196" applyNumberFormat="1" applyFont="1" applyFill="1" applyBorder="1" applyAlignment="1" applyProtection="1">
      <alignment horizontal="right" vertical="center"/>
    </xf>
    <xf numFmtId="0" fontId="78" fillId="0" borderId="0" xfId="105" applyFont="1"/>
    <xf numFmtId="0" fontId="78" fillId="0" borderId="35" xfId="105" applyFont="1" applyBorder="1" applyAlignment="1">
      <alignment horizontal="left" vertical="center"/>
    </xf>
    <xf numFmtId="0" fontId="79" fillId="0" borderId="86" xfId="0" applyFont="1" applyBorder="1"/>
    <xf numFmtId="0" fontId="78" fillId="0" borderId="187" xfId="0" applyFont="1" applyBorder="1"/>
    <xf numFmtId="0" fontId="78" fillId="0" borderId="271" xfId="0" applyFont="1" applyBorder="1"/>
    <xf numFmtId="0" fontId="79" fillId="0" borderId="32" xfId="0" applyFont="1" applyBorder="1"/>
    <xf numFmtId="0" fontId="78" fillId="0" borderId="188" xfId="0" applyFont="1" applyBorder="1"/>
    <xf numFmtId="0" fontId="78" fillId="0" borderId="267" xfId="0" applyFont="1" applyBorder="1"/>
    <xf numFmtId="0" fontId="78" fillId="0" borderId="189" xfId="0" applyFont="1" applyBorder="1"/>
    <xf numFmtId="0" fontId="78" fillId="0" borderId="114" xfId="0" applyFont="1" applyBorder="1"/>
    <xf numFmtId="207" fontId="78" fillId="0" borderId="188" xfId="0" applyNumberFormat="1" applyFont="1" applyBorder="1"/>
    <xf numFmtId="0" fontId="78" fillId="0" borderId="190" xfId="105" applyFont="1" applyBorder="1" applyAlignment="1">
      <alignment horizontal="left" vertical="center"/>
    </xf>
    <xf numFmtId="0" fontId="78" fillId="0" borderId="91" xfId="105" applyFont="1" applyBorder="1" applyAlignment="1" applyProtection="1">
      <alignment horizontal="left" vertical="center"/>
      <protection locked="0"/>
    </xf>
    <xf numFmtId="0" fontId="78" fillId="0" borderId="191" xfId="0" applyFont="1" applyBorder="1"/>
    <xf numFmtId="207" fontId="78" fillId="0" borderId="192" xfId="0" applyNumberFormat="1" applyFont="1" applyBorder="1"/>
    <xf numFmtId="194" fontId="78" fillId="0" borderId="91" xfId="105" applyNumberFormat="1" applyFont="1" applyBorder="1" applyAlignment="1">
      <alignment horizontal="center" vertical="center"/>
    </xf>
    <xf numFmtId="207" fontId="78" fillId="0" borderId="193" xfId="196" applyNumberFormat="1" applyFont="1" applyFill="1" applyBorder="1" applyAlignment="1" applyProtection="1">
      <alignment horizontal="right" vertical="center"/>
    </xf>
    <xf numFmtId="0" fontId="79" fillId="0" borderId="2" xfId="0" applyFont="1" applyBorder="1"/>
    <xf numFmtId="0" fontId="79" fillId="0" borderId="80" xfId="0" applyFont="1" applyBorder="1"/>
    <xf numFmtId="0" fontId="78" fillId="0" borderId="195" xfId="0" applyFont="1" applyBorder="1"/>
    <xf numFmtId="207" fontId="78" fillId="0" borderId="197" xfId="0" applyNumberFormat="1" applyFont="1" applyBorder="1"/>
    <xf numFmtId="207" fontId="78" fillId="0" borderId="196" xfId="196" applyNumberFormat="1" applyFont="1" applyFill="1" applyBorder="1" applyAlignment="1" applyProtection="1">
      <alignment horizontal="right" vertical="center"/>
    </xf>
    <xf numFmtId="0" fontId="79" fillId="0" borderId="163" xfId="0" applyFont="1" applyBorder="1"/>
    <xf numFmtId="0" fontId="79" fillId="0" borderId="166" xfId="0" applyFont="1" applyBorder="1"/>
    <xf numFmtId="0" fontId="78" fillId="0" borderId="194" xfId="0" applyFont="1" applyBorder="1"/>
    <xf numFmtId="0" fontId="78" fillId="0" borderId="198" xfId="0" applyFont="1" applyBorder="1"/>
    <xf numFmtId="0" fontId="68" fillId="0" borderId="0" xfId="61" applyFont="1"/>
    <xf numFmtId="0" fontId="75" fillId="0" borderId="0" xfId="124" applyFont="1" applyAlignment="1">
      <alignment horizontal="right"/>
    </xf>
    <xf numFmtId="0" fontId="75" fillId="0" borderId="26" xfId="124" applyFont="1" applyBorder="1" applyAlignment="1">
      <alignment horizontal="center" vertical="center" wrapText="1"/>
    </xf>
    <xf numFmtId="0" fontId="75" fillId="0" borderId="18" xfId="124" applyFont="1" applyBorder="1" applyAlignment="1">
      <alignment horizontal="center" vertical="center"/>
    </xf>
    <xf numFmtId="0" fontId="75" fillId="0" borderId="27" xfId="139" quotePrefix="1" applyFont="1" applyBorder="1" applyAlignment="1">
      <alignment horizontal="center" vertical="center"/>
    </xf>
    <xf numFmtId="0" fontId="75" fillId="0" borderId="28" xfId="139" quotePrefix="1" applyFont="1" applyBorder="1" applyAlignment="1">
      <alignment horizontal="center" vertical="center"/>
    </xf>
    <xf numFmtId="205" fontId="75" fillId="0" borderId="119" xfId="194" applyNumberFormat="1" applyFont="1" applyFill="1" applyBorder="1" applyAlignment="1" applyProtection="1">
      <alignment horizontal="center" vertical="center"/>
    </xf>
    <xf numFmtId="0" fontId="75" fillId="0" borderId="120" xfId="124" applyFont="1" applyBorder="1">
      <alignment vertical="center"/>
    </xf>
    <xf numFmtId="200" fontId="75" fillId="0" borderId="120" xfId="194" applyNumberFormat="1" applyFont="1" applyFill="1" applyBorder="1" applyAlignment="1" applyProtection="1">
      <alignment horizontal="left" vertical="center"/>
      <protection locked="0"/>
    </xf>
    <xf numFmtId="203" fontId="75" fillId="16" borderId="120" xfId="194" applyNumberFormat="1" applyFont="1" applyFill="1" applyBorder="1" applyAlignment="1" applyProtection="1">
      <alignment horizontal="right" vertical="center"/>
    </xf>
    <xf numFmtId="183" fontId="75" fillId="0" borderId="121" xfId="194" applyNumberFormat="1" applyFont="1" applyFill="1" applyBorder="1" applyAlignment="1" applyProtection="1">
      <alignment horizontal="center" vertical="center"/>
    </xf>
    <xf numFmtId="205" fontId="75" fillId="0" borderId="122" xfId="194" applyNumberFormat="1" applyFont="1" applyFill="1" applyBorder="1" applyAlignment="1" applyProtection="1">
      <alignment horizontal="center" vertical="center"/>
    </xf>
    <xf numFmtId="0" fontId="75" fillId="0" borderId="96" xfId="124" applyFont="1" applyBorder="1">
      <alignment vertical="center"/>
    </xf>
    <xf numFmtId="200" fontId="75" fillId="0" borderId="96" xfId="194" applyNumberFormat="1" applyFont="1" applyFill="1" applyBorder="1" applyAlignment="1" applyProtection="1">
      <alignment vertical="center"/>
      <protection locked="0"/>
    </xf>
    <xf numFmtId="203" fontId="75" fillId="16" borderId="96" xfId="194" applyNumberFormat="1" applyFont="1" applyFill="1" applyBorder="1" applyAlignment="1" applyProtection="1">
      <alignment horizontal="right" vertical="center"/>
    </xf>
    <xf numFmtId="200" fontId="75" fillId="0" borderId="123" xfId="194" applyNumberFormat="1" applyFont="1" applyFill="1" applyBorder="1" applyAlignment="1" applyProtection="1">
      <alignment vertical="center"/>
      <protection locked="0"/>
    </xf>
    <xf numFmtId="191" fontId="75" fillId="16" borderId="96" xfId="124" applyNumberFormat="1" applyFont="1" applyFill="1" applyBorder="1">
      <alignment vertical="center"/>
    </xf>
    <xf numFmtId="205" fontId="75" fillId="26" borderId="124" xfId="194" applyNumberFormat="1" applyFont="1" applyFill="1" applyBorder="1" applyAlignment="1" applyProtection="1">
      <alignment horizontal="center" vertical="center"/>
    </xf>
    <xf numFmtId="183" fontId="75" fillId="26" borderId="125" xfId="180" applyNumberFormat="1" applyFont="1" applyFill="1" applyBorder="1" applyAlignment="1" applyProtection="1">
      <alignment horizontal="left" vertical="center"/>
    </xf>
    <xf numFmtId="177" fontId="75" fillId="26" borderId="125" xfId="180" applyFont="1" applyFill="1" applyBorder="1" applyAlignment="1" applyProtection="1">
      <alignment vertical="center"/>
      <protection locked="0"/>
    </xf>
    <xf numFmtId="191" fontId="75" fillId="26" borderId="125" xfId="124" applyNumberFormat="1" applyFont="1" applyFill="1" applyBorder="1">
      <alignment vertical="center"/>
    </xf>
    <xf numFmtId="177" fontId="75" fillId="26" borderId="126" xfId="180" applyFont="1" applyFill="1" applyBorder="1" applyAlignment="1" applyProtection="1">
      <alignment vertical="center"/>
      <protection locked="0"/>
    </xf>
    <xf numFmtId="0" fontId="75" fillId="0" borderId="0" xfId="61" applyFont="1"/>
    <xf numFmtId="0" fontId="75" fillId="0" borderId="0" xfId="61" applyFont="1" applyAlignment="1">
      <alignment horizontal="center"/>
    </xf>
    <xf numFmtId="0" fontId="75" fillId="0" borderId="18" xfId="61" applyFont="1" applyBorder="1" applyAlignment="1">
      <alignment horizontal="center" vertical="center" wrapText="1"/>
    </xf>
    <xf numFmtId="0" fontId="75" fillId="0" borderId="18" xfId="61" applyFont="1" applyBorder="1" applyAlignment="1">
      <alignment vertical="center" wrapText="1"/>
    </xf>
    <xf numFmtId="203" fontId="75" fillId="16" borderId="18" xfId="61" applyNumberFormat="1" applyFont="1" applyFill="1" applyBorder="1" applyAlignment="1">
      <alignment horizontal="center" vertical="center" wrapText="1"/>
    </xf>
    <xf numFmtId="191" fontId="75" fillId="16" borderId="18" xfId="61" applyNumberFormat="1" applyFont="1" applyFill="1" applyBorder="1" applyAlignment="1">
      <alignment horizontal="center" vertical="center" wrapText="1"/>
    </xf>
    <xf numFmtId="0" fontId="74" fillId="0" borderId="0" xfId="124" applyFont="1" applyAlignment="1">
      <alignment horizontal="left" vertical="center"/>
    </xf>
    <xf numFmtId="183" fontId="74" fillId="0" borderId="0" xfId="194" applyNumberFormat="1" applyFont="1" applyFill="1" applyBorder="1" applyAlignment="1" applyProtection="1">
      <alignment horizontal="center" vertical="center" wrapText="1"/>
    </xf>
    <xf numFmtId="200" fontId="74" fillId="0" borderId="0" xfId="194" applyNumberFormat="1" applyFont="1" applyFill="1" applyBorder="1" applyAlignment="1" applyProtection="1">
      <alignment horizontal="center" vertical="center" wrapText="1"/>
    </xf>
    <xf numFmtId="0" fontId="82" fillId="0" borderId="24" xfId="124" applyFont="1" applyBorder="1" applyAlignment="1">
      <alignment horizontal="center" vertical="center" wrapText="1"/>
    </xf>
    <xf numFmtId="0" fontId="82" fillId="0" borderId="18" xfId="124" applyFont="1" applyBorder="1" applyAlignment="1">
      <alignment horizontal="center" vertical="center" wrapText="1"/>
    </xf>
    <xf numFmtId="49" fontId="82" fillId="0" borderId="18" xfId="194" applyNumberFormat="1" applyFont="1" applyFill="1" applyBorder="1" applyAlignment="1" applyProtection="1">
      <alignment horizontal="center" vertical="center" wrapText="1"/>
    </xf>
    <xf numFmtId="49" fontId="82" fillId="0" borderId="56" xfId="194" applyNumberFormat="1" applyFont="1" applyFill="1" applyBorder="1" applyAlignment="1" applyProtection="1">
      <alignment horizontal="center" vertical="center" wrapText="1"/>
    </xf>
    <xf numFmtId="0" fontId="82" fillId="0" borderId="27" xfId="139" quotePrefix="1" applyFont="1" applyBorder="1" applyAlignment="1">
      <alignment horizontal="center" vertical="center" wrapText="1"/>
    </xf>
    <xf numFmtId="0" fontId="82" fillId="0" borderId="28" xfId="139" quotePrefix="1" applyFont="1" applyBorder="1" applyAlignment="1">
      <alignment horizontal="center" vertical="center" wrapText="1"/>
    </xf>
    <xf numFmtId="205" fontId="74" fillId="0" borderId="66" xfId="194" applyNumberFormat="1" applyFont="1" applyFill="1" applyBorder="1" applyAlignment="1" applyProtection="1">
      <alignment horizontal="center" vertical="center" wrapText="1"/>
    </xf>
    <xf numFmtId="0" fontId="74" fillId="0" borderId="76" xfId="124" applyFont="1" applyBorder="1" applyAlignment="1">
      <alignment vertical="center" wrapText="1"/>
    </xf>
    <xf numFmtId="183" fontId="74" fillId="0" borderId="76" xfId="180" applyNumberFormat="1" applyFont="1" applyFill="1" applyBorder="1" applyAlignment="1" applyProtection="1">
      <alignment horizontal="left" vertical="center" wrapText="1"/>
      <protection locked="0"/>
    </xf>
    <xf numFmtId="200" fontId="74" fillId="0" borderId="76" xfId="180" applyNumberFormat="1" applyFont="1" applyFill="1" applyBorder="1" applyAlignment="1" applyProtection="1">
      <alignment horizontal="right" vertical="center" wrapText="1"/>
    </xf>
    <xf numFmtId="183" fontId="74" fillId="0" borderId="76" xfId="180" applyNumberFormat="1" applyFont="1" applyFill="1" applyBorder="1" applyAlignment="1" applyProtection="1">
      <alignment horizontal="center" vertical="center" wrapText="1"/>
    </xf>
    <xf numFmtId="183" fontId="74" fillId="0" borderId="113" xfId="180" applyNumberFormat="1" applyFont="1" applyFill="1" applyBorder="1" applyAlignment="1" applyProtection="1">
      <alignment horizontal="center" vertical="center" wrapText="1"/>
    </xf>
    <xf numFmtId="205" fontId="74" fillId="0" borderId="57" xfId="194" applyNumberFormat="1" applyFont="1" applyFill="1" applyBorder="1" applyAlignment="1" applyProtection="1">
      <alignment horizontal="center" vertical="center" wrapText="1"/>
    </xf>
    <xf numFmtId="0" fontId="74" fillId="0" borderId="32" xfId="124" applyFont="1" applyBorder="1" applyAlignment="1">
      <alignment vertical="center" wrapText="1"/>
    </xf>
    <xf numFmtId="183" fontId="74" fillId="0" borderId="32" xfId="180" applyNumberFormat="1" applyFont="1" applyFill="1" applyBorder="1" applyAlignment="1" applyProtection="1">
      <alignment vertical="center" wrapText="1"/>
      <protection locked="0"/>
    </xf>
    <xf numFmtId="200" fontId="74" fillId="0" borderId="32" xfId="180" applyNumberFormat="1" applyFont="1" applyFill="1" applyBorder="1" applyAlignment="1" applyProtection="1">
      <alignment horizontal="right" vertical="center" wrapText="1"/>
    </xf>
    <xf numFmtId="183" fontId="74" fillId="0" borderId="111" xfId="180" applyNumberFormat="1" applyFont="1" applyFill="1" applyBorder="1" applyAlignment="1" applyProtection="1">
      <alignment horizontal="center" vertical="center" wrapText="1"/>
    </xf>
    <xf numFmtId="200" fontId="74" fillId="0" borderId="32" xfId="180" applyNumberFormat="1" applyFont="1" applyFill="1" applyBorder="1" applyAlignment="1">
      <alignment vertical="center" wrapText="1"/>
    </xf>
    <xf numFmtId="0" fontId="74" fillId="0" borderId="181" xfId="124" applyFont="1" applyBorder="1" applyAlignment="1">
      <alignment vertical="center" wrapText="1"/>
    </xf>
    <xf numFmtId="183" fontId="74" fillId="0" borderId="181" xfId="180" applyNumberFormat="1" applyFont="1" applyFill="1" applyBorder="1" applyAlignment="1" applyProtection="1">
      <alignment vertical="center" wrapText="1"/>
      <protection locked="0"/>
    </xf>
    <xf numFmtId="200" fontId="74" fillId="0" borderId="181" xfId="180" applyNumberFormat="1" applyFont="1" applyFill="1" applyBorder="1" applyAlignment="1">
      <alignment vertical="center" wrapText="1"/>
    </xf>
    <xf numFmtId="183" fontId="74" fillId="0" borderId="181" xfId="180" applyNumberFormat="1" applyFont="1" applyFill="1" applyBorder="1" applyAlignment="1" applyProtection="1">
      <alignment horizontal="center" vertical="center" wrapText="1"/>
    </xf>
    <xf numFmtId="183" fontId="74" fillId="0" borderId="174" xfId="180" applyNumberFormat="1" applyFont="1" applyFill="1" applyBorder="1" applyAlignment="1" applyProtection="1">
      <alignment horizontal="center" vertical="center" wrapText="1"/>
    </xf>
    <xf numFmtId="205" fontId="74" fillId="26" borderId="57" xfId="194" applyNumberFormat="1" applyFont="1" applyFill="1" applyBorder="1" applyAlignment="1" applyProtection="1">
      <alignment horizontal="center" vertical="center" wrapText="1"/>
    </xf>
    <xf numFmtId="183" fontId="74" fillId="26" borderId="18" xfId="180" applyNumberFormat="1" applyFont="1" applyFill="1" applyBorder="1" applyAlignment="1" applyProtection="1">
      <alignment vertical="center" wrapText="1"/>
      <protection locked="0"/>
    </xf>
    <xf numFmtId="200" fontId="74" fillId="26" borderId="18" xfId="180" applyNumberFormat="1" applyFont="1" applyFill="1" applyBorder="1" applyAlignment="1">
      <alignment vertical="center" wrapText="1"/>
    </xf>
    <xf numFmtId="183" fontId="74" fillId="26" borderId="56" xfId="180" applyNumberFormat="1" applyFont="1" applyFill="1" applyBorder="1" applyAlignment="1" applyProtection="1">
      <alignment vertical="center" wrapText="1"/>
      <protection locked="0"/>
    </xf>
    <xf numFmtId="204" fontId="74" fillId="0" borderId="57" xfId="107" applyNumberFormat="1" applyFont="1" applyBorder="1" applyAlignment="1">
      <alignment horizontal="center" vertical="center" wrapText="1"/>
    </xf>
    <xf numFmtId="183" fontId="74" fillId="0" borderId="76" xfId="180" applyNumberFormat="1" applyFont="1" applyFill="1" applyBorder="1" applyAlignment="1" applyProtection="1">
      <alignment vertical="center" wrapText="1"/>
      <protection locked="0"/>
    </xf>
    <xf numFmtId="183" fontId="74" fillId="26" borderId="18" xfId="180" applyNumberFormat="1" applyFont="1" applyFill="1" applyBorder="1" applyAlignment="1">
      <alignment vertical="center" wrapText="1"/>
    </xf>
    <xf numFmtId="200" fontId="74" fillId="26" borderId="18" xfId="180" applyNumberFormat="1" applyFont="1" applyFill="1" applyBorder="1" applyAlignment="1" applyProtection="1">
      <alignment horizontal="center" vertical="center" wrapText="1"/>
    </xf>
    <xf numFmtId="183" fontId="74" fillId="26" borderId="56" xfId="180" applyNumberFormat="1" applyFont="1" applyFill="1" applyBorder="1" applyAlignment="1" applyProtection="1">
      <alignment vertical="center" wrapText="1"/>
    </xf>
    <xf numFmtId="204" fontId="74" fillId="0" borderId="58" xfId="107" applyNumberFormat="1" applyFont="1" applyBorder="1" applyAlignment="1">
      <alignment horizontal="center" vertical="center" wrapText="1"/>
    </xf>
    <xf numFmtId="183" fontId="74" fillId="0" borderId="27" xfId="180" applyNumberFormat="1" applyFont="1" applyBorder="1" applyAlignment="1">
      <alignment wrapText="1"/>
    </xf>
    <xf numFmtId="183" fontId="74" fillId="0" borderId="3" xfId="180" applyNumberFormat="1" applyFont="1" applyBorder="1" applyAlignment="1">
      <alignment wrapText="1"/>
    </xf>
    <xf numFmtId="183" fontId="74" fillId="0" borderId="71" xfId="180" applyNumberFormat="1" applyFont="1" applyBorder="1" applyAlignment="1">
      <alignment wrapText="1"/>
    </xf>
    <xf numFmtId="49" fontId="74" fillId="0" borderId="0" xfId="180" applyNumberFormat="1" applyFont="1" applyFill="1" applyBorder="1" applyAlignment="1" applyProtection="1">
      <alignment horizontal="center" vertical="center"/>
    </xf>
    <xf numFmtId="0" fontId="74" fillId="0" borderId="0" xfId="93" applyFont="1" applyAlignment="1">
      <alignment vertical="center"/>
    </xf>
    <xf numFmtId="0" fontId="68" fillId="0" borderId="0" xfId="96" applyFont="1" applyAlignment="1">
      <alignment horizontal="center" vertical="center" wrapText="1"/>
    </xf>
    <xf numFmtId="0" fontId="74" fillId="0" borderId="0" xfId="96" applyFont="1" applyAlignment="1">
      <alignment horizontal="center" vertical="center" wrapText="1"/>
    </xf>
    <xf numFmtId="0" fontId="74" fillId="0" borderId="0" xfId="0" applyFont="1" applyAlignment="1">
      <alignment horizontal="left" wrapText="1"/>
    </xf>
    <xf numFmtId="0" fontId="68" fillId="0" borderId="0" xfId="93" applyFont="1" applyAlignment="1">
      <alignment vertical="center"/>
    </xf>
    <xf numFmtId="183" fontId="74" fillId="0" borderId="0" xfId="194" applyNumberFormat="1" applyFont="1" applyAlignment="1" applyProtection="1">
      <alignment vertical="center" wrapText="1"/>
    </xf>
    <xf numFmtId="0" fontId="74" fillId="0" borderId="0" xfId="93" quotePrefix="1" applyFont="1" applyAlignment="1">
      <alignment horizontal="left" vertical="center" indent="2"/>
    </xf>
    <xf numFmtId="0" fontId="74" fillId="0" borderId="0" xfId="96" applyFont="1" applyAlignment="1">
      <alignment wrapText="1"/>
    </xf>
    <xf numFmtId="49" fontId="74" fillId="0" borderId="0" xfId="93" applyNumberFormat="1" applyFont="1" applyAlignment="1">
      <alignment horizontal="left" vertical="center" indent="2"/>
    </xf>
    <xf numFmtId="0" fontId="74" fillId="0" borderId="0" xfId="96" applyFont="1" applyAlignment="1">
      <alignment horizontal="right" vertical="center" wrapText="1"/>
    </xf>
    <xf numFmtId="0" fontId="82" fillId="0" borderId="65" xfId="96" applyFont="1" applyBorder="1" applyAlignment="1">
      <alignment horizontal="center" vertical="center" wrapText="1"/>
    </xf>
    <xf numFmtId="0" fontId="82" fillId="0" borderId="248" xfId="96" applyFont="1" applyBorder="1" applyAlignment="1">
      <alignment horizontal="center" vertical="center" wrapText="1"/>
    </xf>
    <xf numFmtId="0" fontId="82" fillId="0" borderId="25" xfId="96" applyFont="1" applyBorder="1" applyAlignment="1">
      <alignment horizontal="center" vertical="center" wrapText="1"/>
    </xf>
    <xf numFmtId="0" fontId="85" fillId="0" borderId="65" xfId="93" applyFont="1" applyBorder="1" applyAlignment="1">
      <alignment horizontal="center" vertical="center" wrapText="1"/>
    </xf>
    <xf numFmtId="183" fontId="85" fillId="0" borderId="24" xfId="194" applyNumberFormat="1" applyFont="1" applyBorder="1" applyAlignment="1" applyProtection="1">
      <alignment horizontal="center" vertical="center" wrapText="1"/>
    </xf>
    <xf numFmtId="183" fontId="85" fillId="0" borderId="26" xfId="194" applyNumberFormat="1" applyFont="1" applyBorder="1" applyAlignment="1" applyProtection="1">
      <alignment horizontal="center" vertical="center" wrapText="1"/>
    </xf>
    <xf numFmtId="183" fontId="85" fillId="0" borderId="55" xfId="194" applyNumberFormat="1" applyFont="1" applyBorder="1" applyAlignment="1" applyProtection="1">
      <alignment horizontal="center" vertical="center" wrapText="1"/>
    </xf>
    <xf numFmtId="0" fontId="74" fillId="0" borderId="136" xfId="96" applyFont="1" applyBorder="1" applyAlignment="1">
      <alignment vertical="center" wrapText="1"/>
    </xf>
    <xf numFmtId="178" fontId="74" fillId="0" borderId="187" xfId="166" applyNumberFormat="1" applyFont="1" applyBorder="1" applyAlignment="1" applyProtection="1">
      <alignment horizontal="center" vertical="center" wrapText="1"/>
    </xf>
    <xf numFmtId="10" fontId="74" fillId="0" borderId="96" xfId="209" applyNumberFormat="1" applyFont="1" applyBorder="1" applyAlignment="1" applyProtection="1">
      <alignment horizontal="center" vertical="center" wrapText="1"/>
    </xf>
    <xf numFmtId="10" fontId="74" fillId="0" borderId="241" xfId="209" applyNumberFormat="1" applyFont="1" applyBorder="1" applyAlignment="1" applyProtection="1">
      <alignment horizontal="center" vertical="center" wrapText="1"/>
    </xf>
    <xf numFmtId="0" fontId="68" fillId="0" borderId="252" xfId="93" applyFont="1" applyBorder="1" applyAlignment="1">
      <alignment vertical="center" wrapText="1"/>
    </xf>
    <xf numFmtId="183" fontId="74" fillId="0" borderId="76" xfId="180" applyNumberFormat="1" applyFont="1" applyBorder="1" applyAlignment="1" applyProtection="1">
      <alignment horizontal="center" vertical="center" wrapText="1"/>
    </xf>
    <xf numFmtId="183" fontId="74" fillId="0" borderId="238" xfId="180" applyNumberFormat="1" applyFont="1" applyBorder="1" applyAlignment="1" applyProtection="1">
      <alignment horizontal="center" vertical="center" wrapText="1"/>
    </xf>
    <xf numFmtId="0" fontId="74" fillId="0" borderId="138" xfId="96" applyFont="1" applyBorder="1" applyAlignment="1">
      <alignment horizontal="left" vertical="center" wrapText="1" indent="2"/>
    </xf>
    <xf numFmtId="178" fontId="74" fillId="0" borderId="249" xfId="166" applyNumberFormat="1" applyFont="1" applyBorder="1" applyAlignment="1" applyProtection="1">
      <alignment horizontal="center" vertical="center" wrapText="1"/>
    </xf>
    <xf numFmtId="10" fontId="74" fillId="0" borderId="123" xfId="209" applyNumberFormat="1" applyFont="1" applyBorder="1" applyAlignment="1" applyProtection="1">
      <alignment horizontal="center" vertical="center" wrapText="1"/>
    </xf>
    <xf numFmtId="0" fontId="68" fillId="0" borderId="255" xfId="93" applyFont="1" applyBorder="1" applyAlignment="1">
      <alignment horizontal="left" vertical="center"/>
    </xf>
    <xf numFmtId="183" fontId="107" fillId="0" borderId="262" xfId="180" applyNumberFormat="1" applyFont="1" applyBorder="1" applyAlignment="1" applyProtection="1">
      <alignment horizontal="center" vertical="center" wrapText="1"/>
    </xf>
    <xf numFmtId="183" fontId="74" fillId="0" borderId="264" xfId="180" applyNumberFormat="1" applyFont="1" applyBorder="1" applyAlignment="1" applyProtection="1">
      <alignment horizontal="center" vertical="center" wrapText="1"/>
    </xf>
    <xf numFmtId="183" fontId="74" fillId="0" borderId="263" xfId="180" applyNumberFormat="1" applyFont="1" applyFill="1" applyBorder="1" applyAlignment="1" applyProtection="1">
      <alignment horizontal="center" vertical="center" wrapText="1"/>
    </xf>
    <xf numFmtId="10" fontId="74" fillId="0" borderId="250" xfId="209" applyNumberFormat="1" applyFont="1" applyBorder="1" applyAlignment="1" applyProtection="1">
      <alignment horizontal="center" vertical="center" wrapText="1"/>
    </xf>
    <xf numFmtId="0" fontId="85" fillId="0" borderId="33" xfId="93" applyFont="1" applyBorder="1" applyAlignment="1">
      <alignment vertical="center" wrapText="1"/>
    </xf>
    <xf numFmtId="10" fontId="82" fillId="36" borderId="34" xfId="213" applyNumberFormat="1" applyFont="1" applyFill="1" applyBorder="1" applyAlignment="1" applyProtection="1">
      <alignment horizontal="center" vertical="center" wrapText="1"/>
    </xf>
    <xf numFmtId="10" fontId="82" fillId="36" borderId="223" xfId="213" applyNumberFormat="1" applyFont="1" applyFill="1" applyBorder="1" applyAlignment="1" applyProtection="1">
      <alignment horizontal="center" vertical="center" wrapText="1"/>
    </xf>
    <xf numFmtId="10" fontId="82" fillId="0" borderId="159" xfId="213" applyNumberFormat="1" applyFont="1" applyFill="1" applyBorder="1" applyAlignment="1" applyProtection="1">
      <alignment horizontal="center" vertical="center" wrapText="1"/>
    </xf>
    <xf numFmtId="0" fontId="74" fillId="0" borderId="138" xfId="96" applyFont="1" applyBorder="1" applyAlignment="1">
      <alignment vertical="center" wrapText="1"/>
    </xf>
    <xf numFmtId="178" fontId="74" fillId="0" borderId="188" xfId="166" applyNumberFormat="1" applyFont="1" applyBorder="1" applyAlignment="1" applyProtection="1">
      <alignment horizontal="center" vertical="center" wrapText="1"/>
    </xf>
    <xf numFmtId="0" fontId="74" fillId="0" borderId="138" xfId="96" applyFont="1" applyBorder="1" applyAlignment="1">
      <alignment horizontal="left" vertical="center" wrapText="1"/>
    </xf>
    <xf numFmtId="0" fontId="74" fillId="0" borderId="252" xfId="96" applyFont="1" applyBorder="1" applyAlignment="1">
      <alignment vertical="center" wrapText="1"/>
    </xf>
    <xf numFmtId="178" fontId="74" fillId="0" borderId="265" xfId="166" applyNumberFormat="1" applyFont="1" applyFill="1" applyBorder="1" applyAlignment="1" applyProtection="1">
      <alignment horizontal="center" vertical="center" wrapText="1"/>
    </xf>
    <xf numFmtId="0" fontId="74" fillId="0" borderId="190" xfId="96" applyFont="1" applyBorder="1" applyAlignment="1">
      <alignment vertical="center" wrapText="1"/>
    </xf>
    <xf numFmtId="10" fontId="74" fillId="0" borderId="100" xfId="209" applyNumberFormat="1" applyFont="1" applyBorder="1" applyAlignment="1" applyProtection="1">
      <alignment horizontal="center" vertical="center" wrapText="1"/>
    </xf>
    <xf numFmtId="10" fontId="74" fillId="0" borderId="251" xfId="209" applyNumberFormat="1" applyFont="1" applyBorder="1" applyAlignment="1" applyProtection="1">
      <alignment horizontal="center" vertical="center" wrapText="1"/>
    </xf>
    <xf numFmtId="10" fontId="74" fillId="0" borderId="180" xfId="209" applyNumberFormat="1" applyFont="1" applyFill="1" applyBorder="1" applyAlignment="1" applyProtection="1">
      <alignment horizontal="center" vertical="center" wrapText="1"/>
    </xf>
    <xf numFmtId="10" fontId="74" fillId="25" borderId="253" xfId="209" applyNumberFormat="1" applyFont="1" applyFill="1" applyBorder="1" applyAlignment="1" applyProtection="1">
      <alignment horizontal="center" vertical="center" wrapText="1"/>
    </xf>
    <xf numFmtId="10" fontId="74" fillId="25" borderId="100" xfId="209" applyNumberFormat="1" applyFont="1" applyFill="1" applyBorder="1" applyAlignment="1" applyProtection="1">
      <alignment vertical="center" wrapText="1"/>
    </xf>
    <xf numFmtId="10" fontId="74" fillId="25" borderId="254" xfId="209" applyNumberFormat="1" applyFont="1" applyFill="1" applyBorder="1" applyAlignment="1" applyProtection="1">
      <alignment vertical="center" wrapText="1"/>
    </xf>
    <xf numFmtId="0" fontId="74" fillId="0" borderId="255" xfId="96" applyFont="1" applyBorder="1" applyAlignment="1">
      <alignment horizontal="left" vertical="center" wrapText="1"/>
    </xf>
    <xf numFmtId="178" fontId="74" fillId="0" borderId="195" xfId="166" applyNumberFormat="1" applyFont="1" applyBorder="1" applyAlignment="1" applyProtection="1">
      <alignment horizontal="center" vertical="center" wrapText="1"/>
    </xf>
    <xf numFmtId="10" fontId="74" fillId="25" borderId="256" xfId="209" applyNumberFormat="1" applyFont="1" applyFill="1" applyBorder="1" applyAlignment="1" applyProtection="1">
      <alignment vertical="center" wrapText="1"/>
    </xf>
    <xf numFmtId="10" fontId="74" fillId="25" borderId="257" xfId="209" applyNumberFormat="1" applyFont="1" applyFill="1" applyBorder="1" applyAlignment="1" applyProtection="1">
      <alignment vertical="center" wrapText="1"/>
    </xf>
    <xf numFmtId="0" fontId="85" fillId="0" borderId="33" xfId="96" applyFont="1" applyBorder="1" applyAlignment="1">
      <alignment vertical="center" wrapText="1"/>
    </xf>
    <xf numFmtId="178" fontId="82" fillId="33" borderId="194" xfId="166" applyNumberFormat="1" applyFont="1" applyFill="1" applyBorder="1" applyAlignment="1" applyProtection="1">
      <alignment horizontal="center" vertical="center" wrapText="1"/>
    </xf>
    <xf numFmtId="10" fontId="82" fillId="25" borderId="242" xfId="209" applyNumberFormat="1" applyFont="1" applyFill="1" applyBorder="1" applyAlignment="1" applyProtection="1">
      <alignment vertical="center" wrapText="1"/>
    </xf>
    <xf numFmtId="10" fontId="82" fillId="25" borderId="71" xfId="209" applyNumberFormat="1" applyFont="1" applyFill="1" applyBorder="1" applyAlignment="1" applyProtection="1">
      <alignment vertical="center" wrapText="1"/>
    </xf>
    <xf numFmtId="0" fontId="108" fillId="0" borderId="0" xfId="144" applyFont="1"/>
    <xf numFmtId="0" fontId="75" fillId="0" borderId="0" xfId="144" quotePrefix="1" applyFont="1" applyAlignment="1">
      <alignment horizontal="left"/>
    </xf>
    <xf numFmtId="0" fontId="75" fillId="0" borderId="16" xfId="144" applyFont="1" applyBorder="1" applyAlignment="1">
      <alignment horizontal="distributed" vertical="center"/>
    </xf>
    <xf numFmtId="0" fontId="75" fillId="0" borderId="0" xfId="144" applyFont="1" applyAlignment="1">
      <alignment horizontal="distributed" vertical="center"/>
    </xf>
    <xf numFmtId="0" fontId="75" fillId="0" borderId="15" xfId="144" quotePrefix="1" applyFont="1" applyBorder="1" applyAlignment="1">
      <alignment horizontal="center" vertical="center"/>
    </xf>
    <xf numFmtId="0" fontId="75" fillId="0" borderId="18" xfId="162" applyFont="1" applyBorder="1" applyAlignment="1">
      <alignment horizontal="center"/>
    </xf>
    <xf numFmtId="182" fontId="75" fillId="0" borderId="18" xfId="141" applyNumberFormat="1" applyFont="1" applyBorder="1" applyAlignment="1" applyProtection="1">
      <alignment horizontal="right" vertical="center" wrapText="1"/>
      <protection locked="0"/>
    </xf>
    <xf numFmtId="49" fontId="75" fillId="0" borderId="18" xfId="141" applyNumberFormat="1" applyFont="1" applyBorder="1" applyAlignment="1" applyProtection="1">
      <alignment horizontal="center" vertical="center" wrapText="1"/>
      <protection locked="0"/>
    </xf>
    <xf numFmtId="0" fontId="75" fillId="0" borderId="0" xfId="141" applyFont="1" applyAlignment="1">
      <alignment horizontal="left"/>
    </xf>
    <xf numFmtId="0" fontId="75" fillId="0" borderId="0" xfId="123" applyFont="1" applyAlignment="1">
      <alignment horizontal="right"/>
    </xf>
    <xf numFmtId="0" fontId="75" fillId="0" borderId="20" xfId="158" applyFont="1" applyBorder="1" applyAlignment="1">
      <alignment horizontal="center"/>
    </xf>
    <xf numFmtId="0" fontId="75" fillId="0" borderId="20" xfId="158" applyFont="1" applyBorder="1" applyAlignment="1">
      <alignment horizontal="center" vertical="center"/>
    </xf>
    <xf numFmtId="0" fontId="75" fillId="0" borderId="14" xfId="158" applyFont="1" applyBorder="1" applyAlignment="1">
      <alignment horizontal="distributed" vertical="center"/>
    </xf>
    <xf numFmtId="0" fontId="75" fillId="0" borderId="0" xfId="158" applyFont="1" applyAlignment="1">
      <alignment horizontal="distributed" vertical="center"/>
    </xf>
    <xf numFmtId="0" fontId="75" fillId="0" borderId="17" xfId="158" applyFont="1" applyBorder="1" applyAlignment="1">
      <alignment horizontal="distributed" vertical="center" wrapText="1"/>
    </xf>
    <xf numFmtId="0" fontId="75" fillId="0" borderId="16" xfId="158" applyFont="1" applyBorder="1" applyAlignment="1">
      <alignment horizontal="distributed" vertical="center" wrapText="1"/>
    </xf>
    <xf numFmtId="0" fontId="75" fillId="0" borderId="16" xfId="158" applyFont="1" applyBorder="1" applyAlignment="1">
      <alignment horizontal="distributed" vertical="center"/>
    </xf>
    <xf numFmtId="0" fontId="75" fillId="0" borderId="1" xfId="158" applyFont="1" applyBorder="1" applyAlignment="1">
      <alignment horizontal="distributed" vertical="center"/>
    </xf>
    <xf numFmtId="0" fontId="75" fillId="0" borderId="0" xfId="158" applyFont="1" applyAlignment="1">
      <alignment horizontal="distributed" vertical="center" wrapText="1"/>
    </xf>
    <xf numFmtId="0" fontId="75" fillId="0" borderId="4" xfId="158" applyFont="1" applyBorder="1" applyAlignment="1">
      <alignment horizontal="distributed" vertical="center" wrapText="1"/>
    </xf>
    <xf numFmtId="0" fontId="75" fillId="0" borderId="4" xfId="158" applyFont="1" applyBorder="1" applyAlignment="1">
      <alignment horizontal="distributed" vertical="center"/>
    </xf>
    <xf numFmtId="0" fontId="75" fillId="0" borderId="14" xfId="158" applyFont="1" applyBorder="1" applyAlignment="1">
      <alignment horizontal="center" vertical="center" wrapText="1"/>
    </xf>
    <xf numFmtId="0" fontId="75" fillId="0" borderId="60" xfId="158" applyFont="1" applyBorder="1" applyAlignment="1">
      <alignment horizontal="distributed" vertical="center" wrapText="1"/>
    </xf>
    <xf numFmtId="0" fontId="75" fillId="0" borderId="15" xfId="158" quotePrefix="1" applyFont="1" applyBorder="1" applyAlignment="1">
      <alignment horizontal="center" vertical="center" wrapText="1"/>
    </xf>
    <xf numFmtId="0" fontId="75" fillId="0" borderId="22" xfId="158" quotePrefix="1" applyFont="1" applyBorder="1" applyAlignment="1">
      <alignment horizontal="center" vertical="center" wrapText="1"/>
    </xf>
    <xf numFmtId="0" fontId="75" fillId="0" borderId="23" xfId="158" quotePrefix="1" applyFont="1" applyBorder="1" applyAlignment="1">
      <alignment horizontal="center" vertical="center" wrapText="1"/>
    </xf>
    <xf numFmtId="0" fontId="75" fillId="0" borderId="19" xfId="158" quotePrefix="1" applyFont="1" applyBorder="1" applyAlignment="1">
      <alignment horizontal="center" vertical="center" wrapText="1"/>
    </xf>
    <xf numFmtId="0" fontId="75" fillId="0" borderId="15" xfId="158" applyFont="1" applyBorder="1" applyAlignment="1">
      <alignment horizontal="center" vertical="center" wrapText="1"/>
    </xf>
    <xf numFmtId="0" fontId="75" fillId="0" borderId="18" xfId="134" applyFont="1" applyBorder="1" applyAlignment="1">
      <alignment horizontal="center" vertical="center" wrapText="1"/>
    </xf>
    <xf numFmtId="0" fontId="75" fillId="0" borderId="18" xfId="138" applyFont="1" applyBorder="1" applyAlignment="1">
      <alignment horizontal="left" vertical="center"/>
    </xf>
    <xf numFmtId="179" fontId="109" fillId="0" borderId="18" xfId="192" applyNumberFormat="1" applyFont="1" applyFill="1" applyBorder="1" applyAlignment="1">
      <alignment horizontal="right" vertical="center"/>
    </xf>
    <xf numFmtId="186" fontId="109" fillId="0" borderId="15" xfId="158" quotePrefix="1" applyNumberFormat="1" applyFont="1" applyBorder="1" applyAlignment="1">
      <alignment horizontal="right" vertical="center"/>
    </xf>
    <xf numFmtId="10" fontId="109" fillId="0" borderId="18" xfId="110" quotePrefix="1" applyNumberFormat="1" applyFont="1" applyBorder="1" applyAlignment="1">
      <alignment horizontal="right" vertical="center"/>
    </xf>
    <xf numFmtId="10" fontId="109" fillId="0" borderId="15" xfId="158" quotePrefix="1" applyNumberFormat="1" applyFont="1" applyBorder="1" applyAlignment="1">
      <alignment horizontal="right" vertical="center"/>
    </xf>
    <xf numFmtId="179" fontId="109" fillId="0" borderId="18" xfId="110" quotePrefix="1" applyNumberFormat="1" applyFont="1" applyBorder="1" applyAlignment="1">
      <alignment horizontal="center" vertical="center"/>
    </xf>
    <xf numFmtId="179" fontId="109" fillId="0" borderId="18" xfId="110" applyNumberFormat="1" applyFont="1" applyBorder="1" applyAlignment="1">
      <alignment horizontal="center" vertical="center"/>
    </xf>
    <xf numFmtId="0" fontId="75" fillId="0" borderId="18" xfId="136" applyFont="1" applyBorder="1" applyAlignment="1">
      <alignment horizontal="center" vertical="center"/>
    </xf>
    <xf numFmtId="10" fontId="109" fillId="0" borderId="18" xfId="110" applyNumberFormat="1" applyFont="1" applyBorder="1" applyAlignment="1">
      <alignment horizontal="right" vertical="center"/>
    </xf>
    <xf numFmtId="0" fontId="75" fillId="0" borderId="0" xfId="110" applyFont="1" applyAlignment="1">
      <alignment horizontal="center"/>
    </xf>
    <xf numFmtId="176" fontId="75" fillId="0" borderId="0" xfId="193" applyFont="1" applyFill="1" applyBorder="1"/>
    <xf numFmtId="10" fontId="75" fillId="0" borderId="0" xfId="209" applyNumberFormat="1" applyFont="1" applyFill="1" applyBorder="1" applyAlignment="1"/>
    <xf numFmtId="0" fontId="75" fillId="0" borderId="0" xfId="158" applyFont="1" applyAlignment="1">
      <alignment horizontal="left"/>
    </xf>
    <xf numFmtId="0" fontId="75" fillId="0" borderId="0" xfId="155" applyFont="1" applyAlignment="1">
      <alignment vertical="center"/>
    </xf>
    <xf numFmtId="0" fontId="75" fillId="0" borderId="0" xfId="109" applyFont="1" applyAlignment="1">
      <alignment horizontal="center" wrapText="1"/>
    </xf>
    <xf numFmtId="0" fontId="75" fillId="0" borderId="18" xfId="133" applyFont="1" applyBorder="1" applyAlignment="1">
      <alignment horizontal="center" vertical="center" wrapText="1"/>
    </xf>
    <xf numFmtId="0" fontId="75" fillId="0" borderId="15" xfId="136" applyFont="1" applyBorder="1" applyAlignment="1">
      <alignment vertical="center"/>
    </xf>
    <xf numFmtId="179" fontId="109" fillId="0" borderId="15" xfId="192" applyNumberFormat="1" applyFont="1" applyFill="1" applyBorder="1" applyAlignment="1">
      <alignment horizontal="right" vertical="center"/>
    </xf>
    <xf numFmtId="0" fontId="75" fillId="0" borderId="18" xfId="136" applyFont="1" applyBorder="1" applyAlignment="1">
      <alignment vertical="center"/>
    </xf>
    <xf numFmtId="179" fontId="109" fillId="0" borderId="127" xfId="192" applyNumberFormat="1" applyFont="1" applyFill="1" applyBorder="1" applyAlignment="1">
      <alignment horizontal="right" vertical="center"/>
    </xf>
    <xf numFmtId="0" fontId="75" fillId="0" borderId="18" xfId="158" applyFont="1" applyBorder="1"/>
    <xf numFmtId="0" fontId="75" fillId="0" borderId="18" xfId="153" applyFont="1" applyBorder="1" applyAlignment="1">
      <alignment vertical="center"/>
    </xf>
    <xf numFmtId="10" fontId="75" fillId="0" borderId="0" xfId="158" quotePrefix="1" applyNumberFormat="1" applyFont="1" applyAlignment="1">
      <alignment horizontal="right" vertical="center"/>
    </xf>
    <xf numFmtId="0" fontId="75" fillId="0" borderId="0" xfId="109" applyFont="1" applyAlignment="1">
      <alignment horizontal="center"/>
    </xf>
    <xf numFmtId="10" fontId="75" fillId="0" borderId="14" xfId="158" quotePrefix="1" applyNumberFormat="1" applyFont="1" applyBorder="1" applyAlignment="1">
      <alignment horizontal="right" vertical="center"/>
    </xf>
    <xf numFmtId="0" fontId="75" fillId="0" borderId="0" xfId="158" applyFont="1" applyAlignment="1">
      <alignment horizontal="left" vertical="center"/>
    </xf>
    <xf numFmtId="0" fontId="75" fillId="0" borderId="0" xfId="158" applyFont="1" applyAlignment="1">
      <alignment horizontal="centerContinuous"/>
    </xf>
    <xf numFmtId="0" fontId="75" fillId="0" borderId="0" xfId="122" applyFont="1" applyAlignment="1">
      <alignment horizontal="right"/>
    </xf>
    <xf numFmtId="0" fontId="75" fillId="0" borderId="0" xfId="158" applyFont="1" applyAlignment="1">
      <alignment horizontal="center" vertical="center" wrapText="1"/>
    </xf>
    <xf numFmtId="0" fontId="75" fillId="0" borderId="16" xfId="158" applyFont="1" applyBorder="1" applyAlignment="1">
      <alignment horizontal="center" vertical="center" wrapText="1"/>
    </xf>
    <xf numFmtId="49" fontId="75" fillId="0" borderId="19" xfId="158" quotePrefix="1" applyNumberFormat="1" applyFont="1" applyBorder="1" applyAlignment="1">
      <alignment horizontal="center" vertical="center" wrapText="1"/>
    </xf>
    <xf numFmtId="49" fontId="75" fillId="0" borderId="15" xfId="158" quotePrefix="1" applyNumberFormat="1" applyFont="1" applyBorder="1" applyAlignment="1">
      <alignment horizontal="center" vertical="center" wrapText="1"/>
    </xf>
    <xf numFmtId="49" fontId="75" fillId="0" borderId="15" xfId="158" applyNumberFormat="1" applyFont="1" applyBorder="1" applyAlignment="1">
      <alignment horizontal="center" vertical="center" wrapText="1"/>
    </xf>
    <xf numFmtId="49" fontId="75" fillId="0" borderId="23" xfId="158" quotePrefix="1" applyNumberFormat="1" applyFont="1" applyBorder="1" applyAlignment="1">
      <alignment horizontal="center" vertical="center" wrapText="1"/>
    </xf>
    <xf numFmtId="0" fontId="75" fillId="0" borderId="0" xfId="158" applyFont="1" applyAlignment="1">
      <alignment wrapText="1"/>
    </xf>
    <xf numFmtId="0" fontId="89" fillId="0" borderId="18" xfId="134" applyFont="1" applyBorder="1" applyAlignment="1">
      <alignment horizontal="center" vertical="center" wrapText="1"/>
    </xf>
    <xf numFmtId="180" fontId="90" fillId="0" borderId="18" xfId="158" applyNumberFormat="1" applyFont="1" applyBorder="1"/>
    <xf numFmtId="180" fontId="75" fillId="0" borderId="0" xfId="158" applyNumberFormat="1" applyFont="1"/>
    <xf numFmtId="0" fontId="75" fillId="0" borderId="0" xfId="158" quotePrefix="1" applyFont="1" applyAlignment="1">
      <alignment horizontal="left"/>
    </xf>
    <xf numFmtId="180" fontId="89" fillId="0" borderId="0" xfId="158" applyNumberFormat="1" applyFont="1"/>
    <xf numFmtId="0" fontId="75" fillId="0" borderId="0" xfId="158" applyFont="1" applyAlignment="1">
      <alignment horizontal="center"/>
    </xf>
    <xf numFmtId="0" fontId="89" fillId="0" borderId="0" xfId="155" applyFont="1" applyAlignment="1">
      <alignment horizontal="center" vertical="center"/>
    </xf>
    <xf numFmtId="0" fontId="89" fillId="0" borderId="18" xfId="135" applyFont="1" applyBorder="1" applyAlignment="1">
      <alignment horizontal="center" vertical="center" wrapText="1"/>
    </xf>
    <xf numFmtId="0" fontId="89" fillId="0" borderId="15" xfId="136" applyFont="1" applyBorder="1" applyAlignment="1">
      <alignment vertical="center"/>
    </xf>
    <xf numFmtId="179" fontId="90" fillId="0" borderId="18" xfId="192" applyNumberFormat="1" applyFont="1" applyFill="1" applyBorder="1" applyAlignment="1">
      <alignment horizontal="right" vertical="center"/>
    </xf>
    <xf numFmtId="179" fontId="90" fillId="0" borderId="18" xfId="158" applyNumberFormat="1" applyFont="1" applyBorder="1"/>
    <xf numFmtId="179" fontId="90" fillId="0" borderId="15" xfId="136" applyNumberFormat="1" applyFont="1" applyBorder="1" applyAlignment="1">
      <alignment vertical="center"/>
    </xf>
    <xf numFmtId="179" fontId="90" fillId="0" borderId="18" xfId="136" applyNumberFormat="1" applyFont="1" applyBorder="1" applyAlignment="1">
      <alignment vertical="center"/>
    </xf>
    <xf numFmtId="0" fontId="89" fillId="0" borderId="18" xfId="136" applyFont="1" applyBorder="1" applyAlignment="1">
      <alignment vertical="center"/>
    </xf>
    <xf numFmtId="0" fontId="89" fillId="0" borderId="18" xfId="158" applyFont="1" applyBorder="1"/>
    <xf numFmtId="0" fontId="89" fillId="0" borderId="18" xfId="153" applyFont="1" applyBorder="1" applyAlignment="1">
      <alignment vertical="center"/>
    </xf>
    <xf numFmtId="179" fontId="90" fillId="0" borderId="18" xfId="153" applyNumberFormat="1" applyFont="1" applyBorder="1" applyAlignment="1">
      <alignment vertical="center"/>
    </xf>
    <xf numFmtId="0" fontId="89" fillId="0" borderId="18" xfId="136" applyFont="1" applyBorder="1" applyAlignment="1">
      <alignment horizontal="center" vertical="center"/>
    </xf>
    <xf numFmtId="179" fontId="90" fillId="0" borderId="18" xfId="158" applyNumberFormat="1" applyFont="1" applyBorder="1" applyAlignment="1">
      <alignment horizontal="right"/>
    </xf>
    <xf numFmtId="179" fontId="90" fillId="0" borderId="0" xfId="158" quotePrefix="1" applyNumberFormat="1" applyFont="1" applyAlignment="1">
      <alignment horizontal="right"/>
    </xf>
    <xf numFmtId="0" fontId="75" fillId="0" borderId="17" xfId="158" applyFont="1" applyBorder="1" applyAlignment="1">
      <alignment horizontal="center" vertical="center"/>
    </xf>
    <xf numFmtId="0" fontId="75" fillId="0" borderId="16" xfId="158" applyFont="1" applyBorder="1" applyAlignment="1">
      <alignment horizontal="center" vertical="center"/>
    </xf>
    <xf numFmtId="0" fontId="75" fillId="0" borderId="23" xfId="158" quotePrefix="1" applyFont="1" applyBorder="1" applyAlignment="1">
      <alignment horizontal="center" vertical="center"/>
    </xf>
    <xf numFmtId="0" fontId="75" fillId="0" borderId="15" xfId="158" quotePrefix="1" applyFont="1" applyBorder="1" applyAlignment="1">
      <alignment horizontal="center" vertical="center"/>
    </xf>
    <xf numFmtId="0" fontId="75" fillId="0" borderId="15" xfId="153" quotePrefix="1" applyFont="1" applyBorder="1" applyAlignment="1">
      <alignment horizontal="distributed" vertical="center"/>
    </xf>
    <xf numFmtId="0" fontId="75" fillId="0" borderId="0" xfId="153" applyFont="1" applyAlignment="1">
      <alignment horizontal="distributed" vertical="center"/>
    </xf>
    <xf numFmtId="179" fontId="95" fillId="0" borderId="18" xfId="0" applyNumberFormat="1" applyFont="1" applyBorder="1" applyAlignment="1">
      <alignment vertical="center"/>
    </xf>
    <xf numFmtId="185" fontId="95" fillId="0" borderId="23" xfId="158" applyNumberFormat="1" applyFont="1" applyBorder="1" applyAlignment="1">
      <alignment horizontal="center" vertical="center"/>
    </xf>
    <xf numFmtId="0" fontId="75" fillId="0" borderId="18" xfId="153" applyFont="1" applyBorder="1" applyAlignment="1">
      <alignment horizontal="distributed" vertical="center"/>
    </xf>
    <xf numFmtId="185" fontId="95" fillId="0" borderId="18" xfId="192" applyNumberFormat="1" applyFont="1" applyFill="1" applyBorder="1" applyAlignment="1">
      <alignment horizontal="right" vertical="center"/>
    </xf>
    <xf numFmtId="185" fontId="95" fillId="0" borderId="23" xfId="192" applyNumberFormat="1" applyFont="1" applyFill="1" applyBorder="1" applyAlignment="1">
      <alignment horizontal="right" vertical="center"/>
    </xf>
    <xf numFmtId="185" fontId="75" fillId="0" borderId="18" xfId="192" applyNumberFormat="1" applyFont="1" applyFill="1" applyBorder="1" applyAlignment="1">
      <alignment horizontal="right" vertical="center"/>
    </xf>
    <xf numFmtId="185" fontId="81" fillId="0" borderId="23" xfId="158" applyNumberFormat="1" applyFont="1" applyBorder="1" applyAlignment="1">
      <alignment horizontal="center" vertical="center"/>
    </xf>
    <xf numFmtId="0" fontId="75" fillId="0" borderId="1" xfId="143" applyFont="1" applyBorder="1" applyAlignment="1">
      <alignment horizontal="left" vertical="center"/>
    </xf>
    <xf numFmtId="0" fontId="75" fillId="0" borderId="1" xfId="143" quotePrefix="1" applyFont="1" applyBorder="1" applyAlignment="1">
      <alignment horizontal="left" vertical="center"/>
    </xf>
    <xf numFmtId="0" fontId="75" fillId="0" borderId="0" xfId="158" applyFont="1" applyAlignment="1">
      <alignment vertical="center"/>
    </xf>
    <xf numFmtId="0" fontId="75" fillId="0" borderId="0" xfId="143" applyFont="1"/>
    <xf numFmtId="0" fontId="75" fillId="0" borderId="0" xfId="143" applyFont="1" applyAlignment="1">
      <alignment horizontal="center"/>
    </xf>
    <xf numFmtId="0" fontId="75" fillId="0" borderId="0" xfId="142" applyFont="1" applyAlignment="1">
      <alignment horizontal="center"/>
    </xf>
    <xf numFmtId="0" fontId="75" fillId="0" borderId="0" xfId="136" applyFont="1" applyAlignment="1">
      <alignment horizontal="center" vertical="center"/>
    </xf>
    <xf numFmtId="179" fontId="95" fillId="0" borderId="23" xfId="158" quotePrefix="1" applyNumberFormat="1" applyFont="1" applyBorder="1" applyAlignment="1">
      <alignment horizontal="right" vertical="center"/>
    </xf>
    <xf numFmtId="180" fontId="95" fillId="0" borderId="18" xfId="192" applyNumberFormat="1" applyFont="1" applyFill="1" applyBorder="1" applyAlignment="1">
      <alignment horizontal="right" vertical="center"/>
    </xf>
    <xf numFmtId="0" fontId="95" fillId="0" borderId="18" xfId="153" applyFont="1" applyBorder="1" applyAlignment="1">
      <alignment horizontal="distributed" vertical="center"/>
    </xf>
    <xf numFmtId="179" fontId="95" fillId="0" borderId="18" xfId="192" applyNumberFormat="1" applyFont="1" applyFill="1" applyBorder="1" applyAlignment="1">
      <alignment horizontal="right" vertical="center"/>
    </xf>
    <xf numFmtId="0" fontId="95" fillId="0" borderId="18" xfId="153" applyFont="1" applyBorder="1" applyAlignment="1">
      <alignment vertical="center"/>
    </xf>
    <xf numFmtId="9" fontId="95" fillId="0" borderId="18" xfId="209" applyFont="1" applyFill="1" applyBorder="1" applyAlignment="1">
      <alignment horizontal="right" vertical="center"/>
    </xf>
    <xf numFmtId="0" fontId="75" fillId="0" borderId="1" xfId="142" applyFont="1" applyBorder="1" applyAlignment="1">
      <alignment horizontal="left" vertical="center"/>
    </xf>
    <xf numFmtId="0" fontId="75" fillId="0" borderId="1" xfId="142" quotePrefix="1" applyFont="1" applyBorder="1" applyAlignment="1">
      <alignment horizontal="left" vertical="center"/>
    </xf>
    <xf numFmtId="0" fontId="75" fillId="0" borderId="21" xfId="158" applyFont="1" applyBorder="1" applyAlignment="1">
      <alignment horizontal="center" vertical="center"/>
    </xf>
    <xf numFmtId="0" fontId="75" fillId="0" borderId="22" xfId="158" quotePrefix="1" applyFont="1" applyBorder="1" applyAlignment="1">
      <alignment horizontal="center" vertical="center"/>
    </xf>
    <xf numFmtId="0" fontId="89" fillId="0" borderId="18" xfId="133" applyFont="1" applyBorder="1" applyAlignment="1">
      <alignment horizontal="center" vertical="center" wrapText="1"/>
    </xf>
    <xf numFmtId="0" fontId="89" fillId="0" borderId="18" xfId="138" applyFont="1" applyBorder="1" applyAlignment="1">
      <alignment horizontal="left" vertical="center"/>
    </xf>
    <xf numFmtId="179" fontId="90" fillId="0" borderId="18" xfId="107" applyNumberFormat="1" applyFont="1" applyBorder="1" applyAlignment="1">
      <alignment vertical="center"/>
    </xf>
    <xf numFmtId="179" fontId="75" fillId="0" borderId="0" xfId="153" applyNumberFormat="1" applyFont="1" applyAlignment="1">
      <alignment horizontal="distributed" vertical="center"/>
    </xf>
    <xf numFmtId="0" fontId="75" fillId="0" borderId="0" xfId="153" applyFont="1" applyAlignment="1">
      <alignment horizontal="distributed" vertical="center" wrapText="1"/>
    </xf>
    <xf numFmtId="179" fontId="90" fillId="0" borderId="15" xfId="153" applyNumberFormat="1" applyFont="1" applyBorder="1" applyAlignment="1">
      <alignment horizontal="right" vertical="center"/>
    </xf>
    <xf numFmtId="0" fontId="75" fillId="0" borderId="0" xfId="133" applyFont="1" applyAlignment="1">
      <alignment horizontal="center" vertical="center" wrapText="1"/>
    </xf>
    <xf numFmtId="179" fontId="110" fillId="0" borderId="0" xfId="107" applyNumberFormat="1" applyFont="1" applyAlignment="1">
      <alignment vertical="center"/>
    </xf>
    <xf numFmtId="0" fontId="75" fillId="0" borderId="14" xfId="158" applyFont="1" applyBorder="1" applyAlignment="1">
      <alignment horizontal="distributed" vertical="center" wrapText="1"/>
    </xf>
    <xf numFmtId="0" fontId="89" fillId="0" borderId="18" xfId="158" applyFont="1" applyBorder="1" applyAlignment="1">
      <alignment horizontal="left" vertical="center"/>
    </xf>
    <xf numFmtId="179" fontId="89" fillId="0" borderId="18" xfId="138" quotePrefix="1" applyNumberFormat="1" applyFont="1" applyBorder="1" applyAlignment="1">
      <alignment horizontal="right" vertical="center"/>
    </xf>
    <xf numFmtId="10" fontId="89" fillId="0" borderId="18" xfId="138" quotePrefix="1" applyNumberFormat="1" applyFont="1" applyBorder="1" applyAlignment="1">
      <alignment horizontal="right" vertical="center"/>
    </xf>
    <xf numFmtId="179" fontId="89" fillId="0" borderId="18" xfId="191" applyNumberFormat="1" applyFont="1" applyFill="1" applyBorder="1"/>
    <xf numFmtId="0" fontId="75" fillId="0" borderId="18" xfId="158" applyFont="1" applyBorder="1" applyAlignment="1">
      <alignment horizontal="left" vertical="center"/>
    </xf>
    <xf numFmtId="10" fontId="89" fillId="0" borderId="129" xfId="138" quotePrefix="1" applyNumberFormat="1" applyFont="1" applyBorder="1" applyAlignment="1">
      <alignment horizontal="right" vertical="center"/>
    </xf>
    <xf numFmtId="0" fontId="75" fillId="0" borderId="0" xfId="155" applyFont="1" applyAlignment="1">
      <alignment horizontal="left" vertical="center"/>
    </xf>
    <xf numFmtId="0" fontId="75" fillId="0" borderId="0" xfId="136" applyFont="1" applyAlignment="1">
      <alignment horizontal="distributed" vertical="center"/>
    </xf>
    <xf numFmtId="0" fontId="75" fillId="0" borderId="0" xfId="142" applyFont="1" applyAlignment="1">
      <alignment horizontal="left" vertical="center"/>
    </xf>
    <xf numFmtId="0" fontId="87" fillId="0" borderId="0" xfId="142" applyFont="1" applyAlignment="1">
      <alignment horizontal="left" vertical="center"/>
    </xf>
    <xf numFmtId="0" fontId="75" fillId="0" borderId="0" xfId="155" applyFont="1" applyAlignment="1">
      <alignment wrapText="1"/>
    </xf>
    <xf numFmtId="179" fontId="89" fillId="0" borderId="22" xfId="138" quotePrefix="1" applyNumberFormat="1" applyFont="1" applyBorder="1" applyAlignment="1">
      <alignment horizontal="right" vertical="center"/>
    </xf>
    <xf numFmtId="10" fontId="89" fillId="0" borderId="15" xfId="138" quotePrefix="1" applyNumberFormat="1" applyFont="1" applyBorder="1" applyAlignment="1">
      <alignment horizontal="right" vertical="center"/>
    </xf>
    <xf numFmtId="179" fontId="89" fillId="0" borderId="0" xfId="155" applyNumberFormat="1" applyFont="1"/>
    <xf numFmtId="179" fontId="89" fillId="0" borderId="18" xfId="0" applyNumberFormat="1" applyFont="1" applyBorder="1" applyAlignment="1">
      <alignment vertical="center"/>
    </xf>
    <xf numFmtId="0" fontId="89" fillId="0" borderId="0" xfId="155" applyFont="1" applyAlignment="1">
      <alignment horizontal="left" vertical="center"/>
    </xf>
    <xf numFmtId="0" fontId="89" fillId="0" borderId="0" xfId="155" applyFont="1"/>
    <xf numFmtId="0" fontId="75" fillId="0" borderId="0" xfId="155" applyFont="1" applyAlignment="1">
      <alignment horizontal="left"/>
    </xf>
    <xf numFmtId="0" fontId="88" fillId="0" borderId="0" xfId="142" applyFont="1" applyAlignment="1">
      <alignment horizontal="left" vertical="center"/>
    </xf>
    <xf numFmtId="179" fontId="87" fillId="0" borderId="0" xfId="142" applyNumberFormat="1" applyFont="1" applyAlignment="1">
      <alignment horizontal="left" vertical="center"/>
    </xf>
    <xf numFmtId="179" fontId="75" fillId="0" borderId="16" xfId="158" applyNumberFormat="1" applyFont="1" applyBorder="1" applyAlignment="1">
      <alignment horizontal="distributed" vertical="center"/>
    </xf>
    <xf numFmtId="179" fontId="75" fillId="0" borderId="60" xfId="158" applyNumberFormat="1" applyFont="1" applyBorder="1" applyAlignment="1">
      <alignment horizontal="distributed" vertical="center"/>
    </xf>
    <xf numFmtId="179" fontId="75" fillId="0" borderId="14" xfId="158" applyNumberFormat="1" applyFont="1" applyBorder="1" applyAlignment="1">
      <alignment horizontal="distributed" vertical="center"/>
    </xf>
    <xf numFmtId="179" fontId="95" fillId="0" borderId="15" xfId="138" quotePrefix="1" applyNumberFormat="1" applyFont="1" applyBorder="1" applyAlignment="1">
      <alignment horizontal="center" vertical="center"/>
    </xf>
    <xf numFmtId="179" fontId="75" fillId="0" borderId="22" xfId="158" applyNumberFormat="1" applyFont="1" applyBorder="1" applyAlignment="1">
      <alignment horizontal="center" vertical="center"/>
    </xf>
    <xf numFmtId="179" fontId="75" fillId="0" borderId="15" xfId="158" quotePrefix="1" applyNumberFormat="1" applyFont="1" applyBorder="1" applyAlignment="1">
      <alignment horizontal="center" vertical="center"/>
    </xf>
    <xf numFmtId="0" fontId="75" fillId="0" borderId="15" xfId="158" applyFont="1" applyBorder="1" applyAlignment="1">
      <alignment horizontal="center" vertical="center"/>
    </xf>
    <xf numFmtId="179" fontId="75" fillId="0" borderId="15" xfId="158" applyNumberFormat="1" applyFont="1" applyBorder="1" applyAlignment="1">
      <alignment horizontal="center" vertical="center"/>
    </xf>
    <xf numFmtId="0" fontId="79" fillId="0" borderId="18" xfId="0" applyFont="1" applyBorder="1"/>
    <xf numFmtId="10" fontId="89" fillId="0" borderId="15" xfId="138" applyNumberFormat="1" applyFont="1" applyBorder="1" applyAlignment="1">
      <alignment horizontal="right" vertical="center"/>
    </xf>
    <xf numFmtId="179" fontId="89" fillId="0" borderId="22" xfId="155" quotePrefix="1" applyNumberFormat="1" applyFont="1" applyBorder="1" applyAlignment="1">
      <alignment horizontal="right"/>
    </xf>
    <xf numFmtId="179" fontId="89" fillId="0" borderId="15" xfId="155" quotePrefix="1" applyNumberFormat="1" applyFont="1" applyBorder="1" applyAlignment="1">
      <alignment horizontal="right"/>
    </xf>
    <xf numFmtId="10" fontId="89" fillId="0" borderId="129" xfId="138" applyNumberFormat="1" applyFont="1" applyBorder="1" applyAlignment="1">
      <alignment horizontal="right" vertical="center"/>
    </xf>
    <xf numFmtId="0" fontId="75" fillId="0" borderId="0" xfId="155" applyFont="1" applyAlignment="1">
      <alignment horizontal="center"/>
    </xf>
    <xf numFmtId="0" fontId="75" fillId="0" borderId="0" xfId="158" applyFont="1" applyAlignment="1">
      <alignment horizontal="center" vertical="center"/>
    </xf>
    <xf numFmtId="179" fontId="75" fillId="0" borderId="0" xfId="158" quotePrefix="1" applyNumberFormat="1" applyFont="1" applyAlignment="1">
      <alignment horizontal="left"/>
    </xf>
    <xf numFmtId="0" fontId="75" fillId="0" borderId="19" xfId="158" applyFont="1" applyBorder="1"/>
    <xf numFmtId="179" fontId="89" fillId="0" borderId="15" xfId="138" quotePrefix="1" applyNumberFormat="1" applyFont="1" applyBorder="1" applyAlignment="1" applyProtection="1">
      <alignment horizontal="right" vertical="center"/>
      <protection locked="0"/>
    </xf>
    <xf numFmtId="10" fontId="89" fillId="0" borderId="15" xfId="138" applyNumberFormat="1" applyFont="1" applyBorder="1" applyAlignment="1" applyProtection="1">
      <alignment horizontal="right" vertical="center"/>
      <protection locked="0"/>
    </xf>
    <xf numFmtId="179" fontId="89" fillId="0" borderId="18" xfId="138" quotePrefix="1" applyNumberFormat="1" applyFont="1" applyBorder="1" applyAlignment="1" applyProtection="1">
      <alignment horizontal="right" vertical="center"/>
      <protection locked="0"/>
    </xf>
    <xf numFmtId="179" fontId="89" fillId="0" borderId="15" xfId="138" applyNumberFormat="1" applyFont="1" applyBorder="1" applyAlignment="1" applyProtection="1">
      <alignment horizontal="right" vertical="center"/>
      <protection locked="0"/>
    </xf>
    <xf numFmtId="179" fontId="89" fillId="0" borderId="22" xfId="191" applyNumberFormat="1" applyFont="1" applyFill="1" applyBorder="1" applyAlignment="1" applyProtection="1">
      <alignment horizontal="right"/>
      <protection locked="0"/>
    </xf>
    <xf numFmtId="179" fontId="89" fillId="0" borderId="15" xfId="191" applyNumberFormat="1" applyFont="1" applyFill="1" applyBorder="1" applyAlignment="1" applyProtection="1">
      <alignment horizontal="right"/>
      <protection locked="0"/>
    </xf>
    <xf numFmtId="0" fontId="75" fillId="0" borderId="20" xfId="158" applyFont="1" applyBorder="1"/>
    <xf numFmtId="179" fontId="89" fillId="0" borderId="68" xfId="191" applyNumberFormat="1" applyFont="1" applyFill="1" applyBorder="1" applyAlignment="1" applyProtection="1">
      <alignment horizontal="right"/>
      <protection locked="0"/>
    </xf>
    <xf numFmtId="179" fontId="89" fillId="0" borderId="18" xfId="191" applyNumberFormat="1" applyFont="1" applyFill="1" applyBorder="1" applyAlignment="1" applyProtection="1">
      <alignment horizontal="right"/>
      <protection locked="0"/>
    </xf>
    <xf numFmtId="179" fontId="89" fillId="27" borderId="21" xfId="191" applyNumberFormat="1" applyFont="1" applyFill="1" applyBorder="1" applyAlignment="1" applyProtection="1">
      <alignment horizontal="right"/>
      <protection locked="0"/>
    </xf>
    <xf numFmtId="179" fontId="89" fillId="0" borderId="16" xfId="191" applyNumberFormat="1" applyFont="1" applyFill="1" applyBorder="1" applyAlignment="1" applyProtection="1">
      <alignment horizontal="right"/>
      <protection locked="0"/>
    </xf>
    <xf numFmtId="179" fontId="89" fillId="0" borderId="21" xfId="191" applyNumberFormat="1" applyFont="1" applyFill="1" applyBorder="1" applyAlignment="1" applyProtection="1">
      <alignment horizontal="right"/>
      <protection locked="0"/>
    </xf>
    <xf numFmtId="179" fontId="89" fillId="27" borderId="18" xfId="191" applyNumberFormat="1" applyFont="1" applyFill="1" applyBorder="1" applyAlignment="1" applyProtection="1">
      <alignment horizontal="right"/>
      <protection locked="0"/>
    </xf>
    <xf numFmtId="0" fontId="75" fillId="0" borderId="1" xfId="158" applyFont="1" applyBorder="1"/>
    <xf numFmtId="179" fontId="89" fillId="27" borderId="18" xfId="138" quotePrefix="1" applyNumberFormat="1" applyFont="1" applyFill="1" applyBorder="1" applyAlignment="1" applyProtection="1">
      <alignment horizontal="right" vertical="center"/>
      <protection locked="0"/>
    </xf>
    <xf numFmtId="179" fontId="89" fillId="27" borderId="18" xfId="138" applyNumberFormat="1" applyFont="1" applyFill="1" applyBorder="1" applyAlignment="1" applyProtection="1">
      <alignment horizontal="right" vertical="center"/>
      <protection locked="0"/>
    </xf>
    <xf numFmtId="179" fontId="89" fillId="0" borderId="18" xfId="138" applyNumberFormat="1" applyFont="1" applyBorder="1" applyAlignment="1" applyProtection="1">
      <alignment horizontal="right" vertical="center"/>
      <protection locked="0"/>
    </xf>
    <xf numFmtId="179" fontId="89" fillId="0" borderId="68" xfId="138" quotePrefix="1" applyNumberFormat="1" applyFont="1" applyBorder="1" applyAlignment="1" applyProtection="1">
      <alignment horizontal="right" vertical="center"/>
      <protection locked="0"/>
    </xf>
    <xf numFmtId="179" fontId="89" fillId="27" borderId="68" xfId="138" quotePrefix="1" applyNumberFormat="1" applyFont="1" applyFill="1" applyBorder="1" applyAlignment="1" applyProtection="1">
      <alignment horizontal="right" vertical="center"/>
      <protection locked="0"/>
    </xf>
    <xf numFmtId="0" fontId="89" fillId="0" borderId="0" xfId="158" applyFont="1" applyAlignment="1">
      <alignment horizontal="left" vertical="center"/>
    </xf>
    <xf numFmtId="0" fontId="89" fillId="0" borderId="0" xfId="158" applyFont="1" applyAlignment="1">
      <alignment horizontal="right"/>
    </xf>
    <xf numFmtId="179" fontId="89" fillId="0" borderId="0" xfId="158" applyNumberFormat="1" applyFont="1" applyAlignment="1" applyProtection="1">
      <alignment horizontal="right" vertical="center"/>
      <protection locked="0"/>
    </xf>
    <xf numFmtId="0" fontId="89" fillId="0" borderId="0" xfId="158" applyFont="1" applyProtection="1">
      <protection locked="0"/>
    </xf>
    <xf numFmtId="179" fontId="89" fillId="0" borderId="1" xfId="138" quotePrefix="1" applyNumberFormat="1" applyFont="1" applyBorder="1" applyAlignment="1" applyProtection="1">
      <alignment horizontal="right" vertical="center"/>
      <protection locked="0"/>
    </xf>
    <xf numFmtId="179" fontId="75" fillId="0" borderId="0" xfId="158" applyNumberFormat="1" applyFont="1" applyAlignment="1" applyProtection="1">
      <alignment horizontal="left" vertical="center" wrapText="1"/>
      <protection locked="0"/>
    </xf>
    <xf numFmtId="0" fontId="75" fillId="0" borderId="0" xfId="158" applyFont="1" applyAlignment="1" applyProtection="1">
      <alignment horizontal="left" vertical="center" wrapText="1"/>
      <protection locked="0"/>
    </xf>
    <xf numFmtId="179" fontId="75" fillId="0" borderId="0" xfId="158" applyNumberFormat="1" applyFont="1" applyProtection="1">
      <protection locked="0"/>
    </xf>
    <xf numFmtId="0" fontId="75" fillId="0" borderId="0" xfId="158" applyFont="1" applyProtection="1">
      <protection locked="0"/>
    </xf>
    <xf numFmtId="0" fontId="75" fillId="0" borderId="0" xfId="153" applyFont="1" applyAlignment="1">
      <alignment horizontal="left" vertical="center"/>
    </xf>
    <xf numFmtId="0" fontId="79" fillId="0" borderId="0" xfId="140" applyFont="1"/>
    <xf numFmtId="0" fontId="75" fillId="0" borderId="0" xfId="127" applyFont="1" applyAlignment="1">
      <alignment horizontal="right"/>
    </xf>
    <xf numFmtId="0" fontId="75" fillId="0" borderId="18" xfId="100" applyFont="1" applyBorder="1" applyAlignment="1">
      <alignment horizontal="centerContinuous" vertical="center"/>
    </xf>
    <xf numFmtId="0" fontId="75" fillId="0" borderId="16" xfId="153" applyFont="1" applyBorder="1" applyAlignment="1">
      <alignment horizontal="center" vertical="center" wrapText="1"/>
    </xf>
    <xf numFmtId="0" fontId="75" fillId="0" borderId="18" xfId="139" applyFont="1" applyBorder="1" applyAlignment="1">
      <alignment vertical="center" wrapText="1"/>
    </xf>
    <xf numFmtId="0" fontId="75" fillId="0" borderId="15" xfId="100" applyFont="1" applyBorder="1" applyAlignment="1">
      <alignment horizontal="center" vertical="center" wrapText="1"/>
    </xf>
    <xf numFmtId="0" fontId="75" fillId="0" borderId="18" xfId="100" applyFont="1" applyBorder="1" applyAlignment="1">
      <alignment horizontal="center" vertical="center" wrapText="1"/>
    </xf>
    <xf numFmtId="0" fontId="81" fillId="0" borderId="15" xfId="139" quotePrefix="1" applyFont="1" applyBorder="1" applyAlignment="1">
      <alignment horizontal="center"/>
    </xf>
    <xf numFmtId="0" fontId="81" fillId="0" borderId="15" xfId="139" quotePrefix="1" applyFont="1" applyBorder="1" applyAlignment="1">
      <alignment horizontal="center" wrapText="1"/>
    </xf>
    <xf numFmtId="0" fontId="75" fillId="0" borderId="18" xfId="136" applyFont="1" applyBorder="1" applyAlignment="1" applyProtection="1">
      <alignment horizontal="center" vertical="center" wrapText="1"/>
      <protection locked="0"/>
    </xf>
    <xf numFmtId="182" fontId="81" fillId="0" borderId="18" xfId="153" quotePrefix="1" applyNumberFormat="1" applyFont="1" applyBorder="1" applyAlignment="1" applyProtection="1">
      <alignment vertical="center"/>
      <protection locked="0"/>
    </xf>
    <xf numFmtId="182" fontId="81" fillId="0" borderId="18" xfId="153" quotePrefix="1" applyNumberFormat="1" applyFont="1" applyBorder="1" applyAlignment="1" applyProtection="1">
      <alignment vertical="center" wrapText="1"/>
      <protection locked="0"/>
    </xf>
    <xf numFmtId="182" fontId="81" fillId="0" borderId="18" xfId="153" applyNumberFormat="1" applyFont="1" applyBorder="1" applyAlignment="1" applyProtection="1">
      <alignment vertical="center"/>
      <protection locked="0"/>
    </xf>
    <xf numFmtId="182" fontId="81" fillId="0" borderId="18" xfId="215" applyNumberFormat="1" applyFont="1" applyFill="1" applyBorder="1" applyAlignment="1" applyProtection="1">
      <alignment vertical="center"/>
      <protection locked="0"/>
    </xf>
    <xf numFmtId="0" fontId="81" fillId="0" borderId="18" xfId="153" applyFont="1" applyBorder="1" applyAlignment="1" applyProtection="1">
      <alignment vertical="center"/>
      <protection locked="0"/>
    </xf>
    <xf numFmtId="180" fontId="81" fillId="0" borderId="18" xfId="153" applyNumberFormat="1" applyFont="1" applyBorder="1" applyAlignment="1">
      <alignment vertical="center"/>
    </xf>
    <xf numFmtId="0" fontId="75" fillId="0" borderId="0" xfId="139" applyFont="1"/>
    <xf numFmtId="0" fontId="75" fillId="0" borderId="0" xfId="139" applyFont="1" applyAlignment="1">
      <alignment horizontal="left" wrapText="1"/>
    </xf>
    <xf numFmtId="0" fontId="75" fillId="0" borderId="0" xfId="139" applyFont="1" applyAlignment="1">
      <alignment wrapText="1"/>
    </xf>
    <xf numFmtId="0" fontId="75" fillId="0" borderId="0" xfId="139" applyFont="1" applyAlignment="1">
      <alignment horizontal="center"/>
    </xf>
    <xf numFmtId="0" fontId="77" fillId="0" borderId="0" xfId="140" applyFont="1"/>
    <xf numFmtId="0" fontId="77" fillId="29" borderId="0" xfId="140" applyFont="1" applyFill="1"/>
    <xf numFmtId="0" fontId="78" fillId="0" borderId="0" xfId="139" applyFont="1"/>
    <xf numFmtId="0" fontId="78" fillId="0" borderId="0" xfId="139" applyFont="1" applyAlignment="1">
      <alignment horizontal="left" wrapText="1"/>
    </xf>
    <xf numFmtId="0" fontId="78" fillId="0" borderId="0" xfId="139" applyFont="1" applyAlignment="1">
      <alignment wrapText="1"/>
    </xf>
    <xf numFmtId="0" fontId="77" fillId="0" borderId="0" xfId="139" applyFont="1" applyAlignment="1">
      <alignment horizontal="left" wrapText="1"/>
    </xf>
    <xf numFmtId="0" fontId="78" fillId="0" borderId="0" xfId="140" applyFont="1" applyAlignment="1">
      <alignment horizontal="left" wrapText="1"/>
    </xf>
    <xf numFmtId="0" fontId="78" fillId="0" borderId="0" xfId="140" applyFont="1"/>
    <xf numFmtId="0" fontId="75" fillId="0" borderId="16" xfId="139" applyFont="1" applyBorder="1" applyAlignment="1">
      <alignment horizontal="distributed" vertical="center"/>
    </xf>
    <xf numFmtId="0" fontId="75" fillId="0" borderId="14" xfId="139" applyFont="1" applyBorder="1" applyAlignment="1">
      <alignment horizontal="distributed" vertical="center"/>
    </xf>
    <xf numFmtId="0" fontId="75" fillId="0" borderId="4" xfId="139" applyFont="1" applyBorder="1" applyAlignment="1">
      <alignment horizontal="distributed" vertical="center"/>
    </xf>
    <xf numFmtId="0" fontId="75" fillId="0" borderId="15" xfId="139" quotePrefix="1" applyFont="1" applyBorder="1" applyAlignment="1">
      <alignment horizontal="center"/>
    </xf>
    <xf numFmtId="0" fontId="89" fillId="0" borderId="18" xfId="0" applyFont="1" applyBorder="1"/>
    <xf numFmtId="0" fontId="89" fillId="0" borderId="0" xfId="132" applyNumberFormat="1" applyFont="1" applyFill="1" applyBorder="1" applyAlignment="1">
      <alignment horizontal="left"/>
    </xf>
    <xf numFmtId="0" fontId="89" fillId="0" borderId="18" xfId="136" applyFont="1" applyBorder="1" applyAlignment="1">
      <alignment horizontal="center"/>
    </xf>
    <xf numFmtId="179" fontId="89" fillId="0" borderId="18" xfId="158" applyNumberFormat="1" applyFont="1" applyBorder="1"/>
    <xf numFmtId="179" fontId="89" fillId="0" borderId="18" xfId="153" applyNumberFormat="1" applyFont="1" applyBorder="1" applyAlignment="1">
      <alignment vertical="center"/>
    </xf>
    <xf numFmtId="179" fontId="89" fillId="0" borderId="18" xfId="209" applyNumberFormat="1" applyFont="1" applyFill="1" applyBorder="1" applyAlignment="1">
      <alignment vertical="center"/>
    </xf>
    <xf numFmtId="179" fontId="89" fillId="0" borderId="18" xfId="192" applyNumberFormat="1" applyFont="1" applyFill="1" applyBorder="1" applyAlignment="1">
      <alignment vertical="center"/>
    </xf>
    <xf numFmtId="49" fontId="89" fillId="0" borderId="18" xfId="136" applyNumberFormat="1" applyFont="1" applyBorder="1" applyAlignment="1">
      <alignment horizontal="center"/>
    </xf>
    <xf numFmtId="179" fontId="89" fillId="0" borderId="18" xfId="209" applyNumberFormat="1" applyFont="1" applyFill="1" applyBorder="1" applyAlignment="1">
      <alignment horizontal="left" vertical="center"/>
    </xf>
    <xf numFmtId="0" fontId="89" fillId="0" borderId="68" xfId="136" applyFont="1" applyBorder="1" applyAlignment="1">
      <alignment horizontal="center" vertical="center"/>
    </xf>
    <xf numFmtId="0" fontId="75" fillId="0" borderId="0" xfId="118" applyFont="1" applyAlignment="1">
      <alignment horizontal="left"/>
    </xf>
    <xf numFmtId="0" fontId="75" fillId="0" borderId="0" xfId="139" applyFont="1" applyAlignment="1">
      <alignment horizontal="left"/>
    </xf>
    <xf numFmtId="0" fontId="75" fillId="0" borderId="0" xfId="112" applyFont="1" applyAlignment="1">
      <alignment vertical="center"/>
    </xf>
    <xf numFmtId="0" fontId="75" fillId="0" borderId="15" xfId="139" quotePrefix="1" applyFont="1" applyBorder="1" applyAlignment="1">
      <alignment horizontal="center" vertical="center"/>
    </xf>
    <xf numFmtId="0" fontId="75" fillId="0" borderId="15" xfId="139" quotePrefix="1" applyFont="1" applyBorder="1" applyAlignment="1">
      <alignment horizontal="center" vertical="center" wrapText="1"/>
    </xf>
    <xf numFmtId="0" fontId="89" fillId="0" borderId="15" xfId="139" quotePrefix="1" applyFont="1" applyBorder="1" applyAlignment="1">
      <alignment horizontal="center" vertical="center"/>
    </xf>
    <xf numFmtId="0" fontId="89" fillId="0" borderId="15" xfId="139" applyFont="1" applyBorder="1" applyAlignment="1">
      <alignment horizontal="left" wrapText="1"/>
    </xf>
    <xf numFmtId="0" fontId="89" fillId="0" borderId="15" xfId="139" quotePrefix="1" applyFont="1" applyBorder="1" applyAlignment="1">
      <alignment horizontal="center"/>
    </xf>
    <xf numFmtId="180" fontId="89" fillId="0" borderId="18" xfId="192" applyNumberFormat="1" applyFont="1" applyFill="1" applyBorder="1" applyAlignment="1">
      <alignment vertical="center"/>
    </xf>
    <xf numFmtId="0" fontId="89" fillId="0" borderId="18" xfId="136" applyFont="1" applyBorder="1" applyAlignment="1">
      <alignment horizontal="left" wrapText="1"/>
    </xf>
    <xf numFmtId="0" fontId="89" fillId="0" borderId="18" xfId="136" applyFont="1" applyBorder="1" applyAlignment="1">
      <alignment horizontal="left" vertical="center"/>
    </xf>
    <xf numFmtId="0" fontId="89" fillId="0" borderId="18" xfId="136" applyFont="1" applyBorder="1" applyAlignment="1">
      <alignment horizontal="left" vertical="center" wrapText="1"/>
    </xf>
    <xf numFmtId="49" fontId="89" fillId="0" borderId="18" xfId="136" applyNumberFormat="1" applyFont="1" applyBorder="1" applyAlignment="1">
      <alignment horizontal="center" vertical="center"/>
    </xf>
    <xf numFmtId="0" fontId="89" fillId="0" borderId="18" xfId="136" applyFont="1" applyBorder="1" applyAlignment="1">
      <alignment wrapText="1"/>
    </xf>
    <xf numFmtId="0" fontId="89" fillId="0" borderId="18" xfId="136" applyFont="1" applyBorder="1" applyAlignment="1">
      <alignment vertical="center" wrapText="1"/>
    </xf>
    <xf numFmtId="187" fontId="89" fillId="0" borderId="18" xfId="192" applyNumberFormat="1" applyFont="1" applyFill="1" applyBorder="1" applyAlignment="1">
      <alignment vertical="center"/>
    </xf>
    <xf numFmtId="0" fontId="89" fillId="0" borderId="18" xfId="136" applyFont="1" applyBorder="1" applyAlignment="1">
      <alignment horizontal="left"/>
    </xf>
    <xf numFmtId="180" fontId="89" fillId="0" borderId="18" xfId="153" applyNumberFormat="1" applyFont="1" applyBorder="1" applyAlignment="1">
      <alignment vertical="center"/>
    </xf>
    <xf numFmtId="180" fontId="75" fillId="0" borderId="0" xfId="139" applyNumberFormat="1" applyFont="1" applyAlignment="1">
      <alignment horizontal="left" wrapText="1"/>
    </xf>
    <xf numFmtId="0" fontId="75" fillId="0" borderId="0" xfId="113" applyFont="1" applyAlignment="1">
      <alignment vertical="center"/>
    </xf>
    <xf numFmtId="0" fontId="77" fillId="0" borderId="0" xfId="126" applyFont="1">
      <alignment vertical="center"/>
    </xf>
    <xf numFmtId="0" fontId="78" fillId="0" borderId="0" xfId="119" applyFont="1" applyAlignment="1">
      <alignment vertical="center"/>
    </xf>
    <xf numFmtId="0" fontId="78" fillId="0" borderId="18" xfId="119" applyFont="1" applyBorder="1" applyAlignment="1">
      <alignment horizontal="center" vertical="center" wrapText="1"/>
    </xf>
    <xf numFmtId="0" fontId="78" fillId="0" borderId="18" xfId="107" applyFont="1" applyBorder="1" applyAlignment="1">
      <alignment horizontal="center" vertical="center" wrapText="1"/>
    </xf>
    <xf numFmtId="0" fontId="78" fillId="0" borderId="68" xfId="119" applyFont="1" applyBorder="1" applyAlignment="1">
      <alignment horizontal="center" vertical="center" wrapText="1"/>
    </xf>
    <xf numFmtId="0" fontId="78" fillId="0" borderId="56" xfId="119" applyFont="1" applyBorder="1" applyAlignment="1">
      <alignment horizontal="center" vertical="center" wrapText="1"/>
    </xf>
    <xf numFmtId="49" fontId="78" fillId="0" borderId="16" xfId="119" applyNumberFormat="1" applyFont="1" applyBorder="1" applyAlignment="1">
      <alignment horizontal="center" vertical="center" wrapText="1"/>
    </xf>
    <xf numFmtId="49" fontId="78" fillId="0" borderId="21" xfId="119" applyNumberFormat="1" applyFont="1" applyBorder="1" applyAlignment="1">
      <alignment horizontal="center" vertical="center" wrapText="1"/>
    </xf>
    <xf numFmtId="49" fontId="78" fillId="0" borderId="72" xfId="119" applyNumberFormat="1" applyFont="1" applyBorder="1" applyAlignment="1">
      <alignment horizontal="center" vertical="center" wrapText="1"/>
    </xf>
    <xf numFmtId="0" fontId="78" fillId="0" borderId="65" xfId="148" applyFont="1" applyBorder="1" applyAlignment="1">
      <alignment horizontal="center" vertical="center"/>
    </xf>
    <xf numFmtId="0" fontId="78" fillId="0" borderId="26" xfId="124" applyFont="1" applyBorder="1">
      <alignment vertical="center"/>
    </xf>
    <xf numFmtId="0" fontId="77" fillId="0" borderId="151" xfId="126" applyFont="1" applyBorder="1">
      <alignment vertical="center"/>
    </xf>
    <xf numFmtId="0" fontId="78" fillId="0" borderId="24" xfId="124" applyFont="1" applyBorder="1" applyAlignment="1">
      <alignment horizontal="right" vertical="center"/>
    </xf>
    <xf numFmtId="0" fontId="78" fillId="0" borderId="161" xfId="119" applyFont="1" applyBorder="1" applyAlignment="1">
      <alignment horizontal="right" vertical="center" wrapText="1"/>
    </xf>
    <xf numFmtId="0" fontId="78" fillId="0" borderId="24" xfId="119" applyFont="1" applyBorder="1" applyAlignment="1">
      <alignment horizontal="right" vertical="center" wrapText="1"/>
    </xf>
    <xf numFmtId="0" fontId="78" fillId="0" borderId="55" xfId="119" applyFont="1" applyBorder="1" applyAlignment="1">
      <alignment horizontal="right" vertical="center" wrapText="1"/>
    </xf>
    <xf numFmtId="0" fontId="78" fillId="0" borderId="57" xfId="148" applyFont="1" applyBorder="1" applyAlignment="1">
      <alignment horizontal="center" vertical="center"/>
    </xf>
    <xf numFmtId="0" fontId="78" fillId="0" borderId="130" xfId="119" applyFont="1" applyBorder="1" applyAlignment="1">
      <alignment horizontal="left" vertical="center" wrapText="1"/>
    </xf>
    <xf numFmtId="0" fontId="78" fillId="0" borderId="129" xfId="119" applyFont="1" applyBorder="1" applyAlignment="1">
      <alignment horizontal="right" vertical="center" wrapText="1"/>
    </xf>
    <xf numFmtId="0" fontId="78" fillId="0" borderId="18" xfId="119" applyFont="1" applyBorder="1" applyAlignment="1">
      <alignment horizontal="right" vertical="center" wrapText="1"/>
    </xf>
    <xf numFmtId="0" fontId="78" fillId="0" borderId="68" xfId="119" applyFont="1" applyBorder="1" applyAlignment="1">
      <alignment horizontal="right" vertical="center" wrapText="1"/>
    </xf>
    <xf numFmtId="0" fontId="78" fillId="0" borderId="56" xfId="119" applyFont="1" applyBorder="1" applyAlignment="1">
      <alignment horizontal="right" vertical="center" wrapText="1"/>
    </xf>
    <xf numFmtId="0" fontId="78" fillId="0" borderId="58" xfId="148" applyFont="1" applyBorder="1" applyAlignment="1">
      <alignment horizontal="center" vertical="center"/>
    </xf>
    <xf numFmtId="0" fontId="78" fillId="0" borderId="59" xfId="124" applyFont="1" applyBorder="1">
      <alignment vertical="center"/>
    </xf>
    <xf numFmtId="0" fontId="78" fillId="0" borderId="142" xfId="124" applyFont="1" applyBorder="1" applyAlignment="1">
      <alignment horizontal="right" vertical="center"/>
    </xf>
    <xf numFmtId="0" fontId="78" fillId="0" borderId="27" xfId="124" applyFont="1" applyBorder="1" applyAlignment="1">
      <alignment horizontal="right" vertical="center"/>
    </xf>
    <xf numFmtId="0" fontId="78" fillId="0" borderId="162" xfId="124" applyFont="1" applyBorder="1" applyAlignment="1">
      <alignment horizontal="right" vertical="center"/>
    </xf>
    <xf numFmtId="0" fontId="78" fillId="0" borderId="28" xfId="124" applyFont="1" applyBorder="1" applyAlignment="1">
      <alignment horizontal="right" vertical="center"/>
    </xf>
    <xf numFmtId="0" fontId="78" fillId="0" borderId="147" xfId="148" applyFont="1" applyBorder="1" applyAlignment="1">
      <alignment horizontal="center" vertical="center"/>
    </xf>
    <xf numFmtId="0" fontId="78" fillId="26" borderId="34" xfId="107" applyFont="1" applyFill="1" applyBorder="1" applyAlignment="1">
      <alignment horizontal="right" vertical="center" wrapText="1"/>
    </xf>
    <xf numFmtId="0" fontId="78" fillId="0" borderId="34" xfId="107" applyFont="1" applyBorder="1" applyAlignment="1">
      <alignment horizontal="right" vertical="center" wrapText="1"/>
    </xf>
    <xf numFmtId="0" fontId="78" fillId="26" borderId="163" xfId="107" applyFont="1" applyFill="1" applyBorder="1" applyAlignment="1">
      <alignment horizontal="right" vertical="center" wrapText="1"/>
    </xf>
    <xf numFmtId="0" fontId="78" fillId="0" borderId="159" xfId="107" applyFont="1" applyBorder="1" applyAlignment="1">
      <alignment horizontal="right" vertical="center" wrapText="1"/>
    </xf>
    <xf numFmtId="0" fontId="77" fillId="0" borderId="0" xfId="124" applyFont="1" applyAlignment="1">
      <alignment horizontal="center" vertical="center"/>
    </xf>
    <xf numFmtId="0" fontId="77" fillId="0" borderId="0" xfId="124" applyFont="1">
      <alignment vertical="center"/>
    </xf>
    <xf numFmtId="49" fontId="78" fillId="0" borderId="27" xfId="119" applyNumberFormat="1" applyFont="1" applyBorder="1" applyAlignment="1">
      <alignment horizontal="center" vertical="center" wrapText="1"/>
    </xf>
    <xf numFmtId="49" fontId="78" fillId="0" borderId="144" xfId="119" applyNumberFormat="1" applyFont="1" applyBorder="1" applyAlignment="1">
      <alignment horizontal="center" vertical="center" wrapText="1"/>
    </xf>
    <xf numFmtId="0" fontId="78" fillId="0" borderId="24" xfId="124" applyFont="1" applyBorder="1">
      <alignment vertical="center"/>
    </xf>
    <xf numFmtId="0" fontId="78" fillId="0" borderId="18" xfId="119" applyFont="1" applyBorder="1" applyAlignment="1">
      <alignment horizontal="left" vertical="center" wrapText="1"/>
    </xf>
    <xf numFmtId="0" fontId="77" fillId="0" borderId="157" xfId="126" applyFont="1" applyBorder="1">
      <alignment vertical="center"/>
    </xf>
    <xf numFmtId="0" fontId="78" fillId="0" borderId="15" xfId="119" applyFont="1" applyBorder="1" applyAlignment="1">
      <alignment horizontal="right" vertical="center" wrapText="1"/>
    </xf>
    <xf numFmtId="0" fontId="78" fillId="0" borderId="27" xfId="124" applyFont="1" applyBorder="1">
      <alignment vertical="center"/>
    </xf>
    <xf numFmtId="0" fontId="78" fillId="0" borderId="18" xfId="124" applyFont="1" applyBorder="1" applyAlignment="1">
      <alignment horizontal="right" vertical="center"/>
    </xf>
    <xf numFmtId="0" fontId="78" fillId="0" borderId="15" xfId="124" applyFont="1" applyBorder="1" applyAlignment="1">
      <alignment horizontal="right" vertical="center"/>
    </xf>
    <xf numFmtId="0" fontId="78" fillId="0" borderId="33" xfId="148" applyFont="1" applyBorder="1" applyAlignment="1">
      <alignment horizontal="center" vertical="center"/>
    </xf>
    <xf numFmtId="0" fontId="78" fillId="26" borderId="148" xfId="107" applyFont="1" applyFill="1" applyBorder="1" applyAlignment="1">
      <alignment horizontal="right" vertical="center" wrapText="1"/>
    </xf>
    <xf numFmtId="0" fontId="78" fillId="0" borderId="148" xfId="107" applyFont="1" applyBorder="1" applyAlignment="1">
      <alignment horizontal="right" vertical="center" wrapText="1"/>
    </xf>
    <xf numFmtId="0" fontId="78" fillId="0" borderId="165" xfId="107" applyFont="1" applyBorder="1" applyAlignment="1">
      <alignment horizontal="right" vertical="center" wrapText="1"/>
    </xf>
    <xf numFmtId="0" fontId="78" fillId="0" borderId="72" xfId="119" applyFont="1" applyBorder="1" applyAlignment="1">
      <alignment horizontal="center" vertical="center" wrapText="1"/>
    </xf>
    <xf numFmtId="0" fontId="78" fillId="0" borderId="21" xfId="119" applyFont="1" applyBorder="1" applyAlignment="1">
      <alignment horizontal="center" vertical="center" wrapText="1"/>
    </xf>
    <xf numFmtId="49" fontId="78" fillId="0" borderId="0" xfId="119" applyNumberFormat="1" applyFont="1" applyAlignment="1">
      <alignment horizontal="center" vertical="center" wrapText="1"/>
    </xf>
    <xf numFmtId="49" fontId="78" fillId="0" borderId="14" xfId="119" applyNumberFormat="1" applyFont="1" applyBorder="1" applyAlignment="1">
      <alignment horizontal="center" vertical="center" wrapText="1"/>
    </xf>
    <xf numFmtId="49" fontId="78" fillId="0" borderId="73" xfId="119" applyNumberFormat="1" applyFont="1" applyBorder="1" applyAlignment="1">
      <alignment horizontal="center" vertical="center" wrapText="1"/>
    </xf>
    <xf numFmtId="49" fontId="78" fillId="0" borderId="163" xfId="119" applyNumberFormat="1" applyFont="1" applyBorder="1" applyAlignment="1">
      <alignment horizontal="center" vertical="center" wrapText="1"/>
    </xf>
    <xf numFmtId="0" fontId="78" fillId="0" borderId="164" xfId="124" applyFont="1" applyBorder="1">
      <alignment vertical="center"/>
    </xf>
    <xf numFmtId="0" fontId="78" fillId="0" borderId="199" xfId="124" applyFont="1" applyBorder="1">
      <alignment vertical="center"/>
    </xf>
    <xf numFmtId="0" fontId="78" fillId="0" borderId="151" xfId="119" applyFont="1" applyBorder="1" applyAlignment="1">
      <alignment vertical="center" wrapText="1"/>
    </xf>
    <xf numFmtId="0" fontId="78" fillId="0" borderId="200" xfId="119" applyFont="1" applyBorder="1" applyAlignment="1">
      <alignment vertical="center" wrapText="1"/>
    </xf>
    <xf numFmtId="180" fontId="78" fillId="0" borderId="161" xfId="119" applyNumberFormat="1" applyFont="1" applyBorder="1" applyAlignment="1">
      <alignment vertical="center" wrapText="1"/>
    </xf>
    <xf numFmtId="180" fontId="78" fillId="0" borderId="24" xfId="119" applyNumberFormat="1" applyFont="1" applyBorder="1" applyAlignment="1">
      <alignment vertical="center" wrapText="1"/>
    </xf>
    <xf numFmtId="180" fontId="78" fillId="0" borderId="55" xfId="119" applyNumberFormat="1" applyFont="1" applyBorder="1" applyAlignment="1">
      <alignment vertical="center" wrapText="1"/>
    </xf>
    <xf numFmtId="0" fontId="78" fillId="0" borderId="201" xfId="119" applyFont="1" applyBorder="1" applyAlignment="1">
      <alignment vertical="center" wrapText="1"/>
    </xf>
    <xf numFmtId="0" fontId="78" fillId="0" borderId="129" xfId="119" applyFont="1" applyBorder="1" applyAlignment="1">
      <alignment vertical="center" wrapText="1"/>
    </xf>
    <xf numFmtId="0" fontId="78" fillId="0" borderId="141" xfId="119" applyFont="1" applyBorder="1" applyAlignment="1">
      <alignment vertical="center" wrapText="1"/>
    </xf>
    <xf numFmtId="180" fontId="78" fillId="0" borderId="68" xfId="119" applyNumberFormat="1" applyFont="1" applyBorder="1" applyAlignment="1">
      <alignment vertical="center" wrapText="1"/>
    </xf>
    <xf numFmtId="180" fontId="78" fillId="0" borderId="129" xfId="119" applyNumberFormat="1" applyFont="1" applyBorder="1" applyAlignment="1">
      <alignment vertical="center" wrapText="1"/>
    </xf>
    <xf numFmtId="180" fontId="78" fillId="0" borderId="56" xfId="119" applyNumberFormat="1" applyFont="1" applyBorder="1" applyAlignment="1">
      <alignment vertical="center" wrapText="1"/>
    </xf>
    <xf numFmtId="180" fontId="78" fillId="0" borderId="18" xfId="119" applyNumberFormat="1" applyFont="1" applyBorder="1" applyAlignment="1">
      <alignment vertical="center" wrapText="1"/>
    </xf>
    <xf numFmtId="0" fontId="78" fillId="0" borderId="202" xfId="124" applyFont="1" applyBorder="1">
      <alignment vertical="center"/>
    </xf>
    <xf numFmtId="0" fontId="78" fillId="0" borderId="203" xfId="124" applyFont="1" applyBorder="1">
      <alignment vertical="center"/>
    </xf>
    <xf numFmtId="0" fontId="78" fillId="0" borderId="143" xfId="124" applyFont="1" applyBorder="1">
      <alignment vertical="center"/>
    </xf>
    <xf numFmtId="180" fontId="78" fillId="26" borderId="162" xfId="124" applyNumberFormat="1" applyFont="1" applyFill="1" applyBorder="1">
      <alignment vertical="center"/>
    </xf>
    <xf numFmtId="180" fontId="78" fillId="0" borderId="27" xfId="124" applyNumberFormat="1" applyFont="1" applyBorder="1">
      <alignment vertical="center"/>
    </xf>
    <xf numFmtId="180" fontId="78" fillId="0" borderId="28" xfId="124" applyNumberFormat="1" applyFont="1" applyBorder="1">
      <alignment vertical="center"/>
    </xf>
    <xf numFmtId="0" fontId="78" fillId="0" borderId="185" xfId="124" applyFont="1" applyBorder="1">
      <alignment vertical="center"/>
    </xf>
    <xf numFmtId="0" fontId="78" fillId="0" borderId="130" xfId="124" applyFont="1" applyBorder="1">
      <alignment vertical="center"/>
    </xf>
    <xf numFmtId="0" fontId="78" fillId="0" borderId="204" xfId="119" applyFont="1" applyBorder="1" applyAlignment="1">
      <alignment vertical="center" wrapText="1"/>
    </xf>
    <xf numFmtId="0" fontId="78" fillId="0" borderId="205" xfId="119" applyFont="1" applyBorder="1" applyAlignment="1">
      <alignment vertical="center" wrapText="1"/>
    </xf>
    <xf numFmtId="0" fontId="78" fillId="0" borderId="146" xfId="119" applyFont="1" applyBorder="1" applyAlignment="1">
      <alignment vertical="center" wrapText="1"/>
    </xf>
    <xf numFmtId="180" fontId="78" fillId="0" borderId="21" xfId="119" applyNumberFormat="1" applyFont="1" applyBorder="1" applyAlignment="1">
      <alignment vertical="center" wrapText="1"/>
    </xf>
    <xf numFmtId="180" fontId="78" fillId="0" borderId="16" xfId="119" applyNumberFormat="1" applyFont="1" applyBorder="1" applyAlignment="1">
      <alignment vertical="center" wrapText="1"/>
    </xf>
    <xf numFmtId="180" fontId="78" fillId="0" borderId="72" xfId="119" applyNumberFormat="1" applyFont="1" applyBorder="1" applyAlignment="1">
      <alignment vertical="center" wrapText="1"/>
    </xf>
    <xf numFmtId="0" fontId="78" fillId="0" borderId="66" xfId="148" applyFont="1" applyBorder="1" applyAlignment="1">
      <alignment horizontal="center" vertical="center"/>
    </xf>
    <xf numFmtId="0" fontId="78" fillId="0" borderId="142" xfId="124" applyFont="1" applyBorder="1">
      <alignment vertical="center"/>
    </xf>
    <xf numFmtId="180" fontId="78" fillId="0" borderId="162" xfId="124" applyNumberFormat="1" applyFont="1" applyBorder="1">
      <alignment vertical="center"/>
    </xf>
    <xf numFmtId="0" fontId="78" fillId="0" borderId="55" xfId="124" applyFont="1" applyBorder="1">
      <alignment vertical="center"/>
    </xf>
    <xf numFmtId="0" fontId="78" fillId="0" borderId="65" xfId="124" applyFont="1" applyBorder="1">
      <alignment vertical="center"/>
    </xf>
    <xf numFmtId="0" fontId="78" fillId="0" borderId="4" xfId="124" applyFont="1" applyBorder="1">
      <alignment vertical="center"/>
    </xf>
    <xf numFmtId="0" fontId="78" fillId="0" borderId="207" xfId="124" applyFont="1" applyBorder="1">
      <alignment vertical="center"/>
    </xf>
    <xf numFmtId="0" fontId="78" fillId="0" borderId="208" xfId="119" applyFont="1" applyBorder="1" applyAlignment="1">
      <alignment vertical="center" wrapText="1"/>
    </xf>
    <xf numFmtId="0" fontId="78" fillId="0" borderId="56" xfId="126" applyFont="1" applyBorder="1">
      <alignment vertical="center"/>
    </xf>
    <xf numFmtId="0" fontId="78" fillId="0" borderId="68" xfId="124" applyFont="1" applyBorder="1">
      <alignment vertical="center"/>
    </xf>
    <xf numFmtId="0" fontId="78" fillId="0" borderId="56" xfId="124" applyFont="1" applyBorder="1">
      <alignment vertical="center"/>
    </xf>
    <xf numFmtId="0" fontId="78" fillId="0" borderId="209" xfId="119" applyFont="1" applyBorder="1" applyAlignment="1">
      <alignment vertical="center" wrapText="1"/>
    </xf>
    <xf numFmtId="0" fontId="78" fillId="0" borderId="210" xfId="119" applyFont="1" applyBorder="1" applyAlignment="1">
      <alignment vertical="center" wrapText="1"/>
    </xf>
    <xf numFmtId="0" fontId="78" fillId="0" borderId="211" xfId="124" applyFont="1" applyBorder="1">
      <alignment vertical="center"/>
    </xf>
    <xf numFmtId="0" fontId="78" fillId="0" borderId="72" xfId="126" applyFont="1" applyBorder="1">
      <alignment vertical="center"/>
    </xf>
    <xf numFmtId="0" fontId="78" fillId="0" borderId="20" xfId="124" applyFont="1" applyBorder="1">
      <alignment vertical="center"/>
    </xf>
    <xf numFmtId="0" fontId="78" fillId="0" borderId="212" xfId="119" applyFont="1" applyBorder="1" applyAlignment="1">
      <alignment vertical="center" wrapText="1"/>
    </xf>
    <xf numFmtId="0" fontId="78" fillId="0" borderId="145" xfId="119" applyFont="1" applyBorder="1" applyAlignment="1">
      <alignment vertical="center" wrapText="1"/>
    </xf>
    <xf numFmtId="0" fontId="78" fillId="0" borderId="213" xfId="119" applyFont="1" applyBorder="1" applyAlignment="1">
      <alignment vertical="center" wrapText="1"/>
    </xf>
    <xf numFmtId="0" fontId="78" fillId="0" borderId="28" xfId="126" applyFont="1" applyBorder="1">
      <alignment vertical="center"/>
    </xf>
    <xf numFmtId="0" fontId="78" fillId="0" borderId="162" xfId="124" applyFont="1" applyBorder="1">
      <alignment vertical="center"/>
    </xf>
    <xf numFmtId="0" fontId="78" fillId="0" borderId="159" xfId="124" applyFont="1" applyBorder="1">
      <alignment vertical="center"/>
    </xf>
    <xf numFmtId="0" fontId="78" fillId="0" borderId="214" xfId="124" applyFont="1" applyBorder="1">
      <alignment vertical="center"/>
    </xf>
    <xf numFmtId="0" fontId="78" fillId="0" borderId="215" xfId="124" applyFont="1" applyBorder="1">
      <alignment vertical="center"/>
    </xf>
    <xf numFmtId="0" fontId="79" fillId="0" borderId="27" xfId="0" applyFont="1" applyBorder="1"/>
    <xf numFmtId="180" fontId="78" fillId="0" borderId="71" xfId="124" applyNumberFormat="1" applyFont="1" applyBorder="1">
      <alignment vertical="center"/>
    </xf>
    <xf numFmtId="0" fontId="78" fillId="0" borderId="163" xfId="124" applyFont="1" applyBorder="1">
      <alignment vertical="center"/>
    </xf>
    <xf numFmtId="0" fontId="78" fillId="0" borderId="71" xfId="124" applyFont="1" applyBorder="1">
      <alignment vertical="center"/>
    </xf>
    <xf numFmtId="0" fontId="78" fillId="0" borderId="34" xfId="124" applyFont="1" applyBorder="1">
      <alignment vertical="center"/>
    </xf>
    <xf numFmtId="0" fontId="78" fillId="0" borderId="33" xfId="124" applyFont="1" applyBorder="1">
      <alignment vertical="center"/>
    </xf>
    <xf numFmtId="0" fontId="78" fillId="0" borderId="216" xfId="124" applyFont="1" applyBorder="1">
      <alignment vertical="center"/>
    </xf>
    <xf numFmtId="180" fontId="78" fillId="0" borderId="15" xfId="124" applyNumberFormat="1" applyFont="1" applyBorder="1">
      <alignment vertical="center"/>
    </xf>
    <xf numFmtId="180" fontId="78" fillId="0" borderId="65" xfId="119" applyNumberFormat="1" applyFont="1" applyBorder="1" applyAlignment="1">
      <alignment vertical="center" wrapText="1"/>
    </xf>
    <xf numFmtId="180" fontId="78" fillId="0" borderId="15" xfId="119" applyNumberFormat="1" applyFont="1" applyBorder="1" applyAlignment="1">
      <alignment vertical="center" wrapText="1"/>
    </xf>
    <xf numFmtId="180" fontId="78" fillId="0" borderId="74" xfId="119" applyNumberFormat="1" applyFont="1" applyBorder="1" applyAlignment="1">
      <alignment vertical="center" wrapText="1"/>
    </xf>
    <xf numFmtId="180" fontId="78" fillId="0" borderId="22" xfId="119" applyNumberFormat="1" applyFont="1" applyBorder="1" applyAlignment="1">
      <alignment vertical="center" wrapText="1"/>
    </xf>
    <xf numFmtId="0" fontId="78" fillId="0" borderId="68" xfId="0" applyFont="1" applyBorder="1"/>
    <xf numFmtId="180" fontId="78" fillId="0" borderId="56" xfId="124" applyNumberFormat="1" applyFont="1" applyBorder="1">
      <alignment vertical="center"/>
    </xf>
    <xf numFmtId="0" fontId="78" fillId="0" borderId="21" xfId="0" applyFont="1" applyBorder="1"/>
    <xf numFmtId="0" fontId="78" fillId="0" borderId="162" xfId="0" applyFont="1" applyBorder="1"/>
    <xf numFmtId="180" fontId="78" fillId="0" borderId="0" xfId="0" applyNumberFormat="1" applyFont="1"/>
    <xf numFmtId="180" fontId="78" fillId="0" borderId="34" xfId="107" applyNumberFormat="1" applyFont="1" applyBorder="1" applyAlignment="1">
      <alignment vertical="center" wrapText="1"/>
    </xf>
    <xf numFmtId="180" fontId="78" fillId="0" borderId="159" xfId="107" applyNumberFormat="1" applyFont="1" applyBorder="1" applyAlignment="1">
      <alignment vertical="center" wrapText="1"/>
    </xf>
    <xf numFmtId="180" fontId="78" fillId="26" borderId="163" xfId="107" applyNumberFormat="1" applyFont="1" applyFill="1" applyBorder="1" applyAlignment="1">
      <alignment vertical="center" wrapText="1"/>
    </xf>
    <xf numFmtId="0" fontId="102" fillId="0" borderId="0" xfId="107" applyFont="1" applyAlignment="1">
      <alignment vertical="center"/>
    </xf>
    <xf numFmtId="0" fontId="102" fillId="0" borderId="16" xfId="107" applyFont="1" applyBorder="1" applyAlignment="1">
      <alignment horizontal="center" vertical="center"/>
    </xf>
    <xf numFmtId="0" fontId="102" fillId="0" borderId="16" xfId="107" applyFont="1" applyBorder="1" applyAlignment="1">
      <alignment horizontal="center" vertical="center" wrapText="1"/>
    </xf>
    <xf numFmtId="49" fontId="78" fillId="0" borderId="15" xfId="107" applyNumberFormat="1" applyFont="1" applyBorder="1" applyAlignment="1">
      <alignment horizontal="center" vertical="center" wrapText="1"/>
    </xf>
    <xf numFmtId="49" fontId="78" fillId="0" borderId="15" xfId="107" applyNumberFormat="1" applyFont="1" applyBorder="1" applyAlignment="1">
      <alignment horizontal="center" vertical="center"/>
    </xf>
    <xf numFmtId="0" fontId="78" fillId="0" borderId="18" xfId="107" quotePrefix="1" applyFont="1" applyBorder="1" applyAlignment="1">
      <alignment horizontal="right" vertical="center"/>
    </xf>
    <xf numFmtId="0" fontId="78" fillId="0" borderId="0" xfId="162" applyFont="1" applyAlignment="1">
      <alignment horizontal="left"/>
    </xf>
    <xf numFmtId="0" fontId="78" fillId="0" borderId="0" xfId="107" applyFont="1" applyAlignment="1">
      <alignment horizontal="left"/>
    </xf>
    <xf numFmtId="0" fontId="78" fillId="0" borderId="0" xfId="119" applyFont="1"/>
    <xf numFmtId="0" fontId="78" fillId="0" borderId="0" xfId="126" applyFont="1">
      <alignment vertical="center"/>
    </xf>
    <xf numFmtId="0" fontId="78" fillId="0" borderId="65" xfId="107" applyFont="1" applyBorder="1" applyAlignment="1">
      <alignment horizontal="center" vertical="center"/>
    </xf>
    <xf numFmtId="205" fontId="78" fillId="0" borderId="24" xfId="126" applyNumberFormat="1" applyFont="1" applyBorder="1" applyAlignment="1">
      <alignment horizontal="center"/>
    </xf>
    <xf numFmtId="205" fontId="78" fillId="0" borderId="24" xfId="126" applyNumberFormat="1" applyFont="1" applyBorder="1" applyAlignment="1"/>
    <xf numFmtId="205" fontId="78" fillId="0" borderId="24" xfId="107" applyNumberFormat="1" applyFont="1" applyBorder="1" applyAlignment="1">
      <alignment vertical="center" wrapText="1"/>
    </xf>
    <xf numFmtId="205" fontId="78" fillId="0" borderId="24" xfId="119" applyNumberFormat="1" applyFont="1" applyBorder="1" applyAlignment="1">
      <alignment vertical="center" wrapText="1"/>
    </xf>
    <xf numFmtId="205" fontId="78" fillId="0" borderId="161" xfId="119" applyNumberFormat="1" applyFont="1" applyBorder="1" applyAlignment="1">
      <alignment vertical="center" wrapText="1"/>
    </xf>
    <xf numFmtId="205" fontId="78" fillId="0" borderId="24" xfId="195" applyNumberFormat="1" applyFont="1" applyFill="1" applyBorder="1" applyAlignment="1">
      <alignment vertical="center" wrapText="1"/>
    </xf>
    <xf numFmtId="205" fontId="78" fillId="0" borderId="55" xfId="119" applyNumberFormat="1" applyFont="1" applyBorder="1" applyAlignment="1">
      <alignment vertical="center" wrapText="1"/>
    </xf>
    <xf numFmtId="0" fontId="78" fillId="0" borderId="57" xfId="107" applyFont="1" applyBorder="1" applyAlignment="1">
      <alignment horizontal="center" vertical="center"/>
    </xf>
    <xf numFmtId="205" fontId="78" fillId="0" borderId="18" xfId="126" applyNumberFormat="1" applyFont="1" applyBorder="1" applyAlignment="1"/>
    <xf numFmtId="205" fontId="78" fillId="0" borderId="18" xfId="107" applyNumberFormat="1" applyFont="1" applyBorder="1" applyAlignment="1">
      <alignment vertical="center" wrapText="1"/>
    </xf>
    <xf numFmtId="205" fontId="78" fillId="0" borderId="18" xfId="119" applyNumberFormat="1" applyFont="1" applyBorder="1" applyAlignment="1">
      <alignment vertical="center" wrapText="1"/>
    </xf>
    <xf numFmtId="205" fontId="78" fillId="0" borderId="68" xfId="119" applyNumberFormat="1" applyFont="1" applyBorder="1" applyAlignment="1">
      <alignment vertical="center" wrapText="1"/>
    </xf>
    <xf numFmtId="205" fontId="78" fillId="0" borderId="18" xfId="195" applyNumberFormat="1" applyFont="1" applyFill="1" applyBorder="1" applyAlignment="1">
      <alignment vertical="center" wrapText="1"/>
    </xf>
    <xf numFmtId="205" fontId="78" fillId="0" borderId="56" xfId="119" applyNumberFormat="1" applyFont="1" applyBorder="1" applyAlignment="1">
      <alignment vertical="center" wrapText="1"/>
    </xf>
    <xf numFmtId="0" fontId="78" fillId="0" borderId="16" xfId="126" applyFont="1" applyBorder="1" applyAlignment="1">
      <alignment horizontal="center" vertical="center" wrapText="1"/>
    </xf>
    <xf numFmtId="205" fontId="78" fillId="0" borderId="129" xfId="126" applyNumberFormat="1" applyFont="1" applyBorder="1" applyAlignment="1"/>
    <xf numFmtId="205" fontId="78" fillId="0" borderId="129" xfId="107" applyNumberFormat="1" applyFont="1" applyBorder="1" applyAlignment="1">
      <alignment vertical="center" wrapText="1"/>
    </xf>
    <xf numFmtId="205" fontId="78" fillId="0" borderId="129" xfId="119" applyNumberFormat="1" applyFont="1" applyBorder="1" applyAlignment="1">
      <alignment vertical="center" wrapText="1"/>
    </xf>
    <xf numFmtId="205" fontId="78" fillId="0" borderId="129" xfId="195" applyNumberFormat="1" applyFont="1" applyFill="1" applyBorder="1" applyAlignment="1">
      <alignment vertical="center" wrapText="1"/>
    </xf>
    <xf numFmtId="0" fontId="78" fillId="0" borderId="27" xfId="126" applyFont="1" applyBorder="1" applyAlignment="1">
      <alignment horizontal="center" vertical="center" wrapText="1"/>
    </xf>
    <xf numFmtId="205" fontId="78" fillId="0" borderId="142" xfId="126" applyNumberFormat="1" applyFont="1" applyBorder="1" applyAlignment="1"/>
    <xf numFmtId="205" fontId="78" fillId="0" borderId="27" xfId="119" applyNumberFormat="1" applyFont="1" applyBorder="1" applyAlignment="1">
      <alignment vertical="center" wrapText="1"/>
    </xf>
    <xf numFmtId="205" fontId="78" fillId="0" borderId="142" xfId="119" applyNumberFormat="1" applyFont="1" applyBorder="1" applyAlignment="1">
      <alignment vertical="center" wrapText="1"/>
    </xf>
    <xf numFmtId="205" fontId="78" fillId="0" borderId="162" xfId="119" applyNumberFormat="1" applyFont="1" applyBorder="1" applyAlignment="1">
      <alignment vertical="center" wrapText="1"/>
    </xf>
    <xf numFmtId="205" fontId="78" fillId="0" borderId="28" xfId="119" applyNumberFormat="1" applyFont="1" applyBorder="1" applyAlignment="1">
      <alignment vertical="center" wrapText="1"/>
    </xf>
    <xf numFmtId="0" fontId="78" fillId="0" borderId="18" xfId="126" applyFont="1" applyBorder="1" applyAlignment="1">
      <alignment horizontal="center" vertical="center" wrapText="1"/>
    </xf>
    <xf numFmtId="205" fontId="78" fillId="0" borderId="18" xfId="126" applyNumberFormat="1" applyFont="1" applyBorder="1">
      <alignment vertical="center"/>
    </xf>
    <xf numFmtId="205" fontId="78" fillId="0" borderId="24" xfId="126" applyNumberFormat="1" applyFont="1" applyBorder="1">
      <alignment vertical="center"/>
    </xf>
    <xf numFmtId="0" fontId="78" fillId="0" borderId="144" xfId="107" applyFont="1" applyBorder="1" applyAlignment="1">
      <alignment horizontal="center" vertical="center"/>
    </xf>
    <xf numFmtId="205" fontId="78" fillId="0" borderId="145" xfId="126" applyNumberFormat="1" applyFont="1" applyBorder="1" applyAlignment="1"/>
    <xf numFmtId="205" fontId="78" fillId="0" borderId="145" xfId="107" applyNumberFormat="1" applyFont="1" applyBorder="1" applyAlignment="1">
      <alignment vertical="center" wrapText="1"/>
    </xf>
    <xf numFmtId="205" fontId="78" fillId="0" borderId="145" xfId="119" applyNumberFormat="1" applyFont="1" applyBorder="1" applyAlignment="1">
      <alignment vertical="center" wrapText="1"/>
    </xf>
    <xf numFmtId="205" fontId="78" fillId="0" borderId="16" xfId="119" applyNumberFormat="1" applyFont="1" applyBorder="1" applyAlignment="1">
      <alignment vertical="center" wrapText="1"/>
    </xf>
    <xf numFmtId="205" fontId="78" fillId="0" borderId="72" xfId="119" applyNumberFormat="1" applyFont="1" applyBorder="1" applyAlignment="1">
      <alignment vertical="center" wrapText="1"/>
    </xf>
    <xf numFmtId="0" fontId="78" fillId="0" borderId="147" xfId="107" applyFont="1" applyBorder="1" applyAlignment="1">
      <alignment horizontal="center" vertical="center"/>
    </xf>
    <xf numFmtId="205" fontId="78" fillId="0" borderId="149" xfId="126" applyNumberFormat="1" applyFont="1" applyBorder="1" applyAlignment="1"/>
    <xf numFmtId="205" fontId="78" fillId="0" borderId="149" xfId="107" applyNumberFormat="1" applyFont="1" applyBorder="1" applyAlignment="1">
      <alignment vertical="center" wrapText="1"/>
    </xf>
    <xf numFmtId="205" fontId="78" fillId="0" borderId="149" xfId="119" applyNumberFormat="1" applyFont="1" applyBorder="1" applyAlignment="1">
      <alignment vertical="center" wrapText="1"/>
    </xf>
    <xf numFmtId="205" fontId="78" fillId="0" borderId="148" xfId="119" applyNumberFormat="1" applyFont="1" applyBorder="1" applyAlignment="1">
      <alignment vertical="center" wrapText="1"/>
    </xf>
    <xf numFmtId="205" fontId="78" fillId="0" borderId="149" xfId="195" applyNumberFormat="1" applyFont="1" applyFill="1" applyBorder="1" applyAlignment="1">
      <alignment vertical="center" wrapText="1"/>
    </xf>
    <xf numFmtId="205" fontId="78" fillId="0" borderId="154" xfId="119" applyNumberFormat="1" applyFont="1" applyBorder="1" applyAlignment="1">
      <alignment vertical="center" wrapText="1"/>
    </xf>
    <xf numFmtId="205" fontId="78" fillId="0" borderId="151" xfId="126" applyNumberFormat="1" applyFont="1" applyBorder="1">
      <alignment vertical="center"/>
    </xf>
    <xf numFmtId="205" fontId="78" fillId="0" borderId="151" xfId="195" applyNumberFormat="1" applyFont="1" applyFill="1" applyBorder="1" applyAlignment="1">
      <alignment vertical="center" wrapText="1"/>
    </xf>
    <xf numFmtId="0" fontId="78" fillId="0" borderId="18" xfId="126" applyFont="1" applyBorder="1" applyAlignment="1">
      <alignment vertical="center" wrapText="1"/>
    </xf>
    <xf numFmtId="0" fontId="78" fillId="0" borderId="34" xfId="126" applyFont="1" applyBorder="1" applyAlignment="1">
      <alignment vertical="center" wrapText="1"/>
    </xf>
    <xf numFmtId="205" fontId="78" fillId="0" borderId="142" xfId="195" applyNumberFormat="1" applyFont="1" applyFill="1" applyBorder="1" applyAlignment="1">
      <alignment vertical="center" wrapText="1"/>
    </xf>
    <xf numFmtId="205" fontId="78" fillId="0" borderId="151" xfId="119" applyNumberFormat="1" applyFont="1" applyBorder="1" applyAlignment="1">
      <alignment vertical="center" wrapText="1"/>
    </xf>
    <xf numFmtId="205" fontId="78" fillId="0" borderId="129" xfId="126" applyNumberFormat="1" applyFont="1" applyBorder="1">
      <alignment vertical="center"/>
    </xf>
    <xf numFmtId="0" fontId="78" fillId="0" borderId="14" xfId="126" applyFont="1" applyBorder="1" applyAlignment="1">
      <alignment vertical="center" wrapText="1"/>
    </xf>
    <xf numFmtId="205" fontId="78" fillId="0" borderId="15" xfId="119" applyNumberFormat="1" applyFont="1" applyBorder="1" applyAlignment="1">
      <alignment vertical="center" wrapText="1"/>
    </xf>
    <xf numFmtId="0" fontId="78" fillId="0" borderId="15" xfId="126" applyFont="1" applyBorder="1" applyAlignment="1">
      <alignment vertical="center" wrapText="1"/>
    </xf>
    <xf numFmtId="0" fontId="78" fillId="0" borderId="14" xfId="126" applyFont="1" applyBorder="1" applyAlignment="1">
      <alignment horizontal="center" vertical="center" wrapText="1"/>
    </xf>
    <xf numFmtId="205" fontId="78" fillId="0" borderId="145" xfId="126" applyNumberFormat="1" applyFont="1" applyBorder="1">
      <alignment vertical="center"/>
    </xf>
    <xf numFmtId="205" fontId="78" fillId="0" borderId="145" xfId="195" applyNumberFormat="1" applyFont="1" applyFill="1" applyBorder="1" applyAlignment="1">
      <alignment vertical="center" wrapText="1"/>
    </xf>
    <xf numFmtId="205" fontId="78" fillId="0" borderId="148" xfId="195" applyNumberFormat="1" applyFont="1" applyFill="1" applyBorder="1" applyAlignment="1">
      <alignment vertical="center" wrapText="1"/>
    </xf>
    <xf numFmtId="205" fontId="78" fillId="0" borderId="149" xfId="126" applyNumberFormat="1" applyFont="1" applyBorder="1">
      <alignment vertical="center"/>
    </xf>
    <xf numFmtId="0" fontId="78" fillId="0" borderId="34" xfId="107" applyFont="1" applyBorder="1" applyAlignment="1">
      <alignment horizontal="center" vertical="center"/>
    </xf>
    <xf numFmtId="205" fontId="78" fillId="0" borderId="152" xfId="126" applyNumberFormat="1" applyFont="1" applyBorder="1" applyAlignment="1"/>
    <xf numFmtId="205" fontId="78" fillId="0" borderId="152" xfId="107" applyNumberFormat="1" applyFont="1" applyBorder="1" applyAlignment="1">
      <alignment vertical="center" wrapText="1"/>
    </xf>
    <xf numFmtId="205" fontId="78" fillId="0" borderId="152" xfId="119" applyNumberFormat="1" applyFont="1" applyBorder="1" applyAlignment="1">
      <alignment vertical="center" wrapText="1"/>
    </xf>
    <xf numFmtId="205" fontId="78" fillId="0" borderId="34" xfId="195" applyNumberFormat="1" applyFont="1" applyFill="1" applyBorder="1" applyAlignment="1">
      <alignment vertical="center" wrapText="1"/>
    </xf>
    <xf numFmtId="205" fontId="78" fillId="0" borderId="152" xfId="126" applyNumberFormat="1" applyFont="1" applyBorder="1">
      <alignment vertical="center"/>
    </xf>
    <xf numFmtId="205" fontId="78" fillId="0" borderId="152" xfId="195" applyNumberFormat="1" applyFont="1" applyFill="1" applyBorder="1" applyAlignment="1">
      <alignment vertical="center" wrapText="1"/>
    </xf>
    <xf numFmtId="205" fontId="78" fillId="0" borderId="159" xfId="119" applyNumberFormat="1" applyFont="1" applyBorder="1" applyAlignment="1">
      <alignment vertical="center" wrapText="1"/>
    </xf>
    <xf numFmtId="49" fontId="78" fillId="0" borderId="0" xfId="107" applyNumberFormat="1" applyFont="1" applyAlignment="1">
      <alignment horizontal="center" vertical="center"/>
    </xf>
    <xf numFmtId="0" fontId="78" fillId="0" borderId="0" xfId="119" applyFont="1" applyAlignment="1" applyProtection="1">
      <alignment horizontal="left" vertical="center"/>
      <protection locked="0"/>
    </xf>
    <xf numFmtId="0" fontId="78" fillId="0" borderId="0" xfId="119" applyFont="1" applyAlignment="1" applyProtection="1">
      <alignment horizontal="center" vertical="center" wrapText="1"/>
      <protection locked="0"/>
    </xf>
    <xf numFmtId="0" fontId="78" fillId="0" borderId="0" xfId="119" applyFont="1" applyAlignment="1">
      <alignment horizontal="center" vertical="center" wrapText="1"/>
    </xf>
    <xf numFmtId="0" fontId="78" fillId="0" borderId="0" xfId="119" applyFont="1" applyAlignment="1">
      <alignment horizontal="left" vertical="center"/>
    </xf>
    <xf numFmtId="0" fontId="78" fillId="0" borderId="0" xfId="119" applyFont="1" applyAlignment="1">
      <alignment horizontal="left" vertical="center" wrapText="1"/>
    </xf>
    <xf numFmtId="0" fontId="78" fillId="0" borderId="0" xfId="126" applyFont="1" applyAlignment="1">
      <alignment horizontal="left"/>
    </xf>
    <xf numFmtId="43" fontId="78" fillId="0" borderId="0" xfId="195" applyFont="1" applyFill="1" applyAlignment="1"/>
    <xf numFmtId="0" fontId="78" fillId="0" borderId="24" xfId="119" applyFont="1" applyBorder="1" applyAlignment="1">
      <alignment horizontal="center" vertical="center" wrapText="1"/>
    </xf>
    <xf numFmtId="205" fontId="78" fillId="0" borderId="24" xfId="107" applyNumberFormat="1" applyFont="1" applyBorder="1" applyAlignment="1">
      <alignment horizontal="right" vertical="center" wrapText="1"/>
    </xf>
    <xf numFmtId="205" fontId="78" fillId="0" borderId="24" xfId="119" applyNumberFormat="1" applyFont="1" applyBorder="1" applyAlignment="1">
      <alignment horizontal="right" vertical="center" wrapText="1"/>
    </xf>
    <xf numFmtId="205" fontId="78" fillId="0" borderId="24" xfId="195" applyNumberFormat="1" applyFont="1" applyFill="1" applyBorder="1" applyAlignment="1">
      <alignment horizontal="right" vertical="center" wrapText="1"/>
    </xf>
    <xf numFmtId="0" fontId="78" fillId="0" borderId="24" xfId="126" applyFont="1" applyBorder="1" applyAlignment="1">
      <alignment horizontal="right" vertical="center"/>
    </xf>
    <xf numFmtId="0" fontId="78" fillId="0" borderId="55" xfId="126" applyFont="1" applyBorder="1" applyAlignment="1">
      <alignment horizontal="right" vertical="center"/>
    </xf>
    <xf numFmtId="205" fontId="78" fillId="0" borderId="18" xfId="126" applyNumberFormat="1" applyFont="1" applyBorder="1" applyAlignment="1">
      <alignment horizontal="right"/>
    </xf>
    <xf numFmtId="205" fontId="78" fillId="0" borderId="18" xfId="107" applyNumberFormat="1" applyFont="1" applyBorder="1" applyAlignment="1">
      <alignment horizontal="right" vertical="center" wrapText="1"/>
    </xf>
    <xf numFmtId="205" fontId="78" fillId="0" borderId="18" xfId="119" applyNumberFormat="1" applyFont="1" applyBorder="1" applyAlignment="1">
      <alignment horizontal="right" vertical="center" wrapText="1"/>
    </xf>
    <xf numFmtId="205" fontId="78" fillId="0" borderId="18" xfId="195" applyNumberFormat="1" applyFont="1" applyFill="1" applyBorder="1" applyAlignment="1">
      <alignment horizontal="right" vertical="center" wrapText="1"/>
    </xf>
    <xf numFmtId="0" fontId="78" fillId="0" borderId="18" xfId="126" applyFont="1" applyBorder="1" applyAlignment="1">
      <alignment horizontal="right" vertical="center"/>
    </xf>
    <xf numFmtId="0" fontId="78" fillId="0" borderId="56" xfId="126" applyFont="1" applyBorder="1" applyAlignment="1">
      <alignment horizontal="right" vertical="center"/>
    </xf>
    <xf numFmtId="205" fontId="78" fillId="0" borderId="129" xfId="126" applyNumberFormat="1" applyFont="1" applyBorder="1" applyAlignment="1">
      <alignment horizontal="right"/>
    </xf>
    <xf numFmtId="205" fontId="78" fillId="0" borderId="129" xfId="107" applyNumberFormat="1" applyFont="1" applyBorder="1" applyAlignment="1">
      <alignment horizontal="right" vertical="center" wrapText="1"/>
    </xf>
    <xf numFmtId="205" fontId="78" fillId="0" borderId="129" xfId="119" applyNumberFormat="1" applyFont="1" applyBorder="1" applyAlignment="1">
      <alignment horizontal="right" vertical="center" wrapText="1"/>
    </xf>
    <xf numFmtId="0" fontId="78" fillId="0" borderId="141" xfId="126" applyFont="1" applyBorder="1" applyAlignment="1">
      <alignment horizontal="right" vertical="center"/>
    </xf>
    <xf numFmtId="205" fontId="78" fillId="0" borderId="142" xfId="126" applyNumberFormat="1" applyFont="1" applyBorder="1" applyAlignment="1">
      <alignment horizontal="right"/>
    </xf>
    <xf numFmtId="205" fontId="78" fillId="0" borderId="142" xfId="119" applyNumberFormat="1" applyFont="1" applyBorder="1" applyAlignment="1">
      <alignment horizontal="right" vertical="center" wrapText="1"/>
    </xf>
    <xf numFmtId="205" fontId="78" fillId="0" borderId="27" xfId="119" applyNumberFormat="1" applyFont="1" applyBorder="1" applyAlignment="1">
      <alignment horizontal="right" vertical="center" wrapText="1"/>
    </xf>
    <xf numFmtId="205" fontId="78" fillId="0" borderId="24" xfId="126" applyNumberFormat="1" applyFont="1" applyBorder="1" applyAlignment="1">
      <alignment horizontal="right"/>
    </xf>
    <xf numFmtId="0" fontId="78" fillId="0" borderId="74" xfId="126" applyFont="1" applyBorder="1" applyAlignment="1">
      <alignment horizontal="right" vertical="center"/>
    </xf>
    <xf numFmtId="205" fontId="78" fillId="0" borderId="18" xfId="126" applyNumberFormat="1" applyFont="1" applyBorder="1" applyAlignment="1">
      <alignment horizontal="right" vertical="center"/>
    </xf>
    <xf numFmtId="205" fontId="78" fillId="0" borderId="24" xfId="126" applyNumberFormat="1" applyFont="1" applyBorder="1" applyAlignment="1">
      <alignment horizontal="right" vertical="center"/>
    </xf>
    <xf numFmtId="205" fontId="78" fillId="0" borderId="142" xfId="107" applyNumberFormat="1" applyFont="1" applyBorder="1" applyAlignment="1">
      <alignment horizontal="right" vertical="center" wrapText="1"/>
    </xf>
    <xf numFmtId="0" fontId="78" fillId="0" borderId="58" xfId="107" applyFont="1" applyBorder="1" applyAlignment="1">
      <alignment horizontal="center" vertical="center"/>
    </xf>
    <xf numFmtId="0" fontId="78" fillId="0" borderId="34" xfId="126" applyFont="1" applyBorder="1">
      <alignment vertical="center"/>
    </xf>
    <xf numFmtId="205" fontId="78" fillId="0" borderId="152" xfId="126" applyNumberFormat="1" applyFont="1" applyBorder="1" applyAlignment="1">
      <alignment horizontal="right"/>
    </xf>
    <xf numFmtId="205" fontId="78" fillId="0" borderId="152" xfId="107" applyNumberFormat="1" applyFont="1" applyBorder="1" applyAlignment="1">
      <alignment horizontal="right" vertical="center" wrapText="1"/>
    </xf>
    <xf numFmtId="205" fontId="78" fillId="0" borderId="152" xfId="119" applyNumberFormat="1" applyFont="1" applyBorder="1" applyAlignment="1">
      <alignment horizontal="right" vertical="center" wrapText="1"/>
    </xf>
    <xf numFmtId="205" fontId="78" fillId="0" borderId="34" xfId="119" applyNumberFormat="1" applyFont="1" applyBorder="1" applyAlignment="1">
      <alignment horizontal="right" vertical="center" wrapText="1"/>
    </xf>
    <xf numFmtId="0" fontId="78" fillId="0" borderId="34" xfId="126" applyFont="1" applyBorder="1" applyAlignment="1">
      <alignment horizontal="right" vertical="center"/>
    </xf>
    <xf numFmtId="0" fontId="78" fillId="0" borderId="159" xfId="126" applyFont="1" applyBorder="1" applyAlignment="1">
      <alignment horizontal="right" vertical="center"/>
    </xf>
    <xf numFmtId="0" fontId="78" fillId="0" borderId="155" xfId="107" applyFont="1" applyBorder="1" applyAlignment="1">
      <alignment horizontal="center" vertical="center"/>
    </xf>
    <xf numFmtId="205" fontId="78" fillId="0" borderId="151" xfId="126" applyNumberFormat="1" applyFont="1" applyBorder="1" applyAlignment="1">
      <alignment horizontal="right" vertical="center"/>
    </xf>
    <xf numFmtId="205" fontId="78" fillId="0" borderId="151" xfId="195" applyNumberFormat="1" applyFont="1" applyFill="1" applyBorder="1" applyAlignment="1">
      <alignment horizontal="right" vertical="center" wrapText="1"/>
    </xf>
    <xf numFmtId="0" fontId="78" fillId="0" borderId="156" xfId="107" applyFont="1" applyBorder="1" applyAlignment="1">
      <alignment horizontal="center" vertical="center"/>
    </xf>
    <xf numFmtId="205" fontId="78" fillId="0" borderId="129" xfId="195" applyNumberFormat="1" applyFont="1" applyFill="1" applyBorder="1" applyAlignment="1">
      <alignment horizontal="right" vertical="center" wrapText="1"/>
    </xf>
    <xf numFmtId="0" fontId="78" fillId="0" borderId="27" xfId="126" applyFont="1" applyBorder="1" applyAlignment="1">
      <alignment vertical="center" wrapText="1"/>
    </xf>
    <xf numFmtId="205" fontId="78" fillId="0" borderId="142" xfId="195" applyNumberFormat="1" applyFont="1" applyFill="1" applyBorder="1" applyAlignment="1">
      <alignment horizontal="right" vertical="center" wrapText="1"/>
    </xf>
    <xf numFmtId="205" fontId="78" fillId="0" borderId="151" xfId="119" applyNumberFormat="1" applyFont="1" applyBorder="1" applyAlignment="1">
      <alignment horizontal="right" vertical="center" wrapText="1"/>
    </xf>
    <xf numFmtId="205" fontId="78" fillId="0" borderId="129" xfId="126" applyNumberFormat="1" applyFont="1" applyBorder="1" applyAlignment="1">
      <alignment horizontal="right" vertical="center"/>
    </xf>
    <xf numFmtId="205" fontId="78" fillId="0" borderId="142" xfId="126" applyNumberFormat="1" applyFont="1" applyBorder="1" applyAlignment="1">
      <alignment horizontal="right" vertical="center"/>
    </xf>
    <xf numFmtId="0" fontId="78" fillId="0" borderId="160" xfId="107" applyFont="1" applyBorder="1" applyAlignment="1">
      <alignment horizontal="center" vertical="center"/>
    </xf>
    <xf numFmtId="205" fontId="78" fillId="0" borderId="34" xfId="195" applyNumberFormat="1" applyFont="1" applyFill="1" applyBorder="1" applyAlignment="1">
      <alignment horizontal="right" vertical="center" wrapText="1"/>
    </xf>
    <xf numFmtId="205" fontId="78" fillId="0" borderId="152" xfId="126" applyNumberFormat="1" applyFont="1" applyBorder="1" applyAlignment="1">
      <alignment horizontal="right" vertical="center"/>
    </xf>
    <xf numFmtId="205" fontId="78" fillId="0" borderId="152" xfId="195" applyNumberFormat="1" applyFont="1" applyFill="1" applyBorder="1" applyAlignment="1">
      <alignment horizontal="right" vertical="center" wrapText="1"/>
    </xf>
    <xf numFmtId="0" fontId="78" fillId="0" borderId="33" xfId="107" applyFont="1" applyBorder="1" applyAlignment="1">
      <alignment horizontal="center" vertical="center"/>
    </xf>
    <xf numFmtId="205" fontId="78" fillId="0" borderId="157" xfId="119" applyNumberFormat="1" applyFont="1" applyBorder="1" applyAlignment="1">
      <alignment horizontal="right" vertical="center" wrapText="1"/>
    </xf>
    <xf numFmtId="49" fontId="112" fillId="0" borderId="27" xfId="119" applyNumberFormat="1" applyFont="1" applyBorder="1" applyAlignment="1">
      <alignment horizontal="center" vertical="center" wrapText="1"/>
    </xf>
    <xf numFmtId="0" fontId="112" fillId="0" borderId="56" xfId="126" applyFont="1" applyBorder="1" applyAlignment="1">
      <alignment horizontal="center" vertical="center"/>
    </xf>
    <xf numFmtId="205" fontId="112" fillId="0" borderId="157" xfId="195" applyNumberFormat="1" applyFont="1" applyFill="1" applyBorder="1" applyAlignment="1">
      <alignment vertical="center" wrapText="1"/>
    </xf>
    <xf numFmtId="205" fontId="112" fillId="0" borderId="129" xfId="195" applyNumberFormat="1" applyFont="1" applyFill="1" applyBorder="1" applyAlignment="1">
      <alignment vertical="center" wrapText="1"/>
    </xf>
    <xf numFmtId="205" fontId="78" fillId="0" borderId="141" xfId="119" applyNumberFormat="1" applyFont="1" applyBorder="1" applyAlignment="1">
      <alignment horizontal="right" vertical="center" wrapText="1"/>
    </xf>
    <xf numFmtId="205" fontId="112" fillId="0" borderId="142" xfId="119" applyNumberFormat="1" applyFont="1" applyBorder="1" applyAlignment="1">
      <alignment vertical="center" wrapText="1"/>
    </xf>
    <xf numFmtId="0" fontId="112" fillId="0" borderId="57" xfId="107" applyFont="1" applyBorder="1" applyAlignment="1">
      <alignment horizontal="center" vertical="center"/>
    </xf>
    <xf numFmtId="205" fontId="112" fillId="0" borderId="24" xfId="126" applyNumberFormat="1" applyFont="1" applyBorder="1" applyAlignment="1">
      <alignment horizontal="right"/>
    </xf>
    <xf numFmtId="205" fontId="112" fillId="0" borderId="24" xfId="107" applyNumberFormat="1" applyFont="1" applyBorder="1" applyAlignment="1">
      <alignment horizontal="right" vertical="center" wrapText="1"/>
    </xf>
    <xf numFmtId="205" fontId="112" fillId="0" borderId="24" xfId="119" applyNumberFormat="1" applyFont="1" applyBorder="1" applyAlignment="1">
      <alignment horizontal="left" vertical="center" wrapText="1"/>
    </xf>
    <xf numFmtId="205" fontId="112" fillId="0" borderId="24" xfId="119" applyNumberFormat="1" applyFont="1" applyBorder="1" applyAlignment="1">
      <alignment horizontal="right" vertical="center" wrapText="1"/>
    </xf>
    <xf numFmtId="205" fontId="112" fillId="0" borderId="24" xfId="195"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112" fillId="0" borderId="18" xfId="126" applyNumberFormat="1" applyFont="1" applyBorder="1" applyAlignment="1">
      <alignment horizontal="right"/>
    </xf>
    <xf numFmtId="205" fontId="112" fillId="0" borderId="18" xfId="107" applyNumberFormat="1" applyFont="1" applyBorder="1" applyAlignment="1">
      <alignment horizontal="right" vertical="center" wrapText="1"/>
    </xf>
    <xf numFmtId="205" fontId="112" fillId="0" borderId="18" xfId="119" applyNumberFormat="1" applyFont="1" applyBorder="1" applyAlignment="1">
      <alignment horizontal="left" vertical="center" wrapText="1"/>
    </xf>
    <xf numFmtId="205" fontId="112" fillId="0" borderId="18" xfId="119" applyNumberFormat="1" applyFont="1" applyBorder="1" applyAlignment="1">
      <alignment horizontal="right" vertical="center" wrapText="1"/>
    </xf>
    <xf numFmtId="205" fontId="112" fillId="0" borderId="18" xfId="195"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0" fontId="77" fillId="0" borderId="18" xfId="126" applyFont="1" applyBorder="1" applyAlignment="1">
      <alignment horizontal="center" vertical="center" wrapText="1"/>
    </xf>
    <xf numFmtId="205" fontId="112" fillId="0" borderId="129" xfId="119" applyNumberFormat="1" applyFont="1" applyBorder="1" applyAlignment="1">
      <alignment horizontal="right" vertical="center" wrapText="1"/>
    </xf>
    <xf numFmtId="205" fontId="112" fillId="0" borderId="129" xfId="119" applyNumberFormat="1" applyFont="1" applyBorder="1" applyAlignment="1">
      <alignment vertical="center" wrapText="1"/>
    </xf>
    <xf numFmtId="205" fontId="112" fillId="0" borderId="141" xfId="119" applyNumberFormat="1" applyFont="1" applyBorder="1" applyAlignment="1">
      <alignment horizontal="right" vertical="center" wrapText="1"/>
    </xf>
    <xf numFmtId="205" fontId="112" fillId="0" borderId="15" xfId="126" applyNumberFormat="1" applyFont="1" applyBorder="1" applyAlignment="1">
      <alignment horizontal="right"/>
    </xf>
    <xf numFmtId="205" fontId="112" fillId="0" borderId="15" xfId="107" applyNumberFormat="1" applyFont="1" applyBorder="1" applyAlignment="1">
      <alignment horizontal="right" vertical="center" wrapText="1"/>
    </xf>
    <xf numFmtId="205" fontId="112" fillId="0" borderId="15" xfId="119" applyNumberFormat="1" applyFont="1" applyBorder="1" applyAlignment="1">
      <alignment horizontal="left" vertical="center" wrapText="1"/>
    </xf>
    <xf numFmtId="205" fontId="112" fillId="0" borderId="15" xfId="119" applyNumberFormat="1" applyFont="1" applyBorder="1" applyAlignment="1">
      <alignment horizontal="right" vertical="center" wrapText="1"/>
    </xf>
    <xf numFmtId="205" fontId="112" fillId="0" borderId="15" xfId="195" applyNumberFormat="1" applyFont="1" applyFill="1" applyBorder="1" applyAlignment="1">
      <alignment horizontal="right" vertical="center" wrapText="1"/>
    </xf>
    <xf numFmtId="0" fontId="77" fillId="0" borderId="15" xfId="126" applyFont="1" applyBorder="1" applyAlignment="1">
      <alignment horizontal="right" vertical="center"/>
    </xf>
    <xf numFmtId="0" fontId="77" fillId="0" borderId="74" xfId="126" applyFont="1" applyBorder="1" applyAlignment="1">
      <alignment horizontal="right" vertical="center"/>
    </xf>
    <xf numFmtId="205" fontId="112" fillId="0" borderId="142" xfId="119" applyNumberFormat="1" applyFont="1" applyBorder="1" applyAlignment="1">
      <alignment horizontal="right" vertical="center" wrapText="1"/>
    </xf>
    <xf numFmtId="205" fontId="112" fillId="0" borderId="143" xfId="119" applyNumberFormat="1" applyFont="1" applyBorder="1" applyAlignment="1">
      <alignment horizontal="right" vertical="center" wrapText="1"/>
    </xf>
    <xf numFmtId="205" fontId="112" fillId="0" borderId="151" xfId="126" applyNumberFormat="1" applyFont="1" applyBorder="1">
      <alignment vertical="center"/>
    </xf>
    <xf numFmtId="205" fontId="112" fillId="0" borderId="151" xfId="195" applyNumberFormat="1" applyFont="1" applyFill="1" applyBorder="1" applyAlignment="1">
      <alignment vertical="center" wrapText="1"/>
    </xf>
    <xf numFmtId="0" fontId="112" fillId="0" borderId="144" xfId="107" applyFont="1" applyBorder="1" applyAlignment="1">
      <alignment horizontal="center" vertical="center"/>
    </xf>
    <xf numFmtId="205" fontId="78" fillId="0" borderId="145" xfId="126" applyNumberFormat="1" applyFont="1" applyBorder="1" applyAlignment="1">
      <alignment horizontal="right"/>
    </xf>
    <xf numFmtId="205" fontId="78" fillId="0" borderId="145" xfId="107" applyNumberFormat="1" applyFont="1" applyBorder="1" applyAlignment="1">
      <alignment horizontal="right" vertical="center" wrapText="1"/>
    </xf>
    <xf numFmtId="205" fontId="78" fillId="0" borderId="145" xfId="119" applyNumberFormat="1" applyFont="1" applyBorder="1" applyAlignment="1">
      <alignment horizontal="right" vertical="center" wrapText="1"/>
    </xf>
    <xf numFmtId="205" fontId="78" fillId="0" borderId="16" xfId="119" applyNumberFormat="1" applyFont="1" applyBorder="1" applyAlignment="1">
      <alignment horizontal="right" vertical="center" wrapText="1"/>
    </xf>
    <xf numFmtId="205" fontId="78" fillId="0" borderId="146" xfId="119" applyNumberFormat="1" applyFont="1" applyBorder="1" applyAlignment="1">
      <alignment horizontal="right" vertical="center" wrapText="1"/>
    </xf>
    <xf numFmtId="0" fontId="112" fillId="0" borderId="132" xfId="107" applyFont="1" applyBorder="1" applyAlignment="1">
      <alignment horizontal="center" vertical="center"/>
    </xf>
    <xf numFmtId="0" fontId="78" fillId="0" borderId="148" xfId="126" applyFont="1" applyBorder="1">
      <alignment vertical="center"/>
    </xf>
    <xf numFmtId="205" fontId="78" fillId="0" borderId="149" xfId="126" applyNumberFormat="1" applyFont="1" applyBorder="1" applyAlignment="1">
      <alignment horizontal="right"/>
    </xf>
    <xf numFmtId="205" fontId="78" fillId="0" borderId="149" xfId="107" applyNumberFormat="1" applyFont="1" applyBorder="1" applyAlignment="1">
      <alignment horizontal="right" vertical="center" wrapText="1"/>
    </xf>
    <xf numFmtId="205" fontId="78" fillId="0" borderId="149" xfId="119" applyNumberFormat="1" applyFont="1" applyBorder="1" applyAlignment="1">
      <alignment horizontal="right" vertical="center" wrapText="1"/>
    </xf>
    <xf numFmtId="205" fontId="79" fillId="0" borderId="0" xfId="0" applyNumberFormat="1" applyFont="1"/>
    <xf numFmtId="205" fontId="112" fillId="0" borderId="149" xfId="195" applyNumberFormat="1" applyFont="1" applyFill="1" applyBorder="1" applyAlignment="1">
      <alignment vertical="center" wrapText="1"/>
    </xf>
    <xf numFmtId="0" fontId="78" fillId="0" borderId="148" xfId="126" applyFont="1" applyBorder="1" applyAlignment="1">
      <alignment horizontal="right" vertical="center"/>
    </xf>
    <xf numFmtId="0" fontId="78" fillId="0" borderId="154" xfId="126" applyFont="1" applyBorder="1" applyAlignment="1">
      <alignment horizontal="right" vertical="center"/>
    </xf>
    <xf numFmtId="205" fontId="78" fillId="0" borderId="141" xfId="195" applyNumberFormat="1" applyFont="1" applyFill="1" applyBorder="1" applyAlignment="1">
      <alignment horizontal="right" vertical="center" wrapText="1"/>
    </xf>
    <xf numFmtId="205" fontId="112" fillId="0" borderId="142" xfId="195" applyNumberFormat="1" applyFont="1" applyFill="1" applyBorder="1" applyAlignment="1">
      <alignment vertical="center" wrapText="1"/>
    </xf>
    <xf numFmtId="205" fontId="112" fillId="0" borderId="151" xfId="119" applyNumberFormat="1" applyFont="1" applyBorder="1" applyAlignment="1">
      <alignment vertical="center" wrapText="1"/>
    </xf>
    <xf numFmtId="205" fontId="112" fillId="0" borderId="129" xfId="126" applyNumberFormat="1" applyFont="1" applyBorder="1">
      <alignment vertical="center"/>
    </xf>
    <xf numFmtId="205" fontId="78" fillId="0" borderId="141" xfId="126" applyNumberFormat="1" applyFont="1" applyBorder="1" applyAlignment="1">
      <alignment horizontal="right" vertical="center"/>
    </xf>
    <xf numFmtId="205" fontId="78" fillId="0" borderId="145" xfId="126" applyNumberFormat="1" applyFont="1" applyBorder="1" applyAlignment="1">
      <alignment horizontal="right" vertical="center"/>
    </xf>
    <xf numFmtId="205" fontId="78" fillId="0" borderId="145" xfId="195" applyNumberFormat="1" applyFont="1" applyFill="1" applyBorder="1" applyAlignment="1">
      <alignment horizontal="right" vertical="center" wrapText="1"/>
    </xf>
    <xf numFmtId="205" fontId="78" fillId="0" borderId="146" xfId="195" applyNumberFormat="1" applyFont="1" applyFill="1" applyBorder="1" applyAlignment="1">
      <alignment horizontal="right" vertical="center" wrapText="1"/>
    </xf>
    <xf numFmtId="205" fontId="78" fillId="0" borderId="148" xfId="195" applyNumberFormat="1" applyFont="1" applyFill="1" applyBorder="1" applyAlignment="1">
      <alignment horizontal="right" vertical="center" wrapText="1"/>
    </xf>
    <xf numFmtId="205" fontId="78" fillId="0" borderId="149" xfId="126" applyNumberFormat="1" applyFont="1" applyBorder="1" applyAlignment="1">
      <alignment horizontal="right" vertical="center"/>
    </xf>
    <xf numFmtId="205" fontId="78" fillId="0" borderId="149" xfId="195" applyNumberFormat="1" applyFont="1" applyFill="1" applyBorder="1" applyAlignment="1">
      <alignment horizontal="right" vertical="center" wrapText="1"/>
    </xf>
    <xf numFmtId="205" fontId="78" fillId="0" borderId="150" xfId="195" applyNumberFormat="1" applyFont="1" applyFill="1" applyBorder="1" applyAlignment="1">
      <alignment horizontal="right" vertical="center" wrapText="1"/>
    </xf>
    <xf numFmtId="205" fontId="78" fillId="0" borderId="158" xfId="195" applyNumberFormat="1" applyFont="1" applyFill="1" applyBorder="1" applyAlignment="1">
      <alignment horizontal="right" vertical="center" wrapText="1"/>
    </xf>
    <xf numFmtId="0" fontId="95" fillId="0" borderId="0" xfId="0" applyFont="1"/>
    <xf numFmtId="205" fontId="78" fillId="0" borderId="24" xfId="107" applyNumberFormat="1" applyFont="1" applyBorder="1" applyAlignment="1">
      <alignment horizontal="center" vertical="center" wrapText="1"/>
    </xf>
    <xf numFmtId="205" fontId="78" fillId="0" borderId="24" xfId="119" applyNumberFormat="1" applyFont="1" applyBorder="1" applyAlignment="1">
      <alignment horizontal="center" vertical="center" wrapText="1"/>
    </xf>
    <xf numFmtId="179" fontId="78" fillId="0" borderId="24" xfId="119" applyNumberFormat="1" applyFont="1" applyBorder="1" applyAlignment="1">
      <alignment vertical="center" wrapText="1"/>
    </xf>
    <xf numFmtId="205" fontId="78" fillId="0" borderId="24" xfId="195" applyNumberFormat="1" applyFont="1" applyFill="1" applyBorder="1" applyAlignment="1">
      <alignment horizontal="center" vertical="center" wrapText="1"/>
    </xf>
    <xf numFmtId="205" fontId="78" fillId="0" borderId="18" xfId="107" applyNumberFormat="1" applyFont="1" applyBorder="1" applyAlignment="1">
      <alignment horizontal="center" vertical="center" wrapText="1"/>
    </xf>
    <xf numFmtId="205" fontId="78" fillId="0" borderId="18" xfId="119" applyNumberFormat="1" applyFont="1" applyBorder="1" applyAlignment="1">
      <alignment horizontal="center" vertical="center" wrapText="1"/>
    </xf>
    <xf numFmtId="179" fontId="78" fillId="0" borderId="18" xfId="119" applyNumberFormat="1" applyFont="1" applyBorder="1" applyAlignment="1">
      <alignment vertical="center" wrapText="1"/>
    </xf>
    <xf numFmtId="205" fontId="78" fillId="0" borderId="18" xfId="195" applyNumberFormat="1" applyFont="1" applyFill="1" applyBorder="1" applyAlignment="1">
      <alignment horizontal="center" vertical="center" wrapText="1"/>
    </xf>
    <xf numFmtId="205" fontId="78" fillId="0" borderId="129" xfId="107" applyNumberFormat="1" applyFont="1" applyBorder="1" applyAlignment="1">
      <alignment horizontal="center" vertical="center" wrapText="1"/>
    </xf>
    <xf numFmtId="205" fontId="78" fillId="0" borderId="129" xfId="119" applyNumberFormat="1" applyFont="1" applyBorder="1" applyAlignment="1">
      <alignment horizontal="center" vertical="center" wrapText="1"/>
    </xf>
    <xf numFmtId="205" fontId="78" fillId="0" borderId="129" xfId="195" applyNumberFormat="1" applyFont="1" applyFill="1" applyBorder="1" applyAlignment="1">
      <alignment horizontal="center" vertical="center" wrapText="1"/>
    </xf>
    <xf numFmtId="205" fontId="78" fillId="0" borderId="141" xfId="119" applyNumberFormat="1" applyFont="1" applyBorder="1" applyAlignment="1">
      <alignment vertical="center" wrapText="1"/>
    </xf>
    <xf numFmtId="180" fontId="78" fillId="0" borderId="27" xfId="119" applyNumberFormat="1" applyFont="1" applyBorder="1" applyAlignment="1">
      <alignment vertical="center" wrapText="1"/>
    </xf>
    <xf numFmtId="179" fontId="78" fillId="0" borderId="27" xfId="119" applyNumberFormat="1" applyFont="1" applyBorder="1" applyAlignment="1">
      <alignment vertical="center" wrapText="1"/>
    </xf>
    <xf numFmtId="205" fontId="78" fillId="0" borderId="143" xfId="119" applyNumberFormat="1" applyFont="1" applyBorder="1" applyAlignment="1">
      <alignment vertical="center" wrapText="1"/>
    </xf>
    <xf numFmtId="205" fontId="78" fillId="0" borderId="142" xfId="107" applyNumberFormat="1" applyFont="1" applyBorder="1" applyAlignment="1">
      <alignment vertical="center" wrapText="1"/>
    </xf>
    <xf numFmtId="179" fontId="78" fillId="0" borderId="34" xfId="119" applyNumberFormat="1" applyFont="1" applyBorder="1" applyAlignment="1">
      <alignment vertical="center" wrapText="1"/>
    </xf>
    <xf numFmtId="205" fontId="78" fillId="0" borderId="153" xfId="119" applyNumberFormat="1" applyFont="1" applyBorder="1" applyAlignment="1">
      <alignment vertical="center" wrapText="1"/>
    </xf>
    <xf numFmtId="0" fontId="77" fillId="0" borderId="18" xfId="126" applyFont="1" applyBorder="1" applyAlignment="1">
      <alignment vertical="center" wrapText="1"/>
    </xf>
    <xf numFmtId="205" fontId="78" fillId="0" borderId="142" xfId="126" applyNumberFormat="1" applyFont="1" applyBorder="1">
      <alignment vertical="center"/>
    </xf>
    <xf numFmtId="179" fontId="78" fillId="0" borderId="34" xfId="195" applyNumberFormat="1" applyFont="1" applyFill="1" applyBorder="1" applyAlignment="1">
      <alignment vertical="center" wrapText="1"/>
    </xf>
    <xf numFmtId="43" fontId="78" fillId="0" borderId="0" xfId="195" applyFont="1" applyFill="1" applyAlignment="1" applyProtection="1">
      <alignment horizontal="left" vertical="center"/>
      <protection locked="0"/>
    </xf>
    <xf numFmtId="43" fontId="78" fillId="0" borderId="0" xfId="195" applyFont="1" applyFill="1" applyAlignment="1">
      <alignment horizontal="center" vertical="center" wrapText="1"/>
    </xf>
    <xf numFmtId="43" fontId="78" fillId="0" borderId="0" xfId="195" applyFont="1" applyFill="1" applyAlignment="1" applyProtection="1">
      <alignment horizontal="left" vertical="center"/>
    </xf>
    <xf numFmtId="43" fontId="78" fillId="0" borderId="0" xfId="195" applyFont="1" applyFill="1" applyAlignment="1" applyProtection="1">
      <alignment horizontal="center" vertical="center" wrapText="1"/>
      <protection locked="0"/>
    </xf>
    <xf numFmtId="43" fontId="78" fillId="0" borderId="0" xfId="195" applyFont="1" applyFill="1" applyBorder="1" applyAlignment="1" applyProtection="1">
      <alignment horizontal="left" vertical="center"/>
    </xf>
    <xf numFmtId="0" fontId="112" fillId="0" borderId="0" xfId="107" applyFont="1"/>
    <xf numFmtId="0" fontId="77" fillId="0" borderId="0" xfId="0" applyFont="1" applyAlignment="1">
      <alignment horizontal="center"/>
    </xf>
    <xf numFmtId="205" fontId="112" fillId="0" borderId="14" xfId="119" applyNumberFormat="1" applyFont="1" applyBorder="1" applyAlignment="1">
      <alignment vertical="center" wrapText="1"/>
    </xf>
    <xf numFmtId="205" fontId="112" fillId="0" borderId="18" xfId="119" applyNumberFormat="1" applyFont="1" applyBorder="1" applyAlignment="1">
      <alignment vertical="center" wrapText="1"/>
    </xf>
    <xf numFmtId="205" fontId="78" fillId="0" borderId="68" xfId="107" applyNumberFormat="1" applyFont="1" applyBorder="1" applyAlignment="1">
      <alignment vertical="center" wrapText="1"/>
    </xf>
    <xf numFmtId="205" fontId="112" fillId="0" borderId="15" xfId="126" applyNumberFormat="1" applyFont="1" applyBorder="1" applyAlignment="1"/>
    <xf numFmtId="205" fontId="112" fillId="0" borderId="15" xfId="107" applyNumberFormat="1" applyFont="1" applyBorder="1" applyAlignment="1">
      <alignment vertical="center" wrapText="1"/>
    </xf>
    <xf numFmtId="205" fontId="78" fillId="0" borderId="15" xfId="107" applyNumberFormat="1" applyFont="1" applyBorder="1" applyAlignment="1">
      <alignment vertical="center" wrapText="1"/>
    </xf>
    <xf numFmtId="205" fontId="112" fillId="0" borderId="15" xfId="119" applyNumberFormat="1" applyFont="1" applyBorder="1" applyAlignment="1">
      <alignment vertical="center" wrapText="1"/>
    </xf>
    <xf numFmtId="205" fontId="112" fillId="0" borderId="15" xfId="195" applyNumberFormat="1" applyFont="1" applyFill="1" applyBorder="1" applyAlignment="1">
      <alignment vertical="center" wrapText="1"/>
    </xf>
    <xf numFmtId="205" fontId="77" fillId="0" borderId="15" xfId="119" applyNumberFormat="1" applyFont="1" applyBorder="1" applyAlignment="1">
      <alignment vertical="center" wrapText="1"/>
    </xf>
    <xf numFmtId="205" fontId="112" fillId="0" borderId="18" xfId="126" applyNumberFormat="1" applyFont="1" applyBorder="1" applyAlignment="1"/>
    <xf numFmtId="205" fontId="112" fillId="0" borderId="18" xfId="107" applyNumberFormat="1" applyFont="1" applyBorder="1" applyAlignment="1">
      <alignment vertical="center" wrapText="1"/>
    </xf>
    <xf numFmtId="205" fontId="112" fillId="0" borderId="18" xfId="195" applyNumberFormat="1" applyFont="1" applyFill="1" applyBorder="1" applyAlignment="1">
      <alignment vertical="center" wrapText="1"/>
    </xf>
    <xf numFmtId="205" fontId="77" fillId="0" borderId="18" xfId="119" applyNumberFormat="1" applyFont="1" applyBorder="1" applyAlignment="1">
      <alignment vertical="center" wrapText="1"/>
    </xf>
    <xf numFmtId="205" fontId="78" fillId="0" borderId="146" xfId="119" applyNumberFormat="1" applyFont="1" applyBorder="1" applyAlignment="1">
      <alignment vertical="center" wrapText="1"/>
    </xf>
    <xf numFmtId="205" fontId="78" fillId="0" borderId="150" xfId="119" applyNumberFormat="1" applyFont="1" applyBorder="1" applyAlignment="1">
      <alignment vertical="center" wrapText="1"/>
    </xf>
    <xf numFmtId="0" fontId="112" fillId="0" borderId="65" xfId="107" applyFont="1" applyBorder="1" applyAlignment="1">
      <alignment horizontal="center" vertical="center"/>
    </xf>
    <xf numFmtId="205" fontId="112" fillId="0" borderId="145" xfId="126" applyNumberFormat="1" applyFont="1" applyBorder="1">
      <alignment vertical="center"/>
    </xf>
    <xf numFmtId="205" fontId="112" fillId="0" borderId="145" xfId="195" applyNumberFormat="1" applyFont="1" applyFill="1" applyBorder="1" applyAlignment="1">
      <alignment vertical="center" wrapText="1"/>
    </xf>
    <xf numFmtId="205" fontId="112" fillId="0" borderId="149" xfId="126" applyNumberFormat="1" applyFont="1" applyBorder="1">
      <alignment vertical="center"/>
    </xf>
    <xf numFmtId="0" fontId="112" fillId="0" borderId="58" xfId="107" applyFont="1" applyBorder="1" applyAlignment="1">
      <alignment horizontal="center" vertical="center"/>
    </xf>
    <xf numFmtId="0" fontId="112" fillId="0" borderId="206" xfId="107" applyFont="1" applyBorder="1" applyAlignment="1">
      <alignment horizontal="center" vertical="center"/>
    </xf>
    <xf numFmtId="0" fontId="78" fillId="0" borderId="164" xfId="126" applyFont="1" applyBorder="1">
      <alignment vertical="center"/>
    </xf>
    <xf numFmtId="0" fontId="78" fillId="27" borderId="0" xfId="51" applyFont="1" applyFill="1" applyAlignment="1" applyProtection="1">
      <alignment horizontal="left" vertical="center"/>
      <protection locked="0"/>
    </xf>
    <xf numFmtId="0" fontId="75" fillId="0" borderId="18" xfId="107" applyFont="1" applyBorder="1" applyAlignment="1">
      <alignment horizontal="center" vertical="center"/>
    </xf>
    <xf numFmtId="49" fontId="75" fillId="0" borderId="18" xfId="107" applyNumberFormat="1" applyFont="1" applyBorder="1" applyAlignment="1">
      <alignment horizontal="center" vertical="center"/>
    </xf>
    <xf numFmtId="197" fontId="75" fillId="0" borderId="130" xfId="107" applyNumberFormat="1" applyFont="1" applyBorder="1" applyAlignment="1" applyProtection="1">
      <alignment horizontal="left" vertical="center" wrapText="1"/>
      <protection locked="0"/>
    </xf>
    <xf numFmtId="182" fontId="81" fillId="0" borderId="18" xfId="107" applyNumberFormat="1" applyFont="1" applyBorder="1" applyAlignment="1" applyProtection="1">
      <alignment horizontal="right" vertical="center" wrapText="1"/>
      <protection locked="0"/>
    </xf>
    <xf numFmtId="197" fontId="75" fillId="0" borderId="0" xfId="107" applyNumberFormat="1" applyFont="1" applyAlignment="1" applyProtection="1">
      <alignment horizontal="left" vertical="center" wrapText="1"/>
      <protection locked="0"/>
    </xf>
    <xf numFmtId="218" fontId="81" fillId="0" borderId="18" xfId="107" applyNumberFormat="1" applyFont="1" applyBorder="1" applyAlignment="1" applyProtection="1">
      <alignment horizontal="left" vertical="center" wrapText="1"/>
      <protection locked="0"/>
    </xf>
    <xf numFmtId="198" fontId="81" fillId="0" borderId="18" xfId="107" applyNumberFormat="1" applyFont="1" applyBorder="1" applyAlignment="1" applyProtection="1">
      <alignment horizontal="right" vertical="center" wrapText="1"/>
      <protection locked="0"/>
    </xf>
    <xf numFmtId="201" fontId="81" fillId="0" borderId="18" xfId="107" applyNumberFormat="1" applyFont="1" applyBorder="1" applyAlignment="1" applyProtection="1">
      <alignment horizontal="right" vertical="center"/>
      <protection locked="0"/>
    </xf>
    <xf numFmtId="197" fontId="75" fillId="0" borderId="16" xfId="107" applyNumberFormat="1" applyFont="1" applyBorder="1" applyAlignment="1" applyProtection="1">
      <alignment horizontal="left" vertical="center" wrapText="1"/>
      <protection locked="0"/>
    </xf>
    <xf numFmtId="197" fontId="75" fillId="0" borderId="17" xfId="107" applyNumberFormat="1" applyFont="1" applyBorder="1" applyAlignment="1" applyProtection="1">
      <alignment horizontal="left" vertical="center" wrapText="1"/>
      <protection locked="0"/>
    </xf>
    <xf numFmtId="197" fontId="75" fillId="0" borderId="18" xfId="51" quotePrefix="1" applyNumberFormat="1" applyFont="1" applyBorder="1" applyAlignment="1" applyProtection="1">
      <alignment horizontal="left" vertical="center" wrapText="1"/>
      <protection locked="0"/>
    </xf>
    <xf numFmtId="182" fontId="81" fillId="0" borderId="18" xfId="51" quotePrefix="1" applyNumberFormat="1" applyFont="1" applyBorder="1" applyAlignment="1" applyProtection="1">
      <alignment horizontal="right" vertical="center" wrapText="1"/>
      <protection locked="0"/>
    </xf>
    <xf numFmtId="218" fontId="81" fillId="0" borderId="18" xfId="51" quotePrefix="1" applyNumberFormat="1" applyFont="1" applyBorder="1" applyAlignment="1" applyProtection="1">
      <alignment horizontal="left" vertical="center" wrapText="1"/>
      <protection locked="0"/>
    </xf>
    <xf numFmtId="197" fontId="75" fillId="0" borderId="18" xfId="51" applyNumberFormat="1" applyFont="1" applyBorder="1" applyAlignment="1" applyProtection="1">
      <alignment horizontal="left" vertical="center" wrapText="1"/>
      <protection locked="0"/>
    </xf>
    <xf numFmtId="198" fontId="81" fillId="0" borderId="18" xfId="51" applyNumberFormat="1" applyFont="1" applyBorder="1" applyAlignment="1" applyProtection="1">
      <alignment horizontal="right" vertical="center" wrapText="1"/>
      <protection locked="0"/>
    </xf>
    <xf numFmtId="0" fontId="78" fillId="26" borderId="68" xfId="107" applyFont="1" applyFill="1" applyBorder="1" applyAlignment="1">
      <alignment horizontal="center" vertical="center" wrapText="1"/>
    </xf>
    <xf numFmtId="0" fontId="78" fillId="26" borderId="185" xfId="107" applyFont="1" applyFill="1" applyBorder="1" applyAlignment="1">
      <alignment horizontal="center" vertical="center" wrapText="1"/>
    </xf>
    <xf numFmtId="0" fontId="78" fillId="26" borderId="18" xfId="107" applyFont="1" applyFill="1" applyBorder="1" applyAlignment="1">
      <alignment horizontal="center" vertical="center" wrapText="1"/>
    </xf>
    <xf numFmtId="0" fontId="78" fillId="26" borderId="186" xfId="107" applyFont="1" applyFill="1" applyBorder="1" applyAlignment="1">
      <alignment horizontal="center" vertical="center" wrapText="1"/>
    </xf>
    <xf numFmtId="0" fontId="75" fillId="0" borderId="0" xfId="107" applyFont="1" applyAlignment="1" applyProtection="1">
      <alignment vertical="center"/>
      <protection locked="0"/>
    </xf>
    <xf numFmtId="49" fontId="75" fillId="0" borderId="0" xfId="107" applyNumberFormat="1" applyFont="1" applyAlignment="1">
      <alignment horizontal="center" vertical="top"/>
    </xf>
    <xf numFmtId="0" fontId="78" fillId="0" borderId="0" xfId="51" applyFont="1" applyProtection="1">
      <alignment vertical="center"/>
      <protection locked="0"/>
    </xf>
    <xf numFmtId="0" fontId="78" fillId="0" borderId="14" xfId="107" applyFont="1" applyBorder="1" applyAlignment="1">
      <alignment horizontal="center" vertical="center" wrapText="1"/>
    </xf>
    <xf numFmtId="0" fontId="78" fillId="0" borderId="15" xfId="107" quotePrefix="1" applyFont="1" applyBorder="1" applyAlignment="1">
      <alignment horizontal="center" vertical="center" wrapText="1"/>
    </xf>
    <xf numFmtId="198" fontId="78" fillId="0" borderId="18" xfId="107" applyNumberFormat="1" applyFont="1" applyBorder="1" applyAlignment="1">
      <alignment horizontal="right" vertical="center"/>
    </xf>
    <xf numFmtId="183" fontId="78" fillId="0" borderId="18" xfId="107" applyNumberFormat="1" applyFont="1" applyBorder="1" applyAlignment="1">
      <alignment horizontal="right" vertical="center" wrapText="1"/>
    </xf>
    <xf numFmtId="198" fontId="78" fillId="29" borderId="129" xfId="107" applyNumberFormat="1" applyFont="1" applyFill="1" applyBorder="1" applyAlignment="1">
      <alignment horizontal="right" vertical="center"/>
    </xf>
    <xf numFmtId="0" fontId="78" fillId="0" borderId="18" xfId="107" applyFont="1" applyBorder="1" applyAlignment="1">
      <alignment horizontal="right" vertical="center"/>
    </xf>
    <xf numFmtId="197" fontId="78" fillId="0" borderId="18" xfId="107" applyNumberFormat="1" applyFont="1" applyBorder="1" applyAlignment="1">
      <alignment horizontal="left" vertical="center" wrapText="1"/>
    </xf>
    <xf numFmtId="0" fontId="78" fillId="0" borderId="18" xfId="107" applyFont="1" applyBorder="1" applyAlignment="1">
      <alignment horizontal="left" vertical="center" wrapText="1"/>
    </xf>
    <xf numFmtId="201" fontId="78" fillId="26" borderId="18" xfId="107" applyNumberFormat="1" applyFont="1" applyFill="1" applyBorder="1" applyAlignment="1">
      <alignment horizontal="right" vertical="center"/>
    </xf>
    <xf numFmtId="197" fontId="78" fillId="31" borderId="18" xfId="107" applyNumberFormat="1" applyFont="1" applyFill="1" applyBorder="1" applyAlignment="1">
      <alignment horizontal="left" vertical="center" wrapText="1"/>
    </xf>
    <xf numFmtId="183" fontId="78" fillId="0" borderId="18" xfId="107" applyNumberFormat="1" applyFont="1" applyBorder="1" applyAlignment="1">
      <alignment horizontal="right"/>
    </xf>
    <xf numFmtId="201" fontId="78" fillId="31" borderId="18" xfId="107" applyNumberFormat="1" applyFont="1" applyFill="1" applyBorder="1" applyAlignment="1">
      <alignment horizontal="right" vertical="center"/>
    </xf>
    <xf numFmtId="0" fontId="78" fillId="0" borderId="0" xfId="0" applyFont="1" applyAlignment="1">
      <alignment vertical="center"/>
    </xf>
    <xf numFmtId="0" fontId="78" fillId="0" borderId="0" xfId="159" applyFont="1" applyAlignment="1">
      <alignment vertical="center"/>
    </xf>
    <xf numFmtId="0" fontId="78" fillId="0" borderId="14" xfId="107" applyFont="1" applyBorder="1" applyAlignment="1">
      <alignment horizontal="center" vertical="center"/>
    </xf>
    <xf numFmtId="49" fontId="78" fillId="0" borderId="0" xfId="107" applyNumberFormat="1" applyFont="1" applyAlignment="1">
      <alignment horizontal="center" vertical="center" wrapText="1"/>
    </xf>
    <xf numFmtId="49" fontId="78" fillId="0" borderId="18" xfId="107" applyNumberFormat="1" applyFont="1" applyBorder="1" applyAlignment="1">
      <alignment horizontal="center" vertical="center"/>
    </xf>
    <xf numFmtId="197" fontId="78" fillId="0" borderId="130" xfId="107" applyNumberFormat="1" applyFont="1" applyBorder="1" applyAlignment="1">
      <alignment horizontal="left" vertical="center" wrapText="1"/>
    </xf>
    <xf numFmtId="197" fontId="78" fillId="0" borderId="0" xfId="107" applyNumberFormat="1" applyFont="1" applyAlignment="1">
      <alignment horizontal="left" vertical="center" wrapText="1"/>
    </xf>
    <xf numFmtId="197" fontId="78" fillId="0" borderId="18" xfId="107" applyNumberFormat="1" applyFont="1" applyBorder="1" applyAlignment="1">
      <alignment horizontal="center" vertical="center" wrapText="1"/>
    </xf>
    <xf numFmtId="198" fontId="78" fillId="0" borderId="18" xfId="107" applyNumberFormat="1" applyFont="1" applyBorder="1" applyAlignment="1">
      <alignment horizontal="right" vertical="center" wrapText="1"/>
    </xf>
    <xf numFmtId="183" fontId="78" fillId="0" borderId="18" xfId="180" applyNumberFormat="1" applyFont="1" applyFill="1" applyBorder="1" applyAlignment="1" applyProtection="1">
      <alignment horizontal="right" vertical="center" wrapText="1"/>
    </xf>
    <xf numFmtId="183" fontId="78" fillId="27" borderId="18" xfId="180" applyNumberFormat="1" applyFont="1" applyFill="1" applyBorder="1" applyAlignment="1" applyProtection="1">
      <alignment horizontal="right" vertical="center" wrapText="1"/>
    </xf>
    <xf numFmtId="197" fontId="78" fillId="0" borderId="16" xfId="107" applyNumberFormat="1" applyFont="1" applyBorder="1" applyAlignment="1" applyProtection="1">
      <alignment horizontal="left" vertical="center" wrapText="1"/>
      <protection locked="0"/>
    </xf>
    <xf numFmtId="197" fontId="78" fillId="0" borderId="17" xfId="107" applyNumberFormat="1" applyFont="1" applyBorder="1" applyAlignment="1" applyProtection="1">
      <alignment horizontal="left" vertical="center" wrapText="1"/>
      <protection locked="0"/>
    </xf>
    <xf numFmtId="197" fontId="78" fillId="0" borderId="130" xfId="107" applyNumberFormat="1" applyFont="1" applyBorder="1" applyAlignment="1" applyProtection="1">
      <alignment horizontal="left" vertical="center" wrapText="1"/>
      <protection locked="0"/>
    </xf>
    <xf numFmtId="197" fontId="78" fillId="0" borderId="18" xfId="107" applyNumberFormat="1" applyFont="1" applyBorder="1" applyAlignment="1" applyProtection="1">
      <alignment horizontal="left" vertical="center" wrapText="1"/>
      <protection locked="0"/>
    </xf>
    <xf numFmtId="197" fontId="78" fillId="0" borderId="18" xfId="107" applyNumberFormat="1" applyFont="1" applyBorder="1" applyAlignment="1" applyProtection="1">
      <alignment horizontal="center" vertical="center" wrapText="1"/>
      <protection locked="0"/>
    </xf>
    <xf numFmtId="198" fontId="78" fillId="0" borderId="18" xfId="107" applyNumberFormat="1" applyFont="1" applyBorder="1" applyAlignment="1" applyProtection="1">
      <alignment horizontal="right" vertical="center" wrapText="1"/>
      <protection locked="0"/>
    </xf>
    <xf numFmtId="197" fontId="78" fillId="0" borderId="18" xfId="0" quotePrefix="1" applyNumberFormat="1" applyFont="1" applyBorder="1" applyAlignment="1">
      <alignment horizontal="left" vertical="center" wrapText="1"/>
    </xf>
    <xf numFmtId="197" fontId="78" fillId="0" borderId="18" xfId="0" applyNumberFormat="1" applyFont="1" applyBorder="1" applyAlignment="1">
      <alignment horizontal="center" vertical="center" wrapText="1"/>
    </xf>
    <xf numFmtId="197" fontId="78" fillId="0" borderId="18" xfId="0" applyNumberFormat="1" applyFont="1" applyBorder="1" applyAlignment="1">
      <alignment horizontal="left" vertical="center" wrapText="1"/>
    </xf>
    <xf numFmtId="198" fontId="78" fillId="0" borderId="18" xfId="0" applyNumberFormat="1" applyFont="1" applyBorder="1" applyAlignment="1">
      <alignment horizontal="right" vertical="center" wrapText="1"/>
    </xf>
    <xf numFmtId="197" fontId="78" fillId="0" borderId="129" xfId="0" quotePrefix="1" applyNumberFormat="1" applyFont="1" applyBorder="1" applyAlignment="1">
      <alignment horizontal="left" vertical="center" wrapText="1"/>
    </xf>
    <xf numFmtId="197" fontId="78" fillId="0" borderId="129" xfId="0" applyNumberFormat="1" applyFont="1" applyBorder="1" applyAlignment="1">
      <alignment horizontal="center" vertical="center" wrapText="1"/>
    </xf>
    <xf numFmtId="197" fontId="78" fillId="0" borderId="129" xfId="0" applyNumberFormat="1" applyFont="1" applyBorder="1" applyAlignment="1">
      <alignment horizontal="left" vertical="center" wrapText="1"/>
    </xf>
    <xf numFmtId="0" fontId="78" fillId="0" borderId="0" xfId="107" applyFont="1" applyAlignment="1" applyProtection="1">
      <alignment vertical="center"/>
      <protection locked="0"/>
    </xf>
    <xf numFmtId="49" fontId="78" fillId="0" borderId="0" xfId="107" applyNumberFormat="1" applyFont="1" applyAlignment="1">
      <alignment horizontal="center" vertical="top"/>
    </xf>
    <xf numFmtId="0" fontId="78" fillId="0" borderId="0" xfId="107" applyFont="1" applyAlignment="1" applyProtection="1">
      <alignment horizontal="left" vertical="center"/>
      <protection locked="0"/>
    </xf>
    <xf numFmtId="0" fontId="82" fillId="0" borderId="18" xfId="107" quotePrefix="1" applyFont="1" applyBorder="1" applyAlignment="1">
      <alignment horizontal="center" vertical="center" wrapText="1"/>
    </xf>
    <xf numFmtId="0" fontId="74" fillId="0" borderId="18" xfId="148" applyFont="1" applyBorder="1" applyAlignment="1">
      <alignment horizontal="center" vertical="center" wrapText="1"/>
    </xf>
    <xf numFmtId="0" fontId="74" fillId="0" borderId="18" xfId="107" applyFont="1" applyBorder="1" applyAlignment="1">
      <alignment horizontal="left" vertical="center" wrapText="1"/>
    </xf>
    <xf numFmtId="198" fontId="74" fillId="0" borderId="18" xfId="107" applyNumberFormat="1" applyFont="1" applyBorder="1" applyAlignment="1">
      <alignment horizontal="right" vertical="center" wrapText="1"/>
    </xf>
    <xf numFmtId="0" fontId="74" fillId="0" borderId="0" xfId="137" applyFont="1" applyAlignment="1">
      <alignment vertical="center" wrapText="1"/>
    </xf>
    <xf numFmtId="0" fontId="74" fillId="0" borderId="18" xfId="107" applyFont="1" applyBorder="1" applyAlignment="1">
      <alignment vertical="center" wrapText="1"/>
    </xf>
    <xf numFmtId="0" fontId="74" fillId="0" borderId="18" xfId="107" applyFont="1" applyBorder="1" applyAlignment="1">
      <alignment horizontal="left" vertical="center" wrapText="1" indent="2"/>
    </xf>
    <xf numFmtId="0" fontId="74" fillId="0" borderId="0" xfId="137" applyFont="1" applyAlignment="1">
      <alignment horizontal="right" vertical="center"/>
    </xf>
    <xf numFmtId="219" fontId="74" fillId="0" borderId="18" xfId="190" applyNumberFormat="1" applyFont="1" applyFill="1" applyBorder="1" applyAlignment="1">
      <alignment wrapText="1"/>
    </xf>
    <xf numFmtId="178" fontId="74" fillId="26" borderId="18" xfId="166" applyNumberFormat="1" applyFont="1" applyFill="1" applyBorder="1" applyAlignment="1">
      <alignment horizontal="right" vertical="center" wrapText="1"/>
    </xf>
    <xf numFmtId="0" fontId="74" fillId="0" borderId="0" xfId="161" applyFont="1" applyAlignment="1">
      <alignment vertical="center" wrapText="1"/>
    </xf>
    <xf numFmtId="0" fontId="74" fillId="0" borderId="0" xfId="115" quotePrefix="1" applyFont="1" applyAlignment="1">
      <alignment vertical="center"/>
    </xf>
    <xf numFmtId="0" fontId="74" fillId="0" borderId="0" xfId="115" quotePrefix="1" applyFont="1" applyAlignment="1">
      <alignment vertical="center" wrapText="1"/>
    </xf>
    <xf numFmtId="0" fontId="74" fillId="0" borderId="0" xfId="161" applyFont="1" applyAlignment="1">
      <alignment horizontal="right" vertical="center"/>
    </xf>
    <xf numFmtId="0" fontId="82" fillId="0" borderId="18" xfId="115" applyFont="1" applyBorder="1" applyAlignment="1">
      <alignment horizontal="centerContinuous" vertical="center" wrapText="1"/>
    </xf>
    <xf numFmtId="0" fontId="82" fillId="0" borderId="18" xfId="115" applyFont="1" applyBorder="1" applyAlignment="1">
      <alignment horizontal="center" vertical="center" wrapText="1"/>
    </xf>
    <xf numFmtId="0" fontId="74" fillId="0" borderId="18" xfId="151" applyFont="1" applyBorder="1" applyAlignment="1">
      <alignment horizontal="center" vertical="center" wrapText="1"/>
    </xf>
    <xf numFmtId="198" fontId="74" fillId="0" borderId="18" xfId="107" applyNumberFormat="1" applyFont="1" applyBorder="1" applyAlignment="1">
      <alignment horizontal="left" vertical="center" wrapText="1"/>
    </xf>
    <xf numFmtId="178" fontId="74" fillId="0" borderId="18" xfId="166" applyNumberFormat="1" applyFont="1" applyFill="1" applyBorder="1" applyAlignment="1" applyProtection="1">
      <alignment horizontal="right" vertical="center" wrapText="1"/>
      <protection locked="0"/>
    </xf>
    <xf numFmtId="178" fontId="74" fillId="0" borderId="18" xfId="166" applyNumberFormat="1" applyFont="1" applyFill="1" applyBorder="1" applyAlignment="1" applyProtection="1">
      <alignment horizontal="left" vertical="center" wrapText="1"/>
      <protection locked="0"/>
    </xf>
    <xf numFmtId="0" fontId="74" fillId="0" borderId="18" xfId="115" applyFont="1" applyBorder="1" applyAlignment="1">
      <alignment horizontal="left" vertical="center" wrapText="1" indent="2"/>
    </xf>
    <xf numFmtId="0" fontId="74" fillId="0" borderId="18" xfId="115" applyFont="1" applyBorder="1" applyAlignment="1">
      <alignment horizontal="left" vertical="center" wrapText="1"/>
    </xf>
    <xf numFmtId="0" fontId="74" fillId="0" borderId="18" xfId="115" applyFont="1" applyBorder="1" applyAlignment="1">
      <alignment vertical="center"/>
    </xf>
    <xf numFmtId="178" fontId="74" fillId="26" borderId="18" xfId="166" applyNumberFormat="1" applyFont="1" applyFill="1" applyBorder="1" applyAlignment="1">
      <alignment horizontal="left" vertical="center" wrapText="1"/>
    </xf>
    <xf numFmtId="0" fontId="74" fillId="0" borderId="68" xfId="107" applyFont="1" applyBorder="1" applyAlignment="1">
      <alignment horizontal="left" vertical="center" indent="2"/>
    </xf>
    <xf numFmtId="0" fontId="74" fillId="0" borderId="68" xfId="107" applyFont="1" applyBorder="1" applyAlignment="1">
      <alignment horizontal="left" vertical="center" indent="4"/>
    </xf>
    <xf numFmtId="0" fontId="68" fillId="0" borderId="68" xfId="107" applyFont="1" applyBorder="1" applyAlignment="1">
      <alignment horizontal="left" vertical="center" indent="6"/>
    </xf>
    <xf numFmtId="178" fontId="74" fillId="31" borderId="18" xfId="166" applyNumberFormat="1" applyFont="1" applyFill="1" applyBorder="1" applyAlignment="1">
      <alignment horizontal="right" vertical="center" wrapText="1"/>
    </xf>
    <xf numFmtId="0" fontId="74" fillId="0" borderId="68" xfId="107" applyFont="1" applyBorder="1" applyAlignment="1">
      <alignment horizontal="left" vertical="center" indent="6"/>
    </xf>
    <xf numFmtId="0" fontId="68" fillId="0" borderId="68" xfId="107" applyFont="1" applyBorder="1" applyAlignment="1">
      <alignment horizontal="left" vertical="center" indent="4"/>
    </xf>
    <xf numFmtId="0" fontId="74" fillId="0" borderId="68" xfId="107" applyFont="1" applyBorder="1" applyAlignment="1">
      <alignment vertical="center"/>
    </xf>
    <xf numFmtId="0" fontId="74" fillId="0" borderId="0" xfId="161" applyFont="1" applyAlignment="1">
      <alignment wrapText="1"/>
    </xf>
    <xf numFmtId="0" fontId="74" fillId="0" borderId="0" xfId="159" applyFont="1" applyAlignment="1">
      <alignment vertical="center" wrapText="1"/>
    </xf>
    <xf numFmtId="0" fontId="74" fillId="0" borderId="0" xfId="159" applyFont="1" applyAlignment="1">
      <alignment wrapText="1"/>
    </xf>
    <xf numFmtId="0" fontId="82" fillId="0" borderId="18" xfId="107" applyFont="1" applyBorder="1" applyAlignment="1">
      <alignment vertical="center" wrapText="1"/>
    </xf>
    <xf numFmtId="201" fontId="74" fillId="0" borderId="18" xfId="107" applyNumberFormat="1" applyFont="1" applyBorder="1" applyAlignment="1">
      <alignment horizontal="right" vertical="center" wrapText="1"/>
    </xf>
    <xf numFmtId="219" fontId="74" fillId="0" borderId="0" xfId="190" applyNumberFormat="1" applyFont="1" applyFill="1" applyBorder="1" applyAlignment="1">
      <alignment wrapText="1"/>
    </xf>
    <xf numFmtId="0" fontId="74" fillId="0" borderId="0" xfId="145" applyFont="1" applyAlignment="1">
      <alignment horizontal="left" vertical="center" wrapText="1"/>
    </xf>
    <xf numFmtId="0" fontId="74" fillId="0" borderId="0" xfId="145" applyFont="1" applyAlignment="1">
      <alignment vertical="center"/>
    </xf>
    <xf numFmtId="0" fontId="74" fillId="0" borderId="0" xfId="145" applyFont="1" applyAlignment="1">
      <alignment vertical="center" wrapText="1"/>
    </xf>
    <xf numFmtId="0" fontId="74" fillId="0" borderId="0" xfId="145" applyFont="1" applyAlignment="1">
      <alignment horizontal="center" vertical="center" wrapText="1"/>
    </xf>
    <xf numFmtId="0" fontId="74" fillId="0" borderId="0" xfId="145" applyFont="1" applyAlignment="1">
      <alignment horizontal="center" vertical="center"/>
    </xf>
    <xf numFmtId="49" fontId="82" fillId="0" borderId="18" xfId="145" quotePrefix="1" applyNumberFormat="1" applyFont="1" applyBorder="1" applyAlignment="1">
      <alignment horizontal="center" vertical="center" wrapText="1"/>
    </xf>
    <xf numFmtId="0" fontId="82" fillId="0" borderId="18" xfId="145" applyFont="1" applyBorder="1" applyAlignment="1">
      <alignment horizontal="center" vertical="center" wrapText="1"/>
    </xf>
    <xf numFmtId="182" fontId="82" fillId="0" borderId="18" xfId="145" applyNumberFormat="1" applyFont="1" applyBorder="1" applyAlignment="1">
      <alignment horizontal="center" vertical="center" wrapText="1"/>
    </xf>
    <xf numFmtId="49" fontId="82" fillId="0" borderId="18" xfId="145" applyNumberFormat="1" applyFont="1" applyBorder="1" applyAlignment="1">
      <alignment horizontal="center" vertical="center" wrapText="1"/>
    </xf>
    <xf numFmtId="182" fontId="82" fillId="0" borderId="18" xfId="145" quotePrefix="1" applyNumberFormat="1" applyFont="1" applyBorder="1" applyAlignment="1">
      <alignment horizontal="center" vertical="center" wrapText="1"/>
    </xf>
    <xf numFmtId="204" fontId="74" fillId="0" borderId="76" xfId="98" applyNumberFormat="1" applyFont="1" applyBorder="1" applyAlignment="1">
      <alignment horizontal="center" vertical="center" wrapText="1"/>
    </xf>
    <xf numFmtId="49" fontId="82" fillId="0" borderId="76" xfId="145" applyNumberFormat="1" applyFont="1" applyBorder="1" applyAlignment="1">
      <alignment horizontal="left" vertical="center" wrapText="1"/>
    </xf>
    <xf numFmtId="198" fontId="74" fillId="0" borderId="76" xfId="145" applyNumberFormat="1" applyFont="1" applyBorder="1" applyAlignment="1">
      <alignment horizontal="right" vertical="center" wrapText="1"/>
    </xf>
    <xf numFmtId="182" fontId="74" fillId="0" borderId="244" xfId="145" applyNumberFormat="1" applyFont="1" applyBorder="1" applyAlignment="1">
      <alignment horizontal="right" vertical="center" wrapText="1"/>
    </xf>
    <xf numFmtId="204" fontId="74" fillId="0" borderId="32" xfId="98" applyNumberFormat="1" applyFont="1" applyBorder="1" applyAlignment="1">
      <alignment horizontal="center" vertical="center" wrapText="1"/>
    </xf>
    <xf numFmtId="0" fontId="74" fillId="0" borderId="76" xfId="145" applyFont="1" applyBorder="1" applyAlignment="1">
      <alignment horizontal="left" vertical="center" wrapText="1" indent="2"/>
    </xf>
    <xf numFmtId="198" fontId="74" fillId="0" borderId="32" xfId="145" applyNumberFormat="1" applyFont="1" applyBorder="1" applyAlignment="1">
      <alignment horizontal="right" vertical="center" wrapText="1"/>
    </xf>
    <xf numFmtId="182" fontId="74" fillId="26" borderId="32" xfId="145" applyNumberFormat="1" applyFont="1" applyFill="1" applyBorder="1" applyAlignment="1">
      <alignment horizontal="right" vertical="center" wrapText="1"/>
    </xf>
    <xf numFmtId="0" fontId="74" fillId="0" borderId="32" xfId="145" applyFont="1" applyBorder="1" applyAlignment="1">
      <alignment horizontal="left" vertical="center" wrapText="1" indent="4"/>
    </xf>
    <xf numFmtId="198" fontId="74" fillId="0" borderId="115" xfId="145" applyNumberFormat="1" applyFont="1" applyBorder="1" applyAlignment="1">
      <alignment horizontal="right" vertical="center" wrapText="1"/>
    </xf>
    <xf numFmtId="182" fontId="74" fillId="0" borderId="32" xfId="145" applyNumberFormat="1" applyFont="1" applyBorder="1" applyAlignment="1">
      <alignment horizontal="right" vertical="center" wrapText="1"/>
    </xf>
    <xf numFmtId="204" fontId="74" fillId="0" borderId="91" xfId="98" applyNumberFormat="1" applyFont="1" applyBorder="1" applyAlignment="1">
      <alignment horizontal="center" vertical="center" wrapText="1"/>
    </xf>
    <xf numFmtId="0" fontId="74" fillId="0" borderId="91" xfId="145" applyFont="1" applyBorder="1" applyAlignment="1">
      <alignment horizontal="left" vertical="center" wrapText="1" indent="4"/>
    </xf>
    <xf numFmtId="198" fontId="74" fillId="0" borderId="91" xfId="145" applyNumberFormat="1" applyFont="1" applyBorder="1" applyAlignment="1">
      <alignment horizontal="right" vertical="center" wrapText="1"/>
    </xf>
    <xf numFmtId="198" fontId="74" fillId="0" borderId="116" xfId="145" applyNumberFormat="1" applyFont="1" applyBorder="1" applyAlignment="1">
      <alignment horizontal="right" vertical="center" wrapText="1"/>
    </xf>
    <xf numFmtId="182" fontId="74" fillId="0" borderId="91" xfId="145" applyNumberFormat="1" applyFont="1" applyBorder="1" applyAlignment="1">
      <alignment horizontal="right" vertical="center" wrapText="1"/>
    </xf>
    <xf numFmtId="182" fontId="74" fillId="26" borderId="76" xfId="145" applyNumberFormat="1" applyFont="1" applyFill="1" applyBorder="1" applyAlignment="1">
      <alignment horizontal="right" vertical="center" wrapText="1"/>
    </xf>
    <xf numFmtId="204" fontId="74" fillId="0" borderId="181" xfId="98" applyNumberFormat="1" applyFont="1" applyBorder="1" applyAlignment="1">
      <alignment horizontal="center" vertical="center" wrapText="1"/>
    </xf>
    <xf numFmtId="0" fontId="74" fillId="0" borderId="181" xfId="145" applyFont="1" applyBorder="1" applyAlignment="1">
      <alignment horizontal="left" vertical="center" wrapText="1" indent="4"/>
    </xf>
    <xf numFmtId="198" fontId="74" fillId="0" borderId="181" xfId="145" applyNumberFormat="1" applyFont="1" applyBorder="1" applyAlignment="1">
      <alignment horizontal="right" vertical="center" wrapText="1"/>
    </xf>
    <xf numFmtId="198" fontId="74" fillId="0" borderId="245" xfId="145" applyNumberFormat="1" applyFont="1" applyBorder="1" applyAlignment="1">
      <alignment horizontal="right" vertical="center" wrapText="1"/>
    </xf>
    <xf numFmtId="182" fontId="74" fillId="0" borderId="181" xfId="145" applyNumberFormat="1" applyFont="1" applyBorder="1" applyAlignment="1">
      <alignment horizontal="right" vertical="center" wrapText="1"/>
    </xf>
    <xf numFmtId="204" fontId="74" fillId="0" borderId="18" xfId="98" applyNumberFormat="1" applyFont="1" applyBorder="1" applyAlignment="1">
      <alignment horizontal="center" vertical="center" wrapText="1"/>
    </xf>
    <xf numFmtId="0" fontId="74" fillId="0" borderId="18" xfId="145" applyFont="1" applyBorder="1" applyAlignment="1">
      <alignment horizontal="left" vertical="center" wrapText="1" indent="2"/>
    </xf>
    <xf numFmtId="198" fontId="74" fillId="0" borderId="18" xfId="145" applyNumberFormat="1" applyFont="1" applyBorder="1" applyAlignment="1">
      <alignment horizontal="right" vertical="center" wrapText="1"/>
    </xf>
    <xf numFmtId="182" fontId="74" fillId="0" borderId="129" xfId="145" applyNumberFormat="1" applyFont="1" applyBorder="1" applyAlignment="1">
      <alignment horizontal="right" vertical="center" wrapText="1"/>
    </xf>
    <xf numFmtId="0" fontId="74" fillId="0" borderId="32" xfId="145" applyFont="1" applyBorder="1" applyAlignment="1">
      <alignment horizontal="left" vertical="center" wrapText="1" indent="6"/>
    </xf>
    <xf numFmtId="0" fontId="74" fillId="0" borderId="91" xfId="145" applyFont="1" applyBorder="1" applyAlignment="1">
      <alignment horizontal="left" vertical="center" wrapText="1" indent="6"/>
    </xf>
    <xf numFmtId="182" fontId="74" fillId="0" borderId="116" xfId="145" applyNumberFormat="1" applyFont="1" applyBorder="1" applyAlignment="1">
      <alignment horizontal="right" vertical="center" wrapText="1"/>
    </xf>
    <xf numFmtId="182" fontId="74" fillId="0" borderId="115" xfId="145" applyNumberFormat="1" applyFont="1" applyBorder="1" applyAlignment="1">
      <alignment horizontal="right" vertical="center" wrapText="1"/>
    </xf>
    <xf numFmtId="0" fontId="74" fillId="0" borderId="32" xfId="145" applyFont="1" applyBorder="1" applyAlignment="1">
      <alignment horizontal="left" vertical="center" wrapText="1" indent="8"/>
    </xf>
    <xf numFmtId="0" fontId="74" fillId="0" borderId="32" xfId="145" applyFont="1" applyBorder="1" applyAlignment="1">
      <alignment horizontal="left" vertical="center" wrapText="1" indent="10"/>
    </xf>
    <xf numFmtId="0" fontId="74" fillId="0" borderId="91" xfId="145" applyFont="1" applyBorder="1" applyAlignment="1">
      <alignment horizontal="left" vertical="center" wrapText="1" indent="10"/>
    </xf>
    <xf numFmtId="49" fontId="74" fillId="0" borderId="76" xfId="98" applyNumberFormat="1" applyFont="1" applyBorder="1" applyAlignment="1">
      <alignment horizontal="center" vertical="center" wrapText="1"/>
    </xf>
    <xf numFmtId="49" fontId="74" fillId="0" borderId="32" xfId="98" applyNumberFormat="1" applyFont="1" applyBorder="1" applyAlignment="1">
      <alignment horizontal="center" vertical="center" wrapText="1"/>
    </xf>
    <xf numFmtId="198" fontId="74" fillId="0" borderId="246" xfId="145" applyNumberFormat="1" applyFont="1" applyBorder="1" applyAlignment="1">
      <alignment horizontal="right" vertical="center" wrapText="1"/>
    </xf>
    <xf numFmtId="49" fontId="74" fillId="0" borderId="181" xfId="98" applyNumberFormat="1" applyFont="1" applyBorder="1" applyAlignment="1">
      <alignment horizontal="center" vertical="center" wrapText="1"/>
    </xf>
    <xf numFmtId="198" fontId="74" fillId="0" borderId="247" xfId="145" applyNumberFormat="1" applyFont="1" applyBorder="1" applyAlignment="1">
      <alignment horizontal="right" vertical="center" wrapText="1"/>
    </xf>
    <xf numFmtId="49" fontId="82" fillId="0" borderId="18" xfId="145" applyNumberFormat="1" applyFont="1" applyBorder="1" applyAlignment="1">
      <alignment horizontal="left" vertical="center" wrapText="1"/>
    </xf>
    <xf numFmtId="182" fontId="74" fillId="26" borderId="18" xfId="145" applyNumberFormat="1" applyFont="1" applyFill="1" applyBorder="1" applyAlignment="1">
      <alignment horizontal="right" vertical="center" wrapText="1"/>
    </xf>
    <xf numFmtId="49" fontId="74" fillId="0" borderId="76" xfId="145" applyNumberFormat="1" applyFont="1" applyBorder="1" applyAlignment="1">
      <alignment horizontal="left" vertical="center" wrapText="1" indent="2"/>
    </xf>
    <xf numFmtId="49" fontId="74" fillId="0" borderId="32" xfId="145" applyNumberFormat="1" applyFont="1" applyBorder="1" applyAlignment="1">
      <alignment horizontal="left" vertical="center" wrapText="1" indent="4"/>
    </xf>
    <xf numFmtId="205" fontId="74" fillId="0" borderId="32" xfId="98" applyNumberFormat="1" applyFont="1" applyBorder="1" applyAlignment="1">
      <alignment horizontal="center" vertical="center" wrapText="1"/>
    </xf>
    <xf numFmtId="205" fontId="74" fillId="0" borderId="91" xfId="98" applyNumberFormat="1" applyFont="1" applyBorder="1" applyAlignment="1">
      <alignment horizontal="center" vertical="center" wrapText="1"/>
    </xf>
    <xf numFmtId="0" fontId="74" fillId="0" borderId="91" xfId="145" applyFont="1" applyBorder="1" applyAlignment="1">
      <alignment horizontal="left" vertical="center" wrapText="1" indent="8"/>
    </xf>
    <xf numFmtId="205" fontId="74" fillId="0" borderId="76" xfId="98" applyNumberFormat="1" applyFont="1" applyBorder="1" applyAlignment="1">
      <alignment horizontal="center" vertical="center" wrapText="1"/>
    </xf>
    <xf numFmtId="205" fontId="74" fillId="0" borderId="181" xfId="98" applyNumberFormat="1" applyFont="1" applyBorder="1" applyAlignment="1">
      <alignment horizontal="center" vertical="center" wrapText="1"/>
    </xf>
    <xf numFmtId="0" fontId="74" fillId="0" borderId="181" xfId="145" applyFont="1" applyBorder="1" applyAlignment="1">
      <alignment horizontal="left" vertical="center" wrapText="1" indent="8"/>
    </xf>
    <xf numFmtId="182" fontId="74" fillId="0" borderId="245" xfId="145" applyNumberFormat="1" applyFont="1" applyBorder="1" applyAlignment="1">
      <alignment horizontal="right" vertical="center" wrapText="1"/>
    </xf>
    <xf numFmtId="205" fontId="74" fillId="0" borderId="18" xfId="98" applyNumberFormat="1" applyFont="1" applyBorder="1" applyAlignment="1">
      <alignment horizontal="center" vertical="center" wrapText="1"/>
    </xf>
    <xf numFmtId="205" fontId="74" fillId="0" borderId="15" xfId="98" applyNumberFormat="1" applyFont="1" applyBorder="1" applyAlignment="1">
      <alignment horizontal="center" vertical="center" wrapText="1"/>
    </xf>
    <xf numFmtId="0" fontId="82" fillId="0" borderId="15" xfId="145" applyFont="1" applyBorder="1" applyAlignment="1">
      <alignment horizontal="left" vertical="center" wrapText="1"/>
    </xf>
    <xf numFmtId="198" fontId="74" fillId="0" borderId="15" xfId="145" applyNumberFormat="1" applyFont="1" applyBorder="1" applyAlignment="1">
      <alignment horizontal="right" vertical="center" wrapText="1"/>
    </xf>
    <xf numFmtId="182" fontId="74" fillId="0" borderId="15" xfId="145" applyNumberFormat="1" applyFont="1" applyBorder="1" applyAlignment="1">
      <alignment horizontal="right" vertical="center" wrapText="1"/>
    </xf>
    <xf numFmtId="205" fontId="74" fillId="0" borderId="0" xfId="98" applyNumberFormat="1" applyFont="1" applyAlignment="1">
      <alignment horizontal="center" vertical="center" wrapText="1"/>
    </xf>
    <xf numFmtId="0" fontId="82" fillId="0" borderId="0" xfId="145" applyFont="1" applyAlignment="1">
      <alignment horizontal="left" vertical="center" wrapText="1"/>
    </xf>
    <xf numFmtId="198" fontId="74" fillId="0" borderId="0" xfId="145" applyNumberFormat="1" applyFont="1" applyAlignment="1">
      <alignment horizontal="right" vertical="center" wrapText="1"/>
    </xf>
    <xf numFmtId="182" fontId="74" fillId="0" borderId="0" xfId="145" applyNumberFormat="1" applyFont="1" applyAlignment="1">
      <alignment horizontal="right" vertical="center" wrapText="1"/>
    </xf>
    <xf numFmtId="0" fontId="74" fillId="0" borderId="0" xfId="145" applyFont="1" applyAlignment="1">
      <alignment vertical="top" wrapText="1"/>
    </xf>
    <xf numFmtId="0" fontId="74" fillId="0" borderId="0" xfId="145" applyFont="1" applyAlignment="1">
      <alignment horizontal="left" vertical="center"/>
    </xf>
    <xf numFmtId="49" fontId="74" fillId="0" borderId="0" xfId="145" applyNumberFormat="1" applyFont="1" applyAlignment="1">
      <alignment horizontal="center" vertical="center" wrapText="1"/>
    </xf>
    <xf numFmtId="0" fontId="74" fillId="0" borderId="0" xfId="146" applyFont="1" applyAlignment="1">
      <alignment vertical="center" wrapText="1"/>
    </xf>
    <xf numFmtId="0" fontId="74" fillId="0" borderId="0" xfId="145" applyFont="1" applyAlignment="1">
      <alignment horizontal="right" vertical="center" wrapText="1"/>
    </xf>
    <xf numFmtId="0" fontId="74" fillId="0" borderId="0" xfId="145" applyFont="1" applyAlignment="1">
      <alignment horizontal="right" vertical="center"/>
    </xf>
    <xf numFmtId="0" fontId="74" fillId="0" borderId="18" xfId="145" applyFont="1" applyBorder="1" applyAlignment="1">
      <alignment horizontal="center" vertical="center" wrapText="1"/>
    </xf>
    <xf numFmtId="49" fontId="74" fillId="0" borderId="18" xfId="145" applyNumberFormat="1" applyFont="1" applyBorder="1" applyAlignment="1">
      <alignment horizontal="left" vertical="center" wrapText="1"/>
    </xf>
    <xf numFmtId="188" fontId="74" fillId="26" borderId="76" xfId="145" applyNumberFormat="1" applyFont="1" applyFill="1" applyBorder="1" applyAlignment="1">
      <alignment horizontal="left" vertical="center" wrapText="1"/>
    </xf>
    <xf numFmtId="178" fontId="74" fillId="0" borderId="244" xfId="166" applyNumberFormat="1" applyFont="1" applyFill="1" applyBorder="1" applyAlignment="1">
      <alignment horizontal="right" vertical="center" wrapText="1"/>
    </xf>
    <xf numFmtId="49" fontId="74" fillId="0" borderId="18" xfId="145" applyNumberFormat="1" applyFont="1" applyBorder="1" applyAlignment="1">
      <alignment horizontal="left" vertical="center" wrapText="1" indent="2"/>
    </xf>
    <xf numFmtId="188" fontId="74" fillId="26" borderId="32" xfId="145" applyNumberFormat="1" applyFont="1" applyFill="1" applyBorder="1" applyAlignment="1">
      <alignment horizontal="left" vertical="center" wrapText="1"/>
    </xf>
    <xf numFmtId="178" fontId="74" fillId="26" borderId="32" xfId="166" applyNumberFormat="1" applyFont="1" applyFill="1" applyBorder="1" applyAlignment="1">
      <alignment horizontal="right" vertical="center" wrapText="1"/>
    </xf>
    <xf numFmtId="49" fontId="74" fillId="0" borderId="18" xfId="145" applyNumberFormat="1" applyFont="1" applyBorder="1" applyAlignment="1">
      <alignment horizontal="left" vertical="center" wrapText="1" indent="4"/>
    </xf>
    <xf numFmtId="49" fontId="74" fillId="0" borderId="18" xfId="145" applyNumberFormat="1" applyFont="1" applyBorder="1" applyAlignment="1">
      <alignment horizontal="left" vertical="center" wrapText="1" indent="6"/>
    </xf>
    <xf numFmtId="178" fontId="74" fillId="0" borderId="32" xfId="166" applyNumberFormat="1" applyFont="1" applyFill="1" applyBorder="1" applyAlignment="1">
      <alignment horizontal="right" vertical="center" wrapText="1"/>
    </xf>
    <xf numFmtId="178" fontId="74" fillId="0" borderId="115" xfId="166" applyNumberFormat="1" applyFont="1" applyFill="1" applyBorder="1" applyAlignment="1">
      <alignment horizontal="right" vertical="center" wrapText="1"/>
    </xf>
    <xf numFmtId="49" fontId="74" fillId="27" borderId="18" xfId="145" applyNumberFormat="1" applyFont="1" applyFill="1" applyBorder="1" applyAlignment="1">
      <alignment horizontal="left" vertical="center" wrapText="1" indent="6"/>
    </xf>
    <xf numFmtId="0" fontId="74" fillId="0" borderId="15" xfId="145" applyFont="1" applyBorder="1" applyAlignment="1">
      <alignment vertical="center" wrapText="1"/>
    </xf>
    <xf numFmtId="188" fontId="74" fillId="26" borderId="32" xfId="145" applyNumberFormat="1" applyFont="1" applyFill="1" applyBorder="1" applyAlignment="1">
      <alignment vertical="center" wrapText="1"/>
    </xf>
    <xf numFmtId="188" fontId="74" fillId="26" borderId="32" xfId="145" applyNumberFormat="1" applyFont="1" applyFill="1" applyBorder="1" applyAlignment="1">
      <alignment horizontal="center" vertical="center" wrapText="1"/>
    </xf>
    <xf numFmtId="178" fontId="74" fillId="0" borderId="32" xfId="166" applyNumberFormat="1" applyFont="1" applyFill="1" applyBorder="1" applyAlignment="1">
      <alignment horizontal="left" vertical="center" wrapText="1"/>
    </xf>
    <xf numFmtId="0" fontId="74" fillId="0" borderId="18" xfId="145" applyFont="1" applyBorder="1" applyAlignment="1">
      <alignment horizontal="left" vertical="center" wrapText="1"/>
    </xf>
    <xf numFmtId="188" fontId="74" fillId="26" borderId="91" xfId="145" applyNumberFormat="1" applyFont="1" applyFill="1" applyBorder="1" applyAlignment="1">
      <alignment horizontal="left" vertical="center" wrapText="1"/>
    </xf>
    <xf numFmtId="178" fontId="74" fillId="26" borderId="91" xfId="166" applyNumberFormat="1" applyFont="1" applyFill="1" applyBorder="1" applyAlignment="1">
      <alignment horizontal="right" vertical="center" wrapText="1"/>
    </xf>
    <xf numFmtId="188" fontId="74" fillId="0" borderId="0" xfId="145" applyNumberFormat="1" applyFont="1" applyAlignment="1">
      <alignment horizontal="left" vertical="center" wrapText="1"/>
    </xf>
    <xf numFmtId="0" fontId="74" fillId="0" borderId="0" xfId="129" applyFont="1" applyAlignment="1">
      <alignment horizontal="center" vertical="center"/>
    </xf>
    <xf numFmtId="188" fontId="74" fillId="0" borderId="0" xfId="145" applyNumberFormat="1" applyFont="1" applyAlignment="1">
      <alignment horizontal="left" vertical="center"/>
    </xf>
    <xf numFmtId="0" fontId="74" fillId="0" borderId="0" xfId="0" applyFont="1" applyAlignment="1">
      <alignment horizontal="center" vertical="center"/>
    </xf>
    <xf numFmtId="0" fontId="74" fillId="0" borderId="0" xfId="116" applyFont="1" applyAlignment="1">
      <alignment vertical="center"/>
    </xf>
    <xf numFmtId="0" fontId="74" fillId="0" borderId="19" xfId="116" quotePrefix="1" applyFont="1" applyBorder="1" applyAlignment="1">
      <alignment vertical="center"/>
    </xf>
    <xf numFmtId="0" fontId="74" fillId="0" borderId="19" xfId="161" applyFont="1" applyBorder="1" applyAlignment="1">
      <alignment vertical="center"/>
    </xf>
    <xf numFmtId="0" fontId="74" fillId="0" borderId="0" xfId="116" applyFont="1" applyAlignment="1">
      <alignment horizontal="right" vertical="center" wrapText="1"/>
    </xf>
    <xf numFmtId="0" fontId="74" fillId="0" borderId="0" xfId="116" applyFont="1" applyAlignment="1">
      <alignment horizontal="right" vertical="center"/>
    </xf>
    <xf numFmtId="0" fontId="82" fillId="0" borderId="18" xfId="116" applyFont="1" applyBorder="1" applyAlignment="1">
      <alignment horizontal="centerContinuous" vertical="center" wrapText="1"/>
    </xf>
    <xf numFmtId="0" fontId="82" fillId="0" borderId="18" xfId="116" quotePrefix="1" applyFont="1" applyBorder="1" applyAlignment="1">
      <alignment horizontal="center" vertical="center" wrapText="1"/>
    </xf>
    <xf numFmtId="0" fontId="74" fillId="0" borderId="18" xfId="152" applyFont="1" applyBorder="1" applyAlignment="1">
      <alignment horizontal="center" vertical="center" wrapText="1"/>
    </xf>
    <xf numFmtId="182" fontId="74" fillId="0" borderId="18" xfId="116" applyNumberFormat="1" applyFont="1" applyBorder="1" applyAlignment="1" applyProtection="1">
      <alignment horizontal="right" vertical="center" wrapText="1"/>
      <protection locked="0"/>
    </xf>
    <xf numFmtId="197" fontId="74" fillId="0" borderId="18" xfId="116" applyNumberFormat="1" applyFont="1" applyBorder="1" applyAlignment="1" applyProtection="1">
      <alignment horizontal="left" vertical="center" wrapText="1"/>
      <protection locked="0"/>
    </xf>
    <xf numFmtId="198" fontId="74" fillId="33" borderId="18" xfId="107" applyNumberFormat="1" applyFont="1" applyFill="1" applyBorder="1" applyAlignment="1">
      <alignment horizontal="right" vertical="center" wrapText="1"/>
    </xf>
    <xf numFmtId="182" fontId="74" fillId="0" borderId="129" xfId="116" applyNumberFormat="1" applyFont="1" applyBorder="1" applyAlignment="1" applyProtection="1">
      <alignment horizontal="right" vertical="center" wrapText="1"/>
      <protection locked="0"/>
    </xf>
    <xf numFmtId="0" fontId="74" fillId="0" borderId="0" xfId="152" applyFont="1" applyAlignment="1">
      <alignment horizontal="center" vertical="center" wrapText="1"/>
    </xf>
    <xf numFmtId="182" fontId="74" fillId="0" borderId="0" xfId="116" applyNumberFormat="1" applyFont="1" applyAlignment="1" applyProtection="1">
      <alignment horizontal="right" vertical="center" wrapText="1"/>
      <protection locked="0"/>
    </xf>
    <xf numFmtId="197" fontId="74" fillId="0" borderId="0" xfId="116" applyNumberFormat="1" applyFont="1" applyAlignment="1" applyProtection="1">
      <alignment horizontal="left" vertical="center" wrapText="1"/>
      <protection locked="0"/>
    </xf>
    <xf numFmtId="0" fontId="74" fillId="0" borderId="0" xfId="116" applyFont="1" applyAlignment="1">
      <alignment horizontal="center" vertical="center"/>
    </xf>
    <xf numFmtId="0" fontId="74" fillId="0" borderId="0" xfId="116" applyFont="1" applyAlignment="1">
      <alignment horizontal="left" vertical="center"/>
    </xf>
    <xf numFmtId="0" fontId="74" fillId="0" borderId="0" xfId="152" applyFont="1" applyAlignment="1">
      <alignment horizontal="center" vertical="center"/>
    </xf>
    <xf numFmtId="0" fontId="74" fillId="0" borderId="0" xfId="161" applyFont="1" applyAlignment="1">
      <alignment horizontal="left" vertical="center" wrapText="1"/>
    </xf>
    <xf numFmtId="0" fontId="74" fillId="0" borderId="0" xfId="148" applyFont="1" applyAlignment="1">
      <alignment horizontal="center" vertical="center"/>
    </xf>
    <xf numFmtId="0" fontId="74" fillId="0" borderId="19" xfId="107" quotePrefix="1" applyFont="1" applyBorder="1" applyAlignment="1">
      <alignment vertical="center"/>
    </xf>
    <xf numFmtId="0" fontId="74" fillId="0" borderId="19" xfId="159" applyFont="1" applyBorder="1" applyAlignment="1">
      <alignment vertical="center" wrapText="1"/>
    </xf>
    <xf numFmtId="198" fontId="74" fillId="0" borderId="18" xfId="107" applyNumberFormat="1" applyFont="1" applyBorder="1" applyAlignment="1">
      <alignment horizontal="center" vertical="center" wrapText="1"/>
    </xf>
    <xf numFmtId="179" fontId="74" fillId="0" borderId="18" xfId="107" applyNumberFormat="1" applyFont="1" applyBorder="1" applyAlignment="1">
      <alignment horizontal="right" vertical="center" wrapText="1"/>
    </xf>
    <xf numFmtId="0" fontId="74" fillId="0" borderId="4" xfId="107" applyFont="1" applyBorder="1" applyAlignment="1">
      <alignment vertical="center" wrapText="1"/>
    </xf>
    <xf numFmtId="198" fontId="74" fillId="0" borderId="18" xfId="159" applyNumberFormat="1" applyFont="1" applyBorder="1" applyAlignment="1">
      <alignment horizontal="left" vertical="center" wrapText="1"/>
    </xf>
    <xf numFmtId="198" fontId="74" fillId="0" borderId="18" xfId="159" applyNumberFormat="1" applyFont="1" applyBorder="1" applyAlignment="1">
      <alignment horizontal="right" vertical="center" wrapText="1"/>
    </xf>
    <xf numFmtId="198" fontId="74" fillId="0" borderId="18" xfId="159" applyNumberFormat="1" applyFont="1" applyBorder="1" applyAlignment="1">
      <alignment horizontal="center" vertical="center" wrapText="1"/>
    </xf>
    <xf numFmtId="198" fontId="74" fillId="0" borderId="0" xfId="159" applyNumberFormat="1" applyFont="1" applyAlignment="1">
      <alignment horizontal="center" vertical="center" wrapText="1"/>
    </xf>
    <xf numFmtId="198" fontId="74" fillId="0" borderId="0" xfId="159" applyNumberFormat="1" applyFont="1" applyAlignment="1">
      <alignment horizontal="left" vertical="center" wrapText="1"/>
    </xf>
    <xf numFmtId="198" fontId="74" fillId="0" borderId="0" xfId="107" applyNumberFormat="1" applyFont="1" applyAlignment="1">
      <alignment horizontal="left" vertical="center" wrapText="1"/>
    </xf>
    <xf numFmtId="198" fontId="74" fillId="0" borderId="0" xfId="159" applyNumberFormat="1" applyFont="1" applyAlignment="1">
      <alignment horizontal="right" vertical="center" wrapText="1"/>
    </xf>
    <xf numFmtId="49" fontId="74" fillId="0" borderId="0" xfId="107" applyNumberFormat="1" applyFont="1" applyAlignment="1">
      <alignment vertical="center"/>
    </xf>
    <xf numFmtId="0" fontId="74" fillId="0" borderId="0" xfId="115" applyFont="1" applyAlignment="1">
      <alignment vertical="center"/>
    </xf>
    <xf numFmtId="0" fontId="74" fillId="0" borderId="19" xfId="115" applyFont="1" applyBorder="1" applyAlignment="1">
      <alignment vertical="center"/>
    </xf>
    <xf numFmtId="0" fontId="74" fillId="0" borderId="19" xfId="115" applyFont="1" applyBorder="1" applyAlignment="1">
      <alignment vertical="center" wrapText="1"/>
    </xf>
    <xf numFmtId="0" fontId="74" fillId="0" borderId="19" xfId="115" applyFont="1" applyBorder="1" applyAlignment="1">
      <alignment horizontal="right" vertical="center"/>
    </xf>
    <xf numFmtId="0" fontId="82" fillId="0" borderId="18" xfId="108" applyFont="1" applyBorder="1" applyAlignment="1">
      <alignment horizontal="center" vertical="center" wrapText="1"/>
    </xf>
    <xf numFmtId="0" fontId="82" fillId="0" borderId="18" xfId="108" quotePrefix="1" applyFont="1" applyBorder="1" applyAlignment="1">
      <alignment horizontal="center" vertical="center" wrapText="1"/>
    </xf>
    <xf numFmtId="182" fontId="74" fillId="0" borderId="18" xfId="115" applyNumberFormat="1" applyFont="1" applyBorder="1" applyAlignment="1" applyProtection="1">
      <alignment horizontal="right" vertical="center" wrapText="1"/>
      <protection locked="0"/>
    </xf>
    <xf numFmtId="10" fontId="74" fillId="0" borderId="18" xfId="115" applyNumberFormat="1" applyFont="1" applyBorder="1" applyAlignment="1" applyProtection="1">
      <alignment horizontal="right" vertical="center" wrapText="1"/>
      <protection locked="0"/>
    </xf>
    <xf numFmtId="197" fontId="74" fillId="0" borderId="18" xfId="115" applyNumberFormat="1" applyFont="1" applyBorder="1" applyAlignment="1" applyProtection="1">
      <alignment horizontal="left" vertical="center" wrapText="1"/>
      <protection locked="0"/>
    </xf>
    <xf numFmtId="182" fontId="74" fillId="0" borderId="129" xfId="115" applyNumberFormat="1" applyFont="1" applyBorder="1" applyAlignment="1" applyProtection="1">
      <alignment horizontal="right" vertical="center" wrapText="1"/>
      <protection locked="0"/>
    </xf>
    <xf numFmtId="10" fontId="74" fillId="0" borderId="129" xfId="115" applyNumberFormat="1" applyFont="1" applyBorder="1" applyAlignment="1" applyProtection="1">
      <alignment horizontal="right" vertical="center" wrapText="1"/>
      <protection locked="0"/>
    </xf>
    <xf numFmtId="0" fontId="74" fillId="0" borderId="19" xfId="107" applyFont="1" applyBorder="1" applyAlignment="1">
      <alignment vertical="center"/>
    </xf>
    <xf numFmtId="0" fontId="74" fillId="0" borderId="19" xfId="107" applyFont="1" applyBorder="1" applyAlignment="1">
      <alignment vertical="center" wrapText="1"/>
    </xf>
    <xf numFmtId="49" fontId="74" fillId="0" borderId="18" xfId="107" applyNumberFormat="1" applyFont="1" applyBorder="1" applyAlignment="1">
      <alignment horizontal="center" vertical="center" wrapText="1"/>
    </xf>
    <xf numFmtId="10" fontId="74" fillId="0" borderId="18" xfId="107" applyNumberFormat="1" applyFont="1" applyBorder="1" applyAlignment="1">
      <alignment horizontal="center" vertical="center" wrapText="1"/>
    </xf>
    <xf numFmtId="179" fontId="74" fillId="0" borderId="18" xfId="107" applyNumberFormat="1" applyFont="1" applyBorder="1" applyAlignment="1">
      <alignment horizontal="center" vertical="center" wrapText="1"/>
    </xf>
    <xf numFmtId="219" fontId="74" fillId="0" borderId="18" xfId="190" applyNumberFormat="1" applyFont="1" applyFill="1" applyBorder="1" applyAlignment="1">
      <alignment horizontal="center" vertical="center" wrapText="1"/>
    </xf>
    <xf numFmtId="49" fontId="74" fillId="26" borderId="18" xfId="107" applyNumberFormat="1" applyFont="1" applyFill="1" applyBorder="1" applyAlignment="1">
      <alignment horizontal="center" vertical="center" wrapText="1"/>
    </xf>
    <xf numFmtId="49" fontId="74" fillId="26" borderId="129" xfId="107" applyNumberFormat="1" applyFont="1" applyFill="1" applyBorder="1" applyAlignment="1">
      <alignment horizontal="center" vertical="center" wrapText="1"/>
    </xf>
    <xf numFmtId="10" fontId="74" fillId="26" borderId="129" xfId="107" applyNumberFormat="1" applyFont="1" applyFill="1" applyBorder="1" applyAlignment="1">
      <alignment horizontal="center" vertical="center" wrapText="1"/>
    </xf>
    <xf numFmtId="179" fontId="74" fillId="26" borderId="18" xfId="107" applyNumberFormat="1" applyFont="1" applyFill="1" applyBorder="1" applyAlignment="1">
      <alignment horizontal="center" vertical="center" wrapText="1"/>
    </xf>
    <xf numFmtId="179" fontId="74" fillId="26" borderId="129" xfId="107" applyNumberFormat="1" applyFont="1" applyFill="1" applyBorder="1" applyAlignment="1">
      <alignment horizontal="center" vertical="center" wrapText="1"/>
    </xf>
    <xf numFmtId="0" fontId="74" fillId="26" borderId="129" xfId="107" applyFont="1" applyFill="1" applyBorder="1" applyAlignment="1">
      <alignment horizontal="center" vertical="center" wrapText="1"/>
    </xf>
    <xf numFmtId="0" fontId="74" fillId="26" borderId="18" xfId="107" applyFont="1" applyFill="1" applyBorder="1" applyAlignment="1">
      <alignment horizontal="center" vertical="center" wrapText="1"/>
    </xf>
    <xf numFmtId="49" fontId="74" fillId="0" borderId="0" xfId="107" applyNumberFormat="1" applyFont="1" applyAlignment="1">
      <alignment horizontal="center" vertical="center" wrapText="1"/>
    </xf>
    <xf numFmtId="49" fontId="74" fillId="0" borderId="0" xfId="107" applyNumberFormat="1" applyFont="1" applyAlignment="1">
      <alignment horizontal="left" vertical="center" wrapText="1"/>
    </xf>
    <xf numFmtId="10" fontId="74" fillId="0" borderId="0" xfId="107" applyNumberFormat="1" applyFont="1" applyAlignment="1">
      <alignment horizontal="right" vertical="center" wrapText="1"/>
    </xf>
    <xf numFmtId="179" fontId="74" fillId="0" borderId="0" xfId="107" applyNumberFormat="1" applyFont="1" applyAlignment="1">
      <alignment horizontal="right" vertical="center" wrapText="1"/>
    </xf>
    <xf numFmtId="0" fontId="68" fillId="0" borderId="0" xfId="107" applyFont="1" applyAlignment="1">
      <alignment horizontal="center" vertical="center" wrapText="1"/>
    </xf>
    <xf numFmtId="0" fontId="68" fillId="0" borderId="0" xfId="107" applyFont="1" applyAlignment="1">
      <alignment vertical="top"/>
    </xf>
    <xf numFmtId="0" fontId="74" fillId="0" borderId="0" xfId="114" applyFont="1" applyAlignment="1">
      <alignment horizontal="left" vertical="center"/>
    </xf>
    <xf numFmtId="0" fontId="74" fillId="0" borderId="0" xfId="114" applyFont="1" applyAlignment="1">
      <alignment horizontal="left" vertical="center" wrapText="1"/>
    </xf>
    <xf numFmtId="0" fontId="74" fillId="0" borderId="0" xfId="107" applyFont="1" applyAlignment="1">
      <alignment horizontal="left" vertical="top"/>
    </xf>
    <xf numFmtId="0" fontId="74" fillId="0" borderId="0" xfId="148" applyFont="1" applyAlignment="1">
      <alignment horizontal="center" vertical="top"/>
    </xf>
    <xf numFmtId="0" fontId="74" fillId="0" borderId="0" xfId="114" applyFont="1" applyAlignment="1">
      <alignment vertical="center"/>
    </xf>
    <xf numFmtId="0" fontId="74" fillId="0" borderId="0" xfId="114" applyFont="1" applyAlignment="1">
      <alignment vertical="center" wrapText="1"/>
    </xf>
    <xf numFmtId="0" fontId="74" fillId="0" borderId="0" xfId="107" applyFont="1" applyAlignment="1">
      <alignment vertical="top"/>
    </xf>
    <xf numFmtId="0" fontId="81" fillId="0" borderId="0" xfId="114" applyFont="1" applyAlignment="1">
      <alignment horizontal="right"/>
    </xf>
    <xf numFmtId="0" fontId="81" fillId="0" borderId="18" xfId="107" applyFont="1" applyBorder="1" applyAlignment="1">
      <alignment horizontal="centerContinuous" vertical="center" wrapText="1"/>
    </xf>
    <xf numFmtId="0" fontId="81" fillId="0" borderId="18" xfId="61" applyFont="1" applyBorder="1" applyAlignment="1">
      <alignment horizontal="center" vertical="center" wrapText="1"/>
    </xf>
    <xf numFmtId="0" fontId="81" fillId="0" borderId="17" xfId="114" applyFont="1" applyBorder="1" applyAlignment="1">
      <alignment horizontal="center" vertical="center" wrapText="1"/>
    </xf>
    <xf numFmtId="0" fontId="81" fillId="0" borderId="0" xfId="161" applyFont="1" applyAlignment="1">
      <alignment horizontal="center" vertical="center" wrapText="1"/>
    </xf>
    <xf numFmtId="0" fontId="81" fillId="0" borderId="14" xfId="107" applyFont="1" applyBorder="1" applyAlignment="1">
      <alignment horizontal="center" vertical="center" wrapText="1"/>
    </xf>
    <xf numFmtId="0" fontId="81" fillId="0" borderId="16" xfId="114" applyFont="1" applyBorder="1" applyAlignment="1">
      <alignment horizontal="center" vertical="center" wrapText="1"/>
    </xf>
    <xf numFmtId="0" fontId="81" fillId="0" borderId="15" xfId="61" quotePrefix="1" applyFont="1" applyBorder="1" applyAlignment="1">
      <alignment horizontal="center" vertical="center" wrapText="1"/>
    </xf>
    <xf numFmtId="0" fontId="81" fillId="0" borderId="18" xfId="150" applyFont="1" applyBorder="1" applyAlignment="1">
      <alignment horizontal="center" vertical="center" wrapText="1"/>
    </xf>
    <xf numFmtId="0" fontId="81" fillId="0" borderId="16" xfId="150" applyFont="1" applyBorder="1" applyAlignment="1">
      <alignment horizontal="center" vertical="center" wrapText="1"/>
    </xf>
    <xf numFmtId="0" fontId="81" fillId="0" borderId="16" xfId="161" applyFont="1" applyBorder="1" applyAlignment="1">
      <alignment horizontal="center" vertical="center" wrapText="1"/>
    </xf>
    <xf numFmtId="0" fontId="81" fillId="0" borderId="130" xfId="161" applyFont="1" applyBorder="1" applyAlignment="1">
      <alignment horizontal="distributed" vertical="center"/>
    </xf>
    <xf numFmtId="219" fontId="81" fillId="0" borderId="18" xfId="190" applyNumberFormat="1" applyFont="1" applyFill="1" applyBorder="1"/>
    <xf numFmtId="219" fontId="81" fillId="28" borderId="18" xfId="190" applyNumberFormat="1" applyFont="1" applyFill="1" applyBorder="1"/>
    <xf numFmtId="10" fontId="81" fillId="0" borderId="18" xfId="213" applyNumberFormat="1" applyFont="1" applyFill="1" applyBorder="1"/>
    <xf numFmtId="0" fontId="81" fillId="0" borderId="14" xfId="150" applyFont="1" applyBorder="1" applyAlignment="1">
      <alignment horizontal="center" vertical="center" wrapText="1"/>
    </xf>
    <xf numFmtId="0" fontId="81" fillId="0" borderId="14" xfId="161" applyFont="1" applyBorder="1" applyAlignment="1">
      <alignment horizontal="center" vertical="center" wrapText="1"/>
    </xf>
    <xf numFmtId="0" fontId="81" fillId="0" borderId="130" xfId="161" applyFont="1" applyBorder="1" applyAlignment="1">
      <alignment horizontal="distributed" vertical="center" wrapText="1"/>
    </xf>
    <xf numFmtId="0" fontId="81" fillId="0" borderId="15" xfId="161" applyFont="1" applyBorder="1" applyAlignment="1">
      <alignment horizontal="center" vertical="center" wrapText="1"/>
    </xf>
    <xf numFmtId="0" fontId="81" fillId="0" borderId="18" xfId="161" quotePrefix="1" applyFont="1" applyBorder="1" applyAlignment="1">
      <alignment horizontal="center" vertical="center" wrapText="1"/>
    </xf>
    <xf numFmtId="0" fontId="81" fillId="0" borderId="18" xfId="114" applyFont="1" applyBorder="1" applyAlignment="1">
      <alignment horizontal="center" vertical="center" wrapText="1"/>
    </xf>
    <xf numFmtId="0" fontId="81" fillId="0" borderId="18" xfId="161" applyFont="1" applyBorder="1" applyAlignment="1">
      <alignment horizontal="center" vertical="center" wrapText="1"/>
    </xf>
    <xf numFmtId="0" fontId="81" fillId="0" borderId="130" xfId="161" quotePrefix="1" applyFont="1" applyBorder="1" applyAlignment="1">
      <alignment horizontal="distributed" vertical="distributed"/>
    </xf>
    <xf numFmtId="0" fontId="81" fillId="0" borderId="18" xfId="161" quotePrefix="1" applyFont="1" applyBorder="1" applyAlignment="1">
      <alignment horizontal="distributed" vertical="distributed"/>
    </xf>
    <xf numFmtId="0" fontId="81" fillId="0" borderId="18" xfId="161" applyFont="1" applyBorder="1" applyAlignment="1">
      <alignment horizontal="distributed" vertical="center"/>
    </xf>
    <xf numFmtId="0" fontId="81" fillId="0" borderId="17" xfId="150" applyFont="1" applyBorder="1" applyAlignment="1">
      <alignment horizontal="center" vertical="center" wrapText="1"/>
    </xf>
    <xf numFmtId="0" fontId="81" fillId="0" borderId="15" xfId="150" applyFont="1" applyBorder="1" applyAlignment="1">
      <alignment horizontal="center" vertical="center" wrapText="1"/>
    </xf>
    <xf numFmtId="0" fontId="81" fillId="0" borderId="0" xfId="161" applyFont="1" applyAlignment="1">
      <alignment horizontal="center" vertical="center"/>
    </xf>
    <xf numFmtId="0" fontId="81" fillId="0" borderId="0" xfId="61" applyFont="1" applyAlignment="1">
      <alignment horizontal="center" vertical="center"/>
    </xf>
    <xf numFmtId="0" fontId="81" fillId="0" borderId="0" xfId="61" applyFont="1" applyAlignment="1">
      <alignment vertical="center"/>
    </xf>
    <xf numFmtId="0" fontId="81" fillId="0" borderId="0" xfId="61" applyFont="1" applyAlignment="1">
      <alignment horizontal="left" vertical="center"/>
    </xf>
    <xf numFmtId="0" fontId="81" fillId="0" borderId="0" xfId="98" applyFont="1" applyAlignment="1">
      <alignment vertical="center"/>
    </xf>
    <xf numFmtId="0" fontId="81" fillId="0" borderId="0" xfId="98" applyFont="1" applyAlignment="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0" fontId="81" fillId="0" borderId="0" xfId="107" applyFont="1" applyAlignment="1">
      <alignment horizontal="left" vertical="top"/>
    </xf>
    <xf numFmtId="0" fontId="75" fillId="0" borderId="0" xfId="107" applyFont="1" applyAlignment="1">
      <alignment horizontal="left"/>
    </xf>
    <xf numFmtId="0" fontId="87" fillId="0" borderId="0" xfId="107" applyFont="1" applyAlignment="1">
      <alignment horizontal="right"/>
    </xf>
    <xf numFmtId="0" fontId="75" fillId="0" borderId="16" xfId="107" applyFont="1" applyBorder="1" applyAlignment="1">
      <alignment horizontal="distributed" vertical="center"/>
    </xf>
    <xf numFmtId="0" fontId="75" fillId="0" borderId="21" xfId="107" applyFont="1" applyBorder="1" applyAlignment="1">
      <alignment horizontal="center" vertical="center"/>
    </xf>
    <xf numFmtId="0" fontId="75" fillId="0" borderId="0" xfId="107" applyFont="1" applyAlignment="1">
      <alignment horizontal="distributed" vertical="center"/>
    </xf>
    <xf numFmtId="0" fontId="75" fillId="0" borderId="15" xfId="107" quotePrefix="1" applyFont="1" applyBorder="1" applyAlignment="1">
      <alignment horizontal="center"/>
    </xf>
    <xf numFmtId="41" fontId="75" fillId="0" borderId="15" xfId="190" applyFont="1" applyFill="1" applyBorder="1" applyAlignment="1">
      <alignment horizontal="center"/>
    </xf>
    <xf numFmtId="0" fontId="75" fillId="0" borderId="18" xfId="107" applyFont="1" applyBorder="1" applyAlignment="1">
      <alignment horizontal="center"/>
    </xf>
    <xf numFmtId="0" fontId="75" fillId="0" borderId="18" xfId="107" applyFont="1" applyBorder="1"/>
    <xf numFmtId="219" fontId="75" fillId="0" borderId="18" xfId="190" applyNumberFormat="1" applyFont="1" applyFill="1" applyBorder="1"/>
    <xf numFmtId="219" fontId="75" fillId="28" borderId="18" xfId="190" applyNumberFormat="1" applyFont="1" applyFill="1" applyBorder="1"/>
    <xf numFmtId="10" fontId="75" fillId="28" borderId="18" xfId="213" applyNumberFormat="1" applyFont="1" applyFill="1" applyBorder="1"/>
    <xf numFmtId="10" fontId="75" fillId="0" borderId="18" xfId="213" applyNumberFormat="1" applyFont="1" applyFill="1" applyBorder="1"/>
    <xf numFmtId="0" fontId="75" fillId="0" borderId="18" xfId="107" applyFont="1" applyBorder="1" applyAlignment="1">
      <alignment horizontal="left"/>
    </xf>
    <xf numFmtId="0" fontId="75" fillId="0" borderId="18" xfId="107" applyFont="1" applyBorder="1" applyAlignment="1">
      <alignment horizontal="left" wrapText="1"/>
    </xf>
    <xf numFmtId="0" fontId="75" fillId="0" borderId="18" xfId="107" applyFont="1" applyBorder="1" applyAlignment="1">
      <alignment horizontal="left" vertical="center" wrapText="1"/>
    </xf>
    <xf numFmtId="0" fontId="75" fillId="0" borderId="18" xfId="107" applyFont="1" applyBorder="1" applyAlignment="1">
      <alignment horizontal="left" vertical="center"/>
    </xf>
    <xf numFmtId="0" fontId="81" fillId="0" borderId="18" xfId="107" applyFont="1" applyBorder="1" applyAlignment="1">
      <alignment horizontal="left"/>
    </xf>
    <xf numFmtId="0" fontId="75" fillId="0" borderId="18" xfId="107" quotePrefix="1" applyFont="1" applyBorder="1" applyAlignment="1">
      <alignment horizontal="center"/>
    </xf>
    <xf numFmtId="0" fontId="75" fillId="0" borderId="18" xfId="107" applyFont="1" applyBorder="1" applyAlignment="1">
      <alignment wrapText="1"/>
    </xf>
    <xf numFmtId="202" fontId="75" fillId="0" borderId="18" xfId="190" applyNumberFormat="1" applyFont="1" applyFill="1" applyBorder="1"/>
    <xf numFmtId="0" fontId="75" fillId="0" borderId="0" xfId="107" applyFont="1" applyAlignment="1">
      <alignment horizontal="center"/>
    </xf>
    <xf numFmtId="0" fontId="75" fillId="0" borderId="0" xfId="107" applyFont="1" applyAlignment="1">
      <alignment horizontal="left" vertical="center"/>
    </xf>
    <xf numFmtId="0" fontId="68" fillId="0" borderId="0" xfId="0" applyFont="1" applyAlignment="1">
      <alignment horizontal="left"/>
    </xf>
    <xf numFmtId="0" fontId="75" fillId="0" borderId="0" xfId="107" applyFont="1" applyAlignment="1">
      <alignment horizontal="center" vertical="center"/>
    </xf>
    <xf numFmtId="0" fontId="13" fillId="0" borderId="0" xfId="107" applyFont="1" applyAlignment="1">
      <alignment vertical="center"/>
    </xf>
    <xf numFmtId="0" fontId="13" fillId="0" borderId="0" xfId="107" applyFont="1" applyAlignment="1">
      <alignment vertical="center" wrapText="1"/>
    </xf>
    <xf numFmtId="0" fontId="13" fillId="0" borderId="0" xfId="137" applyAlignment="1">
      <alignment vertical="center" wrapText="1"/>
    </xf>
    <xf numFmtId="0" fontId="13" fillId="0" borderId="0" xfId="137" applyAlignment="1">
      <alignment wrapText="1"/>
    </xf>
    <xf numFmtId="0" fontId="38" fillId="0" borderId="18" xfId="107" applyFont="1" applyBorder="1" applyAlignment="1">
      <alignment horizontal="center" vertical="center" wrapText="1"/>
    </xf>
    <xf numFmtId="0" fontId="38" fillId="0" borderId="18" xfId="107" quotePrefix="1" applyFont="1" applyBorder="1" applyAlignment="1">
      <alignment horizontal="center" vertical="center" wrapText="1"/>
    </xf>
    <xf numFmtId="0" fontId="13" fillId="0" borderId="18" xfId="107" applyFont="1" applyBorder="1" applyAlignment="1">
      <alignment horizontal="left" vertical="center" wrapText="1"/>
    </xf>
    <xf numFmtId="0" fontId="13" fillId="0" borderId="0" xfId="107" applyFont="1" applyAlignment="1">
      <alignment horizontal="center" vertical="center" wrapText="1"/>
    </xf>
    <xf numFmtId="0" fontId="13" fillId="0" borderId="0" xfId="163" applyFont="1" applyAlignment="1">
      <alignment vertical="center" wrapText="1"/>
    </xf>
    <xf numFmtId="0" fontId="13" fillId="0" borderId="0" xfId="163" applyFont="1" applyAlignment="1">
      <alignment wrapText="1"/>
    </xf>
    <xf numFmtId="0" fontId="13" fillId="0" borderId="0" xfId="107" quotePrefix="1" applyFont="1" applyAlignment="1">
      <alignment vertical="center"/>
    </xf>
    <xf numFmtId="0" fontId="13" fillId="0" borderId="0" xfId="163" applyFont="1" applyAlignment="1">
      <alignment horizontal="right" vertical="center"/>
    </xf>
    <xf numFmtId="0" fontId="38" fillId="0" borderId="18" xfId="107" applyFont="1" applyBorder="1" applyAlignment="1">
      <alignment horizontal="centerContinuous" vertical="center" wrapText="1"/>
    </xf>
    <xf numFmtId="0" fontId="13" fillId="0" borderId="18" xfId="148" applyFont="1" applyBorder="1" applyAlignment="1">
      <alignment horizontal="center" vertical="center" wrapText="1"/>
    </xf>
    <xf numFmtId="198" fontId="13" fillId="0" borderId="18" xfId="107" applyNumberFormat="1" applyFont="1" applyBorder="1" applyAlignment="1">
      <alignment horizontal="right" vertical="center" wrapText="1"/>
    </xf>
    <xf numFmtId="197" fontId="13" fillId="0" borderId="18" xfId="107" applyNumberFormat="1" applyFont="1" applyBorder="1" applyAlignment="1">
      <alignment horizontal="left" vertical="center" wrapText="1"/>
    </xf>
    <xf numFmtId="198" fontId="13" fillId="0" borderId="129" xfId="107" applyNumberFormat="1" applyFont="1" applyBorder="1" applyAlignment="1">
      <alignment horizontal="right" vertical="center" wrapText="1"/>
    </xf>
    <xf numFmtId="209" fontId="13" fillId="0" borderId="18" xfId="148" quotePrefix="1" applyNumberFormat="1" applyFont="1" applyBorder="1" applyAlignment="1">
      <alignment horizontal="center" vertical="center" wrapText="1"/>
    </xf>
    <xf numFmtId="0" fontId="31" fillId="0" borderId="18" xfId="107" applyFont="1" applyBorder="1" applyAlignment="1">
      <alignment horizontal="left" vertical="center" wrapText="1"/>
    </xf>
    <xf numFmtId="0" fontId="13" fillId="0" borderId="18" xfId="107" applyFont="1" applyBorder="1" applyAlignment="1">
      <alignment vertical="center" wrapText="1"/>
    </xf>
    <xf numFmtId="49" fontId="13" fillId="0" borderId="18" xfId="148" applyNumberFormat="1" applyFont="1" applyBorder="1" applyAlignment="1">
      <alignment horizontal="center" vertical="center" wrapText="1"/>
    </xf>
    <xf numFmtId="0" fontId="13" fillId="0" borderId="0" xfId="107" applyFont="1" applyAlignment="1">
      <alignment horizontal="right" vertical="center" wrapText="1"/>
    </xf>
    <xf numFmtId="0" fontId="13" fillId="0" borderId="18" xfId="107" applyFont="1" applyBorder="1" applyAlignment="1">
      <alignment horizontal="left" vertical="center" wrapText="1" indent="2"/>
    </xf>
    <xf numFmtId="0" fontId="13" fillId="0" borderId="18" xfId="107" applyFont="1" applyBorder="1" applyAlignment="1">
      <alignment horizontal="left" vertical="center" wrapText="1" indent="4"/>
    </xf>
    <xf numFmtId="0" fontId="13" fillId="0" borderId="18" xfId="137" applyBorder="1" applyAlignment="1">
      <alignment vertical="center" wrapText="1"/>
    </xf>
    <xf numFmtId="0" fontId="13" fillId="0" borderId="18" xfId="137" applyBorder="1" applyAlignment="1">
      <alignment wrapText="1"/>
    </xf>
    <xf numFmtId="0" fontId="13" fillId="0" borderId="0" xfId="107" quotePrefix="1" applyFont="1" applyAlignment="1">
      <alignment horizontal="center" vertical="center" wrapText="1"/>
    </xf>
    <xf numFmtId="0" fontId="13" fillId="0" borderId="0" xfId="0" applyFont="1"/>
    <xf numFmtId="0" fontId="13" fillId="0" borderId="0" xfId="124" applyFont="1" applyAlignment="1">
      <alignment horizontal="left" vertical="center"/>
    </xf>
    <xf numFmtId="0" fontId="116" fillId="0" borderId="18" xfId="124" applyFont="1" applyBorder="1" applyAlignment="1">
      <alignment horizontal="center" vertical="center" wrapText="1"/>
    </xf>
    <xf numFmtId="183" fontId="13" fillId="0" borderId="0" xfId="194" applyNumberFormat="1" applyFont="1" applyFill="1" applyBorder="1" applyAlignment="1" applyProtection="1">
      <alignment horizontal="center" vertical="center" wrapText="1"/>
    </xf>
    <xf numFmtId="0" fontId="13" fillId="0" borderId="0" xfId="124" applyFont="1" applyAlignment="1">
      <alignment horizontal="left" wrapText="1"/>
    </xf>
    <xf numFmtId="200" fontId="13" fillId="0" borderId="0" xfId="194" applyNumberFormat="1" applyFont="1" applyFill="1" applyBorder="1" applyAlignment="1" applyProtection="1">
      <alignment horizontal="center" vertical="center" wrapText="1"/>
    </xf>
    <xf numFmtId="0" fontId="31" fillId="0" borderId="0" xfId="0" applyFont="1" applyAlignment="1">
      <alignment horizontal="left" vertical="center"/>
    </xf>
    <xf numFmtId="0" fontId="13" fillId="0" borderId="0" xfId="0" applyFont="1" applyAlignment="1">
      <alignment vertical="center" wrapText="1"/>
    </xf>
    <xf numFmtId="0" fontId="13" fillId="0" borderId="0" xfId="0" applyFont="1" applyAlignment="1">
      <alignment horizontal="left" vertical="center"/>
    </xf>
    <xf numFmtId="0" fontId="13" fillId="0" borderId="0" xfId="0" applyFont="1" applyAlignment="1">
      <alignment horizontal="right" vertical="center"/>
    </xf>
    <xf numFmtId="0" fontId="38" fillId="0" borderId="24"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28"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76" xfId="0" applyFont="1" applyBorder="1" applyAlignment="1">
      <alignment vertical="center" wrapText="1"/>
    </xf>
    <xf numFmtId="183" fontId="13" fillId="0" borderId="76" xfId="180" applyNumberFormat="1" applyFont="1" applyBorder="1" applyAlignment="1">
      <alignment vertical="center" wrapText="1"/>
    </xf>
    <xf numFmtId="200" fontId="13" fillId="0" borderId="134" xfId="180" applyNumberFormat="1" applyFont="1" applyBorder="1" applyAlignment="1">
      <alignment vertical="center" wrapText="1"/>
    </xf>
    <xf numFmtId="183" fontId="13" fillId="0" borderId="113" xfId="180" applyNumberFormat="1" applyFont="1" applyBorder="1" applyAlignment="1">
      <alignment vertical="center" wrapText="1"/>
    </xf>
    <xf numFmtId="0" fontId="13" fillId="0" borderId="57" xfId="0" applyFont="1" applyBorder="1" applyAlignment="1">
      <alignment horizontal="center" vertical="center" wrapText="1"/>
    </xf>
    <xf numFmtId="0" fontId="13" fillId="0" borderId="32" xfId="0" applyFont="1" applyBorder="1" applyAlignment="1">
      <alignment vertical="center" wrapText="1"/>
    </xf>
    <xf numFmtId="183" fontId="13" fillId="0" borderId="32" xfId="180" applyNumberFormat="1" applyFont="1" applyBorder="1" applyAlignment="1">
      <alignment vertical="center" wrapText="1"/>
    </xf>
    <xf numFmtId="200" fontId="13" fillId="0" borderId="32" xfId="180" applyNumberFormat="1" applyFont="1" applyBorder="1" applyAlignment="1">
      <alignment vertical="center" wrapText="1"/>
    </xf>
    <xf numFmtId="183" fontId="13" fillId="0" borderId="111" xfId="180" applyNumberFormat="1" applyFont="1" applyBorder="1" applyAlignment="1">
      <alignment vertical="center" wrapText="1"/>
    </xf>
    <xf numFmtId="0" fontId="13" fillId="0" borderId="181" xfId="0" applyFont="1" applyBorder="1" applyAlignment="1">
      <alignment vertical="center" wrapText="1"/>
    </xf>
    <xf numFmtId="183" fontId="13" fillId="0" borderId="181" xfId="180" applyNumberFormat="1" applyFont="1" applyBorder="1" applyAlignment="1">
      <alignment vertical="center" wrapText="1"/>
    </xf>
    <xf numFmtId="200" fontId="13" fillId="0" borderId="181" xfId="180" applyNumberFormat="1" applyFont="1" applyBorder="1" applyAlignment="1">
      <alignment vertical="center" wrapText="1"/>
    </xf>
    <xf numFmtId="183" fontId="13" fillId="0" borderId="174" xfId="180" applyNumberFormat="1" applyFont="1" applyBorder="1" applyAlignment="1">
      <alignment vertical="center" wrapText="1"/>
    </xf>
    <xf numFmtId="0" fontId="13" fillId="26" borderId="57" xfId="0" applyFont="1" applyFill="1" applyBorder="1" applyAlignment="1">
      <alignment horizontal="center" vertical="center" wrapText="1"/>
    </xf>
    <xf numFmtId="183" fontId="13" fillId="26" borderId="18" xfId="180" applyNumberFormat="1" applyFont="1" applyFill="1" applyBorder="1" applyAlignment="1">
      <alignment vertical="center" wrapText="1"/>
    </xf>
    <xf numFmtId="200" fontId="13" fillId="26" borderId="18" xfId="180" applyNumberFormat="1" applyFont="1" applyFill="1" applyBorder="1" applyAlignment="1">
      <alignment vertical="center" wrapText="1"/>
    </xf>
    <xf numFmtId="183" fontId="13" fillId="26" borderId="56" xfId="180" applyNumberFormat="1" applyFont="1" applyFill="1" applyBorder="1" applyAlignment="1">
      <alignment vertical="center" wrapText="1"/>
    </xf>
    <xf numFmtId="183" fontId="13" fillId="0" borderId="76" xfId="180" applyNumberFormat="1" applyFont="1" applyFill="1" applyBorder="1" applyAlignment="1">
      <alignment vertical="center" wrapText="1"/>
    </xf>
    <xf numFmtId="200" fontId="13" fillId="0" borderId="76" xfId="180" applyNumberFormat="1" applyFont="1" applyBorder="1" applyAlignment="1">
      <alignment vertical="center" wrapText="1"/>
    </xf>
    <xf numFmtId="183" fontId="13" fillId="26" borderId="15" xfId="180" applyNumberFormat="1" applyFont="1" applyFill="1" applyBorder="1" applyAlignment="1">
      <alignment vertical="center" wrapText="1"/>
    </xf>
    <xf numFmtId="200" fontId="13" fillId="26" borderId="15" xfId="180" applyNumberFormat="1" applyFont="1" applyFill="1" applyBorder="1" applyAlignment="1">
      <alignment vertical="center" wrapText="1"/>
    </xf>
    <xf numFmtId="183" fontId="13" fillId="26" borderId="74" xfId="180" applyNumberFormat="1" applyFont="1" applyFill="1" applyBorder="1" applyAlignment="1">
      <alignment vertical="center" wrapText="1"/>
    </xf>
    <xf numFmtId="183" fontId="13" fillId="26" borderId="16" xfId="180" applyNumberFormat="1" applyFont="1" applyFill="1" applyBorder="1" applyAlignment="1">
      <alignment vertical="center" wrapText="1"/>
    </xf>
    <xf numFmtId="200" fontId="13" fillId="26" borderId="16" xfId="180" applyNumberFormat="1" applyFont="1" applyFill="1" applyBorder="1" applyAlignment="1">
      <alignment vertical="center" wrapText="1"/>
    </xf>
    <xf numFmtId="183" fontId="13" fillId="26" borderId="72" xfId="180" applyNumberFormat="1" applyFont="1" applyFill="1" applyBorder="1" applyAlignment="1">
      <alignment vertical="center" wrapText="1"/>
    </xf>
    <xf numFmtId="0" fontId="13" fillId="0" borderId="144" xfId="0" applyFont="1" applyBorder="1" applyAlignment="1">
      <alignment horizontal="center" vertical="center" wrapText="1"/>
    </xf>
    <xf numFmtId="0" fontId="13" fillId="26" borderId="58" xfId="0" applyFont="1" applyFill="1" applyBorder="1" applyAlignment="1">
      <alignment horizontal="center" vertical="center" wrapText="1"/>
    </xf>
    <xf numFmtId="183" fontId="13" fillId="26" borderId="27" xfId="180" applyNumberFormat="1" applyFont="1" applyFill="1" applyBorder="1" applyAlignment="1">
      <alignment vertical="center" wrapText="1"/>
    </xf>
    <xf numFmtId="200" fontId="13" fillId="26" borderId="27" xfId="180" applyNumberFormat="1" applyFont="1" applyFill="1" applyBorder="1" applyAlignment="1">
      <alignment vertical="center" wrapText="1"/>
    </xf>
    <xf numFmtId="183" fontId="13" fillId="26" borderId="28" xfId="180" applyNumberFormat="1"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26" borderId="0" xfId="0" applyFill="1" applyAlignment="1">
      <alignment vertical="center" wrapText="1"/>
    </xf>
    <xf numFmtId="0" fontId="13"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wrapText="1"/>
    </xf>
    <xf numFmtId="0" fontId="13" fillId="0" borderId="0" xfId="141" applyFont="1" applyAlignment="1">
      <alignment horizontal="right"/>
    </xf>
    <xf numFmtId="0" fontId="38" fillId="0" borderId="24" xfId="124" applyFont="1" applyBorder="1" applyAlignment="1">
      <alignment horizontal="center" vertical="center" wrapText="1"/>
    </xf>
    <xf numFmtId="0" fontId="38" fillId="0" borderId="18" xfId="124" applyFont="1" applyBorder="1" applyAlignment="1">
      <alignment horizontal="center" vertical="center" wrapText="1"/>
    </xf>
    <xf numFmtId="0" fontId="116" fillId="0" borderId="56" xfId="124" applyFont="1" applyBorder="1" applyAlignment="1">
      <alignment horizontal="center" vertical="center" wrapText="1"/>
    </xf>
    <xf numFmtId="0" fontId="38" fillId="0" borderId="27" xfId="139" quotePrefix="1" applyFont="1" applyBorder="1" applyAlignment="1">
      <alignment horizontal="center" vertical="center" wrapText="1"/>
    </xf>
    <xf numFmtId="0" fontId="38" fillId="0" borderId="28" xfId="139" quotePrefix="1" applyFont="1" applyBorder="1" applyAlignment="1">
      <alignment horizontal="center" vertical="center" wrapText="1"/>
    </xf>
    <xf numFmtId="205" fontId="13" fillId="0" borderId="66" xfId="194" applyNumberFormat="1" applyFont="1" applyFill="1" applyBorder="1" applyAlignment="1" applyProtection="1">
      <alignment horizontal="center" vertical="center" wrapText="1"/>
    </xf>
    <xf numFmtId="0" fontId="13" fillId="0" borderId="76" xfId="124" applyFont="1" applyBorder="1" applyAlignment="1">
      <alignment vertical="center" wrapText="1"/>
    </xf>
    <xf numFmtId="183" fontId="13" fillId="0" borderId="76" xfId="180" applyNumberFormat="1" applyFont="1" applyFill="1" applyBorder="1" applyAlignment="1" applyProtection="1">
      <alignment horizontal="left" vertical="center" wrapText="1"/>
      <protection locked="0"/>
    </xf>
    <xf numFmtId="200" fontId="13" fillId="0" borderId="76" xfId="180" applyNumberFormat="1" applyFont="1" applyFill="1" applyBorder="1" applyAlignment="1" applyProtection="1">
      <alignment horizontal="right" vertical="center" wrapText="1"/>
    </xf>
    <xf numFmtId="183" fontId="13" fillId="0" borderId="76" xfId="180" applyNumberFormat="1" applyFont="1" applyFill="1" applyBorder="1" applyAlignment="1" applyProtection="1">
      <alignment horizontal="center" vertical="center" wrapText="1"/>
    </xf>
    <xf numFmtId="183" fontId="13" fillId="0" borderId="113" xfId="180" applyNumberFormat="1" applyFont="1" applyFill="1" applyBorder="1" applyAlignment="1" applyProtection="1">
      <alignment horizontal="center" vertical="center" wrapText="1"/>
    </xf>
    <xf numFmtId="205" fontId="13" fillId="0" borderId="57" xfId="194" applyNumberFormat="1" applyFont="1" applyFill="1" applyBorder="1" applyAlignment="1" applyProtection="1">
      <alignment horizontal="center" vertical="center" wrapText="1"/>
    </xf>
    <xf numFmtId="0" fontId="13" fillId="0" borderId="32" xfId="124" applyFont="1" applyBorder="1" applyAlignment="1">
      <alignment vertical="center" wrapText="1"/>
    </xf>
    <xf numFmtId="183" fontId="13" fillId="0" borderId="32" xfId="180" applyNumberFormat="1" applyFont="1" applyFill="1" applyBorder="1" applyAlignment="1" applyProtection="1">
      <alignment vertical="center" wrapText="1"/>
      <protection locked="0"/>
    </xf>
    <xf numFmtId="200" fontId="13" fillId="0" borderId="32" xfId="180" applyNumberFormat="1" applyFont="1" applyFill="1" applyBorder="1" applyAlignment="1" applyProtection="1">
      <alignment horizontal="right" vertical="center" wrapText="1"/>
    </xf>
    <xf numFmtId="183" fontId="13" fillId="0" borderId="32" xfId="180" applyNumberFormat="1" applyFont="1" applyFill="1" applyBorder="1" applyAlignment="1" applyProtection="1">
      <alignment horizontal="center" vertical="center" wrapText="1"/>
    </xf>
    <xf numFmtId="183" fontId="13" fillId="0" borderId="111" xfId="180" applyNumberFormat="1" applyFont="1" applyFill="1" applyBorder="1" applyAlignment="1" applyProtection="1">
      <alignment horizontal="center" vertical="center" wrapText="1"/>
    </xf>
    <xf numFmtId="200" fontId="13" fillId="0" borderId="32" xfId="180" applyNumberFormat="1" applyFont="1" applyFill="1" applyBorder="1" applyAlignment="1">
      <alignment vertical="center" wrapText="1"/>
    </xf>
    <xf numFmtId="0" fontId="13" fillId="0" borderId="181" xfId="124" applyFont="1" applyBorder="1" applyAlignment="1">
      <alignment vertical="center" wrapText="1"/>
    </xf>
    <xf numFmtId="183" fontId="13" fillId="0" borderId="181" xfId="180" applyNumberFormat="1" applyFont="1" applyFill="1" applyBorder="1" applyAlignment="1" applyProtection="1">
      <alignment vertical="center" wrapText="1"/>
      <protection locked="0"/>
    </xf>
    <xf numFmtId="200" fontId="13" fillId="0" borderId="181" xfId="180" applyNumberFormat="1" applyFont="1" applyFill="1" applyBorder="1" applyAlignment="1">
      <alignment vertical="center" wrapText="1"/>
    </xf>
    <xf numFmtId="183" fontId="13" fillId="0" borderId="181" xfId="180" applyNumberFormat="1" applyFont="1" applyFill="1" applyBorder="1" applyAlignment="1" applyProtection="1">
      <alignment horizontal="center" vertical="center" wrapText="1"/>
    </xf>
    <xf numFmtId="183" fontId="13" fillId="0" borderId="174" xfId="180" applyNumberFormat="1" applyFont="1" applyFill="1" applyBorder="1" applyAlignment="1" applyProtection="1">
      <alignment horizontal="center" vertical="center" wrapText="1"/>
    </xf>
    <xf numFmtId="205" fontId="13" fillId="26" borderId="57" xfId="194" applyNumberFormat="1" applyFont="1" applyFill="1" applyBorder="1" applyAlignment="1" applyProtection="1">
      <alignment horizontal="center" vertical="center" wrapText="1"/>
    </xf>
    <xf numFmtId="183" fontId="13" fillId="26" borderId="18" xfId="180" applyNumberFormat="1" applyFont="1" applyFill="1" applyBorder="1" applyAlignment="1" applyProtection="1">
      <alignment vertical="center" wrapText="1"/>
      <protection locked="0"/>
    </xf>
    <xf numFmtId="183" fontId="13" fillId="26" borderId="56" xfId="180" applyNumberFormat="1" applyFont="1" applyFill="1" applyBorder="1" applyAlignment="1" applyProtection="1">
      <alignment vertical="center" wrapText="1"/>
      <protection locked="0"/>
    </xf>
    <xf numFmtId="204" fontId="13" fillId="0" borderId="57" xfId="107" applyNumberFormat="1" applyFont="1" applyBorder="1" applyAlignment="1">
      <alignment horizontal="center" vertical="center" wrapText="1"/>
    </xf>
    <xf numFmtId="183" fontId="13" fillId="26" borderId="18" xfId="180" applyNumberFormat="1" applyFont="1" applyFill="1" applyBorder="1" applyAlignment="1" applyProtection="1">
      <alignment vertical="center" wrapText="1"/>
    </xf>
    <xf numFmtId="200" fontId="13" fillId="26" borderId="18" xfId="180" applyNumberFormat="1" applyFont="1" applyFill="1" applyBorder="1" applyAlignment="1" applyProtection="1">
      <alignment horizontal="center" vertical="center" wrapText="1"/>
    </xf>
    <xf numFmtId="183" fontId="13" fillId="26" borderId="56" xfId="180" applyNumberFormat="1" applyFont="1" applyFill="1" applyBorder="1" applyAlignment="1" applyProtection="1">
      <alignment vertical="center" wrapText="1"/>
    </xf>
    <xf numFmtId="183" fontId="13" fillId="0" borderId="76" xfId="180" applyNumberFormat="1" applyFont="1" applyFill="1" applyBorder="1" applyAlignment="1" applyProtection="1">
      <alignment vertical="center" wrapText="1"/>
      <protection locked="0"/>
    </xf>
    <xf numFmtId="204" fontId="13" fillId="26" borderId="57" xfId="107" applyNumberFormat="1" applyFont="1" applyFill="1" applyBorder="1" applyAlignment="1">
      <alignment horizontal="center" vertical="center" wrapText="1"/>
    </xf>
    <xf numFmtId="0" fontId="13" fillId="0" borderId="91" xfId="124" applyFont="1" applyBorder="1" applyAlignment="1">
      <alignment vertical="center" wrapText="1"/>
    </xf>
    <xf numFmtId="183" fontId="13" fillId="0" borderId="91" xfId="180" applyNumberFormat="1" applyFont="1" applyFill="1" applyBorder="1" applyAlignment="1" applyProtection="1">
      <alignment vertical="center" wrapText="1"/>
      <protection locked="0"/>
    </xf>
    <xf numFmtId="200" fontId="13" fillId="0" borderId="91" xfId="180" applyNumberFormat="1" applyFont="1" applyFill="1" applyBorder="1" applyAlignment="1">
      <alignment vertical="center" wrapText="1"/>
    </xf>
    <xf numFmtId="183" fontId="13" fillId="0" borderId="91" xfId="180" applyNumberFormat="1" applyFont="1" applyFill="1" applyBorder="1" applyAlignment="1" applyProtection="1">
      <alignment horizontal="center" vertical="center" wrapText="1"/>
    </xf>
    <xf numFmtId="183" fontId="13" fillId="0" borderId="193" xfId="180" applyNumberFormat="1" applyFont="1" applyFill="1" applyBorder="1" applyAlignment="1" applyProtection="1">
      <alignment horizontal="center" vertical="center" wrapText="1"/>
    </xf>
    <xf numFmtId="204" fontId="13" fillId="26" borderId="58" xfId="107" applyNumberFormat="1" applyFont="1" applyFill="1" applyBorder="1" applyAlignment="1">
      <alignment horizontal="center" vertical="center" wrapText="1"/>
    </xf>
    <xf numFmtId="200" fontId="13" fillId="26" borderId="27" xfId="180" applyNumberFormat="1" applyFont="1" applyFill="1" applyBorder="1" applyAlignment="1" applyProtection="1">
      <alignment horizontal="center" vertical="center" wrapText="1"/>
    </xf>
    <xf numFmtId="183" fontId="13" fillId="26" borderId="27" xfId="180" applyNumberFormat="1" applyFont="1" applyFill="1" applyBorder="1" applyAlignment="1" applyProtection="1">
      <alignment vertical="center" wrapText="1"/>
    </xf>
    <xf numFmtId="183" fontId="13" fillId="26" borderId="28" xfId="180" applyNumberFormat="1" applyFont="1" applyFill="1" applyBorder="1" applyAlignment="1" applyProtection="1">
      <alignment vertical="center" wrapText="1"/>
    </xf>
    <xf numFmtId="49" fontId="13" fillId="0" borderId="0" xfId="180" applyNumberFormat="1" applyFont="1" applyFill="1" applyBorder="1" applyAlignment="1" applyProtection="1">
      <alignment horizontal="center" vertical="center"/>
    </xf>
    <xf numFmtId="177" fontId="13" fillId="26" borderId="0" xfId="0" applyNumberFormat="1" applyFont="1" applyFill="1" applyAlignment="1">
      <alignment wrapText="1"/>
    </xf>
    <xf numFmtId="0" fontId="13" fillId="26" borderId="0" xfId="0" applyFont="1" applyFill="1" applyAlignment="1">
      <alignment wrapText="1"/>
    </xf>
    <xf numFmtId="0" fontId="13" fillId="26" borderId="0" xfId="0" quotePrefix="1" applyFont="1" applyFill="1" applyAlignment="1">
      <alignment wrapText="1"/>
    </xf>
    <xf numFmtId="183" fontId="13" fillId="26" borderId="0" xfId="0" applyNumberFormat="1" applyFont="1" applyFill="1" applyAlignment="1">
      <alignment wrapText="1"/>
    </xf>
    <xf numFmtId="0" fontId="13" fillId="0" borderId="0" xfId="157" applyFont="1" applyAlignment="1">
      <alignment horizontal="center" vertical="center" wrapText="1"/>
    </xf>
    <xf numFmtId="0" fontId="13" fillId="0" borderId="0" xfId="157" applyFont="1" applyAlignment="1">
      <alignment vertical="center" wrapText="1"/>
    </xf>
    <xf numFmtId="0" fontId="31" fillId="0" borderId="0" xfId="157" applyFont="1" applyAlignment="1">
      <alignment vertical="center"/>
    </xf>
    <xf numFmtId="0" fontId="38" fillId="0" borderId="18" xfId="157" applyFont="1" applyBorder="1" applyAlignment="1">
      <alignment horizontal="center" vertical="center" wrapText="1"/>
    </xf>
    <xf numFmtId="0" fontId="13" fillId="0" borderId="0" xfId="157" applyFont="1" applyAlignment="1">
      <alignment horizontal="distributed" vertical="center" wrapText="1"/>
    </xf>
    <xf numFmtId="0" fontId="38" fillId="0" borderId="18" xfId="157" quotePrefix="1" applyFont="1" applyBorder="1" applyAlignment="1">
      <alignment horizontal="center" vertical="center" wrapText="1"/>
    </xf>
    <xf numFmtId="197" fontId="13" fillId="0" borderId="18" xfId="157" applyNumberFormat="1" applyFont="1" applyBorder="1" applyAlignment="1">
      <alignment horizontal="center" vertical="center" wrapText="1"/>
    </xf>
    <xf numFmtId="197" fontId="13" fillId="0" borderId="18" xfId="157" quotePrefix="1" applyNumberFormat="1" applyFont="1" applyBorder="1" applyAlignment="1" applyProtection="1">
      <alignment horizontal="center" vertical="center" wrapText="1"/>
      <protection locked="0"/>
    </xf>
    <xf numFmtId="197" fontId="13" fillId="0" borderId="18" xfId="0" applyNumberFormat="1" applyFont="1" applyBorder="1" applyAlignment="1">
      <alignment horizontal="center" vertical="center" wrapText="1"/>
    </xf>
    <xf numFmtId="197" fontId="13" fillId="0" borderId="18" xfId="157" applyNumberFormat="1" applyFont="1" applyBorder="1" applyAlignment="1" applyProtection="1">
      <alignment horizontal="left" vertical="center" wrapText="1"/>
      <protection locked="0"/>
    </xf>
    <xf numFmtId="197" fontId="13" fillId="0" borderId="18" xfId="157" quotePrefix="1" applyNumberFormat="1" applyFont="1" applyBorder="1" applyAlignment="1" applyProtection="1">
      <alignment horizontal="left" vertical="center" wrapText="1"/>
      <protection locked="0"/>
    </xf>
    <xf numFmtId="14" fontId="13" fillId="0" borderId="0" xfId="157" applyNumberFormat="1" applyFont="1" applyAlignment="1">
      <alignment horizontal="left" vertical="center" wrapText="1"/>
    </xf>
    <xf numFmtId="197" fontId="13" fillId="0" borderId="18" xfId="157" applyNumberFormat="1" applyFont="1" applyBorder="1" applyAlignment="1" applyProtection="1">
      <alignment horizontal="center" vertical="center" wrapText="1"/>
      <protection locked="0"/>
    </xf>
    <xf numFmtId="0" fontId="13" fillId="0" borderId="18" xfId="145" applyFont="1" applyBorder="1" applyAlignment="1">
      <alignment vertical="center" wrapText="1"/>
    </xf>
    <xf numFmtId="197" fontId="13" fillId="0" borderId="18" xfId="0" quotePrefix="1" applyNumberFormat="1" applyFont="1" applyBorder="1" applyAlignment="1" applyProtection="1">
      <alignment horizontal="center" vertical="center" wrapText="1"/>
      <protection locked="0"/>
    </xf>
    <xf numFmtId="197" fontId="31" fillId="0" borderId="18" xfId="157" applyNumberFormat="1" applyFont="1" applyBorder="1" applyAlignment="1">
      <alignment horizontal="center" vertical="center" wrapText="1"/>
    </xf>
    <xf numFmtId="197" fontId="13" fillId="0" borderId="18" xfId="156" applyNumberFormat="1" applyBorder="1" applyAlignment="1">
      <alignment horizontal="center" vertical="center" wrapText="1"/>
    </xf>
    <xf numFmtId="197" fontId="31" fillId="0" borderId="18" xfId="0" applyNumberFormat="1" applyFont="1" applyBorder="1" applyAlignment="1">
      <alignment horizontal="center" vertical="center" wrapText="1"/>
    </xf>
    <xf numFmtId="197" fontId="31" fillId="0" borderId="1" xfId="0" applyNumberFormat="1" applyFont="1" applyBorder="1" applyAlignment="1">
      <alignment horizontal="center" vertical="center" wrapText="1"/>
    </xf>
    <xf numFmtId="0" fontId="13" fillId="0" borderId="0" xfId="157" applyFont="1" applyAlignment="1" applyProtection="1">
      <alignment horizontal="center" vertical="center" wrapText="1"/>
      <protection locked="0"/>
    </xf>
    <xf numFmtId="197" fontId="13" fillId="0" borderId="0" xfId="157" applyNumberFormat="1" applyFont="1" applyAlignment="1">
      <alignment horizontal="center" vertical="center" wrapText="1"/>
    </xf>
    <xf numFmtId="0" fontId="76" fillId="0" borderId="217" xfId="96" applyFont="1" applyBorder="1" applyAlignment="1">
      <alignment horizontal="left" vertical="center"/>
    </xf>
    <xf numFmtId="178" fontId="76" fillId="0" borderId="273" xfId="256" applyNumberFormat="1" applyFont="1" applyFill="1" applyBorder="1" applyAlignment="1" applyProtection="1">
      <alignment horizontal="center" vertical="center" wrapText="1"/>
      <protection locked="0"/>
    </xf>
    <xf numFmtId="178" fontId="76" fillId="0" borderId="274" xfId="256" applyNumberFormat="1" applyFont="1" applyFill="1" applyBorder="1" applyAlignment="1" applyProtection="1">
      <alignment horizontal="center" vertical="center" wrapText="1"/>
    </xf>
    <xf numFmtId="0" fontId="120" fillId="0" borderId="275" xfId="96" applyFont="1" applyBorder="1" applyAlignment="1">
      <alignment horizontal="left" vertical="center"/>
    </xf>
    <xf numFmtId="217" fontId="76" fillId="38" borderId="276" xfId="93" applyNumberFormat="1" applyFont="1" applyFill="1" applyBorder="1" applyAlignment="1">
      <alignment horizontal="center" vertical="center" wrapText="1"/>
    </xf>
    <xf numFmtId="217" fontId="76" fillId="38" borderId="232" xfId="93" applyNumberFormat="1" applyFont="1" applyFill="1" applyBorder="1" applyAlignment="1">
      <alignment horizontal="center" vertical="center" wrapText="1"/>
    </xf>
    <xf numFmtId="0" fontId="118" fillId="0" borderId="32" xfId="105" applyFont="1" applyBorder="1" applyAlignment="1" applyProtection="1">
      <alignment horizontal="left" vertical="center"/>
      <protection locked="0"/>
    </xf>
    <xf numFmtId="0" fontId="78" fillId="0" borderId="69" xfId="0" applyFont="1" applyBorder="1"/>
    <xf numFmtId="191" fontId="76" fillId="0" borderId="180" xfId="93" applyNumberFormat="1" applyFont="1" applyBorder="1" applyAlignment="1">
      <alignment horizontal="center" vertical="center" wrapText="1"/>
    </xf>
    <xf numFmtId="0" fontId="118" fillId="0" borderId="32" xfId="105" applyFont="1" applyBorder="1" applyAlignment="1" applyProtection="1">
      <alignment horizontal="left" vertical="center" wrapText="1"/>
      <protection locked="0"/>
    </xf>
    <xf numFmtId="0" fontId="84" fillId="0" borderId="32" xfId="96" applyFont="1" applyBorder="1" applyAlignment="1">
      <alignment horizontal="left" vertical="center" wrapText="1"/>
    </xf>
    <xf numFmtId="0" fontId="84" fillId="27" borderId="32" xfId="95" applyFont="1" applyFill="1" applyBorder="1" applyAlignment="1" applyProtection="1">
      <alignment horizontal="left" vertical="center" wrapText="1"/>
      <protection locked="0"/>
    </xf>
    <xf numFmtId="0" fontId="122" fillId="0" borderId="0" xfId="93" applyFont="1" applyAlignment="1">
      <alignment horizontal="left" vertical="center"/>
    </xf>
    <xf numFmtId="0" fontId="123" fillId="0" borderId="32" xfId="0" applyFont="1" applyBorder="1"/>
    <xf numFmtId="0" fontId="118" fillId="0" borderId="0" xfId="107" applyFont="1" applyAlignment="1" applyProtection="1">
      <alignment horizontal="left" vertical="center"/>
      <protection locked="0"/>
    </xf>
    <xf numFmtId="0" fontId="78" fillId="0" borderId="16" xfId="107" applyFont="1" applyBorder="1" applyAlignment="1">
      <alignment horizontal="distributed" vertical="center" wrapText="1"/>
    </xf>
    <xf numFmtId="0" fontId="78" fillId="0" borderId="0" xfId="107" applyFont="1" applyAlignment="1">
      <alignment horizontal="distributed" vertical="center" wrapText="1"/>
    </xf>
    <xf numFmtId="0" fontId="78" fillId="0" borderId="14" xfId="107" applyFont="1" applyBorder="1" applyAlignment="1">
      <alignment horizontal="distributed" vertical="center" wrapText="1"/>
    </xf>
    <xf numFmtId="0" fontId="79" fillId="0" borderId="3" xfId="0" applyFont="1" applyBorder="1"/>
    <xf numFmtId="0" fontId="75" fillId="0" borderId="0" xfId="158" applyFont="1" applyAlignment="1">
      <alignment vertical="center" wrapText="1"/>
    </xf>
    <xf numFmtId="0" fontId="68" fillId="0" borderId="0" xfId="93" applyFont="1" applyAlignment="1">
      <alignment horizontal="left" vertical="center"/>
    </xf>
    <xf numFmtId="0" fontId="81" fillId="0" borderId="0" xfId="154" applyFont="1" applyProtection="1">
      <protection locked="0"/>
    </xf>
    <xf numFmtId="0" fontId="81" fillId="0" borderId="0" xfId="148" applyFont="1" applyAlignment="1">
      <alignment horizontal="left" vertical="center"/>
    </xf>
    <xf numFmtId="0" fontId="81" fillId="0" borderId="0" xfId="107" quotePrefix="1" applyFont="1" applyAlignment="1">
      <alignment horizontal="center" vertical="center" wrapText="1"/>
    </xf>
    <xf numFmtId="182" fontId="81" fillId="0" borderId="0" xfId="107" applyNumberFormat="1" applyFont="1" applyAlignment="1" applyProtection="1">
      <alignment horizontal="right" vertical="center" wrapText="1"/>
      <protection locked="0"/>
    </xf>
    <xf numFmtId="0" fontId="81" fillId="0" borderId="15" xfId="148" quotePrefix="1" applyFont="1" applyBorder="1" applyAlignment="1">
      <alignment horizontal="center" vertical="center" wrapText="1"/>
    </xf>
    <xf numFmtId="0" fontId="81" fillId="0" borderId="18" xfId="148" applyFont="1" applyBorder="1" applyAlignment="1">
      <alignment horizontal="center" vertical="center" wrapText="1"/>
    </xf>
    <xf numFmtId="0" fontId="81" fillId="0" borderId="18" xfId="148" applyFont="1" applyBorder="1" applyAlignment="1">
      <alignment vertical="center" wrapText="1"/>
    </xf>
    <xf numFmtId="10" fontId="81" fillId="26" borderId="18" xfId="148" applyNumberFormat="1" applyFont="1" applyFill="1" applyBorder="1" applyAlignment="1">
      <alignment vertical="center" wrapText="1"/>
    </xf>
    <xf numFmtId="0" fontId="81" fillId="26" borderId="18" xfId="148" applyFont="1" applyFill="1" applyBorder="1" applyAlignment="1">
      <alignment vertical="center" wrapText="1"/>
    </xf>
    <xf numFmtId="0" fontId="81" fillId="0" borderId="0" xfId="107" applyFont="1" applyAlignment="1">
      <alignment horizontal="left" vertical="center" wrapText="1"/>
    </xf>
    <xf numFmtId="0" fontId="81" fillId="0" borderId="0" xfId="148" applyFont="1" applyAlignment="1">
      <alignment horizontal="center" vertical="top"/>
    </xf>
    <xf numFmtId="0" fontId="74" fillId="0" borderId="66" xfId="124" applyFont="1" applyBorder="1" applyAlignment="1">
      <alignment vertical="center" wrapText="1"/>
    </xf>
    <xf numFmtId="0" fontId="74" fillId="0" borderId="74" xfId="124" applyFont="1" applyBorder="1" applyAlignment="1">
      <alignment vertical="center" wrapText="1"/>
    </xf>
    <xf numFmtId="0" fontId="74" fillId="0" borderId="144" xfId="124" applyFont="1" applyBorder="1" applyAlignment="1">
      <alignment vertical="center" wrapText="1"/>
    </xf>
    <xf numFmtId="0" fontId="74" fillId="0" borderId="72" xfId="124" applyFont="1" applyBorder="1" applyAlignment="1">
      <alignment vertical="center" wrapText="1"/>
    </xf>
    <xf numFmtId="0" fontId="75" fillId="0" borderId="0" xfId="111" applyFont="1" applyAlignment="1">
      <alignment vertical="center"/>
    </xf>
    <xf numFmtId="0" fontId="75" fillId="0" borderId="0" xfId="131" applyFont="1"/>
    <xf numFmtId="0" fontId="75" fillId="0" borderId="0" xfId="111" applyFont="1" applyAlignment="1">
      <alignment horizontal="center" vertical="center" wrapText="1"/>
    </xf>
    <xf numFmtId="0" fontId="75" fillId="0" borderId="0" xfId="131" applyFont="1" applyAlignment="1">
      <alignment horizontal="center"/>
    </xf>
    <xf numFmtId="0" fontId="78" fillId="0" borderId="0" xfId="111" quotePrefix="1" applyFont="1" applyAlignment="1">
      <alignment vertical="center"/>
    </xf>
    <xf numFmtId="9" fontId="75" fillId="0" borderId="0" xfId="131" applyNumberFormat="1" applyFont="1"/>
    <xf numFmtId="0" fontId="75" fillId="0" borderId="16" xfId="111" applyFont="1" applyBorder="1" applyAlignment="1">
      <alignment horizontal="center" vertical="center" wrapText="1"/>
    </xf>
    <xf numFmtId="0" fontId="75" fillId="0" borderId="21" xfId="111" applyFont="1" applyBorder="1" applyAlignment="1">
      <alignment horizontal="center" vertical="center" wrapText="1"/>
    </xf>
    <xf numFmtId="0" fontId="75" fillId="0" borderId="19" xfId="131" applyFont="1" applyBorder="1"/>
    <xf numFmtId="49" fontId="75" fillId="0" borderId="15" xfId="111" applyNumberFormat="1" applyFont="1" applyBorder="1" applyAlignment="1">
      <alignment horizontal="center" vertical="center" wrapText="1"/>
    </xf>
    <xf numFmtId="49" fontId="75" fillId="0" borderId="22" xfId="111" applyNumberFormat="1" applyFont="1" applyBorder="1" applyAlignment="1">
      <alignment horizontal="center" vertical="center" wrapText="1"/>
    </xf>
    <xf numFmtId="0" fontId="75" fillId="0" borderId="18" xfId="111" applyFont="1" applyBorder="1" applyAlignment="1">
      <alignment horizontal="center" vertical="center" wrapText="1"/>
    </xf>
    <xf numFmtId="0" fontId="75" fillId="0" borderId="18" xfId="149" applyFont="1" applyBorder="1" applyAlignment="1">
      <alignment horizontal="center" vertical="center"/>
    </xf>
    <xf numFmtId="0" fontId="75" fillId="0" borderId="16" xfId="111" applyFont="1" applyBorder="1" applyAlignment="1">
      <alignment vertical="center" wrapText="1"/>
    </xf>
    <xf numFmtId="180" fontId="75" fillId="28" borderId="86" xfId="131" applyNumberFormat="1" applyFont="1" applyFill="1" applyBorder="1"/>
    <xf numFmtId="0" fontId="75" fillId="0" borderId="18" xfId="131" applyFont="1" applyBorder="1" applyAlignment="1">
      <alignment horizontal="center"/>
    </xf>
    <xf numFmtId="191" fontId="75" fillId="0" borderId="18" xfId="0" applyNumberFormat="1" applyFont="1" applyBorder="1"/>
    <xf numFmtId="0" fontId="78" fillId="0" borderId="16" xfId="107" applyFont="1" applyBorder="1" applyAlignment="1">
      <alignment vertical="center" wrapText="1"/>
    </xf>
    <xf numFmtId="0" fontId="75" fillId="0" borderId="16" xfId="149" applyFont="1" applyBorder="1" applyAlignment="1">
      <alignment vertical="center" wrapText="1"/>
    </xf>
    <xf numFmtId="180" fontId="75" fillId="29" borderId="18" xfId="131" applyNumberFormat="1" applyFont="1" applyFill="1" applyBorder="1"/>
    <xf numFmtId="0" fontId="75" fillId="0" borderId="1" xfId="131" applyFont="1" applyBorder="1" applyAlignment="1">
      <alignment horizontal="center"/>
    </xf>
    <xf numFmtId="9" fontId="75" fillId="0" borderId="1" xfId="131" applyNumberFormat="1" applyFont="1" applyBorder="1"/>
    <xf numFmtId="49" fontId="75" fillId="0" borderId="15" xfId="131" applyNumberFormat="1" applyFont="1" applyBorder="1" applyAlignment="1">
      <alignment horizontal="center"/>
    </xf>
    <xf numFmtId="49" fontId="75" fillId="0" borderId="15" xfId="0" applyNumberFormat="1" applyFont="1" applyBorder="1" applyAlignment="1">
      <alignment horizontal="center"/>
    </xf>
    <xf numFmtId="0" fontId="75" fillId="0" borderId="18" xfId="149" applyFont="1" applyBorder="1" applyAlignment="1">
      <alignment horizontal="center" vertical="center" wrapText="1"/>
    </xf>
    <xf numFmtId="49" fontId="75" fillId="0" borderId="18" xfId="131" applyNumberFormat="1" applyFont="1" applyBorder="1" applyAlignment="1">
      <alignment horizontal="center"/>
    </xf>
    <xf numFmtId="216" fontId="75" fillId="0" borderId="18" xfId="131" applyNumberFormat="1" applyFont="1" applyBorder="1" applyAlignment="1">
      <alignment horizontal="center"/>
    </xf>
    <xf numFmtId="191" fontId="75" fillId="28" borderId="18" xfId="131" applyNumberFormat="1" applyFont="1" applyFill="1" applyBorder="1"/>
    <xf numFmtId="180" fontId="75" fillId="0" borderId="18" xfId="131" applyNumberFormat="1" applyFont="1" applyBorder="1" applyAlignment="1">
      <alignment horizontal="center"/>
    </xf>
    <xf numFmtId="9" fontId="75" fillId="28" borderId="18" xfId="131" applyNumberFormat="1" applyFont="1" applyFill="1" applyBorder="1" applyAlignment="1">
      <alignment horizontal="center"/>
    </xf>
    <xf numFmtId="180" fontId="75" fillId="28" borderId="18" xfId="131" applyNumberFormat="1" applyFont="1" applyFill="1" applyBorder="1" applyAlignment="1">
      <alignment horizontal="right"/>
    </xf>
    <xf numFmtId="0" fontId="75" fillId="0" borderId="0" xfId="149" applyFont="1" applyAlignment="1">
      <alignment horizontal="center" vertical="center" wrapText="1"/>
    </xf>
    <xf numFmtId="49" fontId="75" fillId="0" borderId="0" xfId="131" applyNumberFormat="1" applyFont="1" applyAlignment="1">
      <alignment horizontal="center"/>
    </xf>
    <xf numFmtId="216" fontId="75" fillId="0" borderId="0" xfId="131" applyNumberFormat="1" applyFont="1" applyAlignment="1">
      <alignment horizontal="center"/>
    </xf>
    <xf numFmtId="191" fontId="75" fillId="0" borderId="0" xfId="131" applyNumberFormat="1" applyFont="1"/>
    <xf numFmtId="180" fontId="75" fillId="0" borderId="0" xfId="131" applyNumberFormat="1" applyFont="1" applyAlignment="1">
      <alignment horizontal="center"/>
    </xf>
    <xf numFmtId="9" fontId="75" fillId="0" borderId="0" xfId="131" applyNumberFormat="1" applyFont="1" applyAlignment="1">
      <alignment horizontal="center"/>
    </xf>
    <xf numFmtId="180" fontId="75" fillId="0" borderId="0" xfId="131" applyNumberFormat="1" applyFont="1" applyAlignment="1">
      <alignment horizontal="right"/>
    </xf>
    <xf numFmtId="0" fontId="78" fillId="0" borderId="0" xfId="0" applyFont="1" applyAlignment="1">
      <alignment vertical="top"/>
    </xf>
    <xf numFmtId="0" fontId="78" fillId="0" borderId="0" xfId="131" applyFont="1"/>
    <xf numFmtId="0" fontId="75" fillId="0" borderId="0" xfId="0" applyFont="1" applyAlignment="1">
      <alignment vertical="center"/>
    </xf>
    <xf numFmtId="0" fontId="78" fillId="0" borderId="0" xfId="61" applyFont="1" applyAlignment="1">
      <alignment vertical="center"/>
    </xf>
    <xf numFmtId="191" fontId="76" fillId="0" borderId="96" xfId="93" applyNumberFormat="1" applyFont="1" applyBorder="1" applyAlignment="1">
      <alignment horizontal="center" vertical="center" wrapText="1"/>
    </xf>
    <xf numFmtId="191" fontId="76" fillId="0" borderId="182" xfId="93" applyNumberFormat="1" applyFont="1" applyBorder="1" applyAlignment="1">
      <alignment horizontal="center" vertical="center" wrapText="1"/>
    </xf>
    <xf numFmtId="0" fontId="85" fillId="0" borderId="160" xfId="96" applyFont="1" applyBorder="1" applyAlignment="1">
      <alignment horizontal="left" vertical="center"/>
    </xf>
    <xf numFmtId="0" fontId="125" fillId="0" borderId="31" xfId="105" applyFont="1" applyBorder="1" applyAlignment="1">
      <alignment horizontal="left" vertical="center" indent="3"/>
    </xf>
    <xf numFmtId="0" fontId="74" fillId="0" borderId="0" xfId="124" applyFont="1" applyAlignment="1" applyProtection="1">
      <alignment vertical="center" wrapText="1"/>
      <protection locked="0"/>
    </xf>
    <xf numFmtId="0" fontId="68" fillId="0" borderId="0" xfId="124" applyFont="1" applyAlignment="1">
      <alignment vertical="center" wrapText="1"/>
    </xf>
    <xf numFmtId="0" fontId="68" fillId="0" borderId="0" xfId="124" applyFont="1" applyAlignment="1">
      <alignment horizontal="left" vertical="center" wrapText="1"/>
    </xf>
    <xf numFmtId="183" fontId="68" fillId="0" borderId="0" xfId="194" applyNumberFormat="1" applyFont="1" applyFill="1" applyBorder="1" applyAlignment="1" applyProtection="1">
      <alignment horizontal="center" vertical="center" wrapText="1"/>
    </xf>
    <xf numFmtId="0" fontId="68" fillId="0" borderId="0" xfId="124" applyFont="1" applyAlignment="1">
      <alignment horizontal="center" vertical="center" wrapText="1"/>
    </xf>
    <xf numFmtId="183" fontId="68" fillId="0" borderId="0" xfId="194" applyNumberFormat="1" applyFont="1" applyFill="1" applyBorder="1" applyAlignment="1" applyProtection="1">
      <alignment horizontal="right" wrapText="1"/>
    </xf>
    <xf numFmtId="183" fontId="74" fillId="0" borderId="0" xfId="194" applyNumberFormat="1" applyFont="1" applyFill="1" applyBorder="1" applyAlignment="1" applyProtection="1">
      <alignment horizontal="right" wrapText="1"/>
    </xf>
    <xf numFmtId="183" fontId="85" fillId="0" borderId="18" xfId="194" applyNumberFormat="1" applyFont="1" applyFill="1" applyBorder="1" applyAlignment="1" applyProtection="1">
      <alignment horizontal="center" vertical="center" wrapText="1"/>
    </xf>
    <xf numFmtId="183" fontId="82" fillId="0" borderId="0" xfId="194" applyNumberFormat="1" applyFont="1" applyFill="1" applyBorder="1" applyAlignment="1" applyProtection="1">
      <alignment horizontal="center" vertical="center" wrapText="1"/>
    </xf>
    <xf numFmtId="0" fontId="85" fillId="0" borderId="18" xfId="194" quotePrefix="1" applyNumberFormat="1" applyFont="1" applyFill="1" applyBorder="1" applyAlignment="1" applyProtection="1">
      <alignment horizontal="center" vertical="center" wrapText="1"/>
    </xf>
    <xf numFmtId="0" fontId="85" fillId="0" borderId="18" xfId="96" applyFont="1" applyBorder="1" applyAlignment="1">
      <alignment horizontal="center" vertical="center" wrapText="1"/>
    </xf>
    <xf numFmtId="205" fontId="74" fillId="0" borderId="15" xfId="124" applyNumberFormat="1" applyFont="1" applyBorder="1" applyAlignment="1">
      <alignment horizontal="center" vertical="center" wrapText="1"/>
    </xf>
    <xf numFmtId="0" fontId="74" fillId="34" borderId="76" xfId="124" applyFont="1" applyFill="1" applyBorder="1" applyAlignment="1">
      <alignment vertical="center" wrapText="1"/>
    </xf>
    <xf numFmtId="0" fontId="74" fillId="34" borderId="76" xfId="124" applyFont="1" applyFill="1" applyBorder="1" applyAlignment="1">
      <alignment horizontal="left" vertical="center" wrapText="1"/>
    </xf>
    <xf numFmtId="183" fontId="74" fillId="34" borderId="76" xfId="194" applyNumberFormat="1" applyFont="1" applyFill="1" applyBorder="1" applyAlignment="1" applyProtection="1">
      <alignment horizontal="center" vertical="center" wrapText="1"/>
    </xf>
    <xf numFmtId="193" fontId="74" fillId="34" borderId="76" xfId="124" applyNumberFormat="1" applyFont="1" applyFill="1" applyBorder="1" applyAlignment="1">
      <alignment vertical="center" wrapText="1"/>
    </xf>
    <xf numFmtId="205" fontId="74" fillId="0" borderId="18" xfId="124" applyNumberFormat="1" applyFont="1" applyBorder="1" applyAlignment="1">
      <alignment horizontal="center" vertical="center" wrapText="1"/>
    </xf>
    <xf numFmtId="0" fontId="74" fillId="0" borderId="32" xfId="124" applyFont="1" applyBorder="1" applyAlignment="1">
      <alignment horizontal="left" vertical="center" wrapText="1" indent="2"/>
    </xf>
    <xf numFmtId="0" fontId="74" fillId="0" borderId="32" xfId="124" applyFont="1" applyBorder="1" applyAlignment="1" applyProtection="1">
      <alignment horizontal="left" vertical="center" wrapText="1"/>
      <protection locked="0"/>
    </xf>
    <xf numFmtId="183" fontId="74" fillId="0" borderId="32" xfId="194" applyNumberFormat="1" applyFont="1" applyFill="1" applyBorder="1" applyAlignment="1" applyProtection="1">
      <alignment horizontal="center" vertical="center" wrapText="1"/>
    </xf>
    <xf numFmtId="193" fontId="74" fillId="0" borderId="32" xfId="124" applyNumberFormat="1" applyFont="1" applyBorder="1" applyAlignment="1">
      <alignment horizontal="center" vertical="center" wrapText="1"/>
    </xf>
    <xf numFmtId="0" fontId="74" fillId="34" borderId="32" xfId="124" applyFont="1" applyFill="1" applyBorder="1" applyAlignment="1">
      <alignment horizontal="left" vertical="center" wrapText="1" indent="2"/>
    </xf>
    <xf numFmtId="0" fontId="74" fillId="34" borderId="32" xfId="124" applyFont="1" applyFill="1" applyBorder="1" applyAlignment="1" applyProtection="1">
      <alignment horizontal="left" vertical="center" wrapText="1"/>
      <protection locked="0"/>
    </xf>
    <xf numFmtId="183" fontId="74" fillId="34" borderId="32" xfId="194" applyNumberFormat="1" applyFont="1" applyFill="1" applyBorder="1" applyAlignment="1" applyProtection="1">
      <alignment horizontal="center" vertical="center" wrapText="1"/>
    </xf>
    <xf numFmtId="193" fontId="74" fillId="34" borderId="32" xfId="124" applyNumberFormat="1" applyFont="1" applyFill="1" applyBorder="1" applyAlignment="1">
      <alignment horizontal="center" vertical="center" wrapText="1"/>
    </xf>
    <xf numFmtId="0" fontId="74" fillId="34" borderId="32" xfId="124" applyFont="1" applyFill="1" applyBorder="1" applyAlignment="1">
      <alignment horizontal="left" vertical="center" wrapText="1" indent="4"/>
    </xf>
    <xf numFmtId="0" fontId="74" fillId="0" borderId="32" xfId="124" applyFont="1" applyBorder="1" applyAlignment="1">
      <alignment horizontal="left" vertical="center" wrapText="1" indent="6"/>
    </xf>
    <xf numFmtId="0" fontId="74" fillId="34" borderId="32" xfId="124" applyFont="1" applyFill="1" applyBorder="1" applyAlignment="1">
      <alignment horizontal="left" vertical="center" wrapText="1" indent="6"/>
    </xf>
    <xf numFmtId="0" fontId="86" fillId="34" borderId="32" xfId="124" applyFont="1" applyFill="1" applyBorder="1" applyAlignment="1" applyProtection="1">
      <alignment horizontal="left" vertical="center" wrapText="1"/>
      <protection locked="0"/>
    </xf>
    <xf numFmtId="0" fontId="74" fillId="0" borderId="32" xfId="124" applyFont="1" applyBorder="1" applyAlignment="1">
      <alignment horizontal="left" vertical="center" wrapText="1" indent="8"/>
    </xf>
    <xf numFmtId="0" fontId="74" fillId="0" borderId="32" xfId="96" applyFont="1" applyBorder="1" applyAlignment="1" applyProtection="1">
      <alignment horizontal="left" vertical="center" wrapText="1"/>
      <protection locked="0"/>
    </xf>
    <xf numFmtId="0" fontId="74" fillId="34" borderId="32" xfId="124" applyFont="1" applyFill="1" applyBorder="1" applyAlignment="1">
      <alignment horizontal="left" vertical="center" wrapText="1" indent="8"/>
    </xf>
    <xf numFmtId="0" fontId="74" fillId="0" borderId="32" xfId="124" applyFont="1" applyBorder="1" applyAlignment="1">
      <alignment horizontal="left" vertical="center" wrapText="1" indent="10"/>
    </xf>
    <xf numFmtId="0" fontId="80" fillId="34" borderId="32" xfId="124" applyFont="1" applyFill="1" applyBorder="1" applyAlignment="1" applyProtection="1">
      <alignment horizontal="left" vertical="center" wrapText="1"/>
      <protection locked="0"/>
    </xf>
    <xf numFmtId="0" fontId="84" fillId="0" borderId="32" xfId="124" applyFont="1" applyBorder="1" applyAlignment="1" applyProtection="1">
      <alignment horizontal="left" vertical="center" wrapText="1"/>
      <protection locked="0"/>
    </xf>
    <xf numFmtId="193" fontId="74" fillId="0" borderId="32" xfId="124" applyNumberFormat="1" applyFont="1" applyBorder="1" applyAlignment="1">
      <alignment horizontal="center" vertical="center"/>
    </xf>
    <xf numFmtId="0" fontId="74" fillId="0" borderId="32" xfId="124" applyFont="1" applyBorder="1" applyAlignment="1">
      <alignment horizontal="left" vertical="center" wrapText="1" indent="4"/>
    </xf>
    <xf numFmtId="0" fontId="74" fillId="34" borderId="32" xfId="124" applyFont="1" applyFill="1" applyBorder="1" applyAlignment="1">
      <alignment vertical="center" wrapText="1"/>
    </xf>
    <xf numFmtId="205" fontId="74" fillId="0" borderId="18" xfId="124" quotePrefix="1" applyNumberFormat="1" applyFont="1" applyBorder="1" applyAlignment="1">
      <alignment horizontal="center" vertical="center" wrapText="1"/>
    </xf>
    <xf numFmtId="193" fontId="86" fillId="34" borderId="32" xfId="124" applyNumberFormat="1" applyFont="1" applyFill="1" applyBorder="1" applyAlignment="1">
      <alignment horizontal="center" vertical="center" wrapText="1"/>
    </xf>
    <xf numFmtId="193" fontId="74" fillId="34" borderId="32" xfId="124" quotePrefix="1" applyNumberFormat="1" applyFont="1" applyFill="1" applyBorder="1" applyAlignment="1">
      <alignment horizontal="center" vertical="center" wrapText="1"/>
    </xf>
    <xf numFmtId="183" fontId="74" fillId="0" borderId="0" xfId="194" applyNumberFormat="1" applyFont="1" applyFill="1" applyBorder="1" applyAlignment="1" applyProtection="1">
      <alignment horizontal="center" vertical="center" wrapText="1"/>
      <protection locked="0"/>
    </xf>
    <xf numFmtId="183" fontId="74" fillId="34"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wrapText="1"/>
      <protection locked="0"/>
    </xf>
    <xf numFmtId="183" fontId="74" fillId="0" borderId="0" xfId="194" applyNumberFormat="1" applyFont="1" applyFill="1" applyAlignment="1" applyProtection="1">
      <alignment vertical="center" wrapText="1"/>
    </xf>
    <xf numFmtId="193" fontId="68" fillId="34" borderId="32" xfId="124" applyNumberFormat="1" applyFont="1" applyFill="1" applyBorder="1" applyAlignment="1">
      <alignment horizontal="center" vertical="center" wrapText="1"/>
    </xf>
    <xf numFmtId="0" fontId="74" fillId="0" borderId="131" xfId="124" applyFont="1" applyBorder="1" applyAlignment="1">
      <alignment horizontal="left" vertical="center" wrapText="1" indent="4"/>
    </xf>
    <xf numFmtId="0" fontId="74" fillId="0" borderId="131" xfId="124" applyFont="1" applyBorder="1" applyAlignment="1" applyProtection="1">
      <alignment horizontal="left" vertical="center" wrapText="1"/>
      <protection locked="0"/>
    </xf>
    <xf numFmtId="183" fontId="74" fillId="0" borderId="131" xfId="194" applyNumberFormat="1" applyFont="1" applyFill="1" applyBorder="1" applyAlignment="1" applyProtection="1">
      <alignment horizontal="center" vertical="center" wrapText="1"/>
    </xf>
    <xf numFmtId="193" fontId="74" fillId="34" borderId="131" xfId="124" applyNumberFormat="1" applyFont="1" applyFill="1" applyBorder="1" applyAlignment="1">
      <alignment horizontal="center" vertical="center" wrapText="1"/>
    </xf>
    <xf numFmtId="183" fontId="74" fillId="34" borderId="131" xfId="194" applyNumberFormat="1" applyFont="1" applyFill="1" applyBorder="1" applyAlignment="1" applyProtection="1">
      <alignment horizontal="center" vertical="center" wrapText="1"/>
      <protection locked="0"/>
    </xf>
    <xf numFmtId="205" fontId="82" fillId="30" borderId="15" xfId="124" applyNumberFormat="1" applyFont="1" applyFill="1" applyBorder="1" applyAlignment="1">
      <alignment horizontal="center" vertical="center" wrapText="1"/>
    </xf>
    <xf numFmtId="0" fontId="82" fillId="35" borderId="15" xfId="124" applyFont="1" applyFill="1" applyBorder="1" applyAlignment="1">
      <alignment vertical="center" wrapText="1"/>
    </xf>
    <xf numFmtId="0" fontId="82" fillId="35" borderId="15" xfId="124" applyFont="1" applyFill="1" applyBorder="1" applyAlignment="1">
      <alignment horizontal="left" vertical="center" wrapText="1"/>
    </xf>
    <xf numFmtId="183" fontId="82" fillId="35" borderId="15" xfId="194" applyNumberFormat="1" applyFont="1" applyFill="1" applyBorder="1" applyAlignment="1" applyProtection="1">
      <alignment horizontal="center" vertical="center" wrapText="1"/>
    </xf>
    <xf numFmtId="189" fontId="82" fillId="35" borderId="15" xfId="124" applyNumberFormat="1" applyFont="1" applyFill="1" applyBorder="1" applyAlignment="1">
      <alignment horizontal="center" vertical="center" wrapText="1"/>
    </xf>
    <xf numFmtId="189" fontId="74" fillId="0" borderId="0" xfId="93" applyNumberFormat="1" applyFont="1" applyAlignment="1">
      <alignment horizontal="center" vertical="center" wrapText="1"/>
    </xf>
    <xf numFmtId="0" fontId="74" fillId="0" borderId="0" xfId="124" applyFont="1" applyAlignment="1">
      <alignment wrapText="1"/>
    </xf>
    <xf numFmtId="0" fontId="74" fillId="0" borderId="0" xfId="124" applyFont="1" applyAlignment="1">
      <alignment horizontal="center"/>
    </xf>
    <xf numFmtId="179" fontId="68" fillId="0" borderId="0" xfId="124" applyNumberFormat="1" applyFont="1" applyAlignment="1"/>
    <xf numFmtId="0" fontId="74" fillId="0" borderId="0" xfId="124" applyFont="1" applyAlignment="1">
      <alignment horizontal="left" vertical="center" wrapText="1"/>
    </xf>
    <xf numFmtId="189" fontId="74" fillId="0" borderId="0" xfId="124" applyNumberFormat="1" applyFont="1" applyAlignment="1">
      <alignment horizontal="center" vertical="center" wrapText="1"/>
    </xf>
    <xf numFmtId="179" fontId="74" fillId="0" borderId="0" xfId="124" applyNumberFormat="1" applyFont="1" applyAlignment="1"/>
    <xf numFmtId="192" fontId="74" fillId="0" borderId="0" xfId="124" applyNumberFormat="1" applyFont="1" applyAlignment="1">
      <alignment horizontal="center" vertical="center" wrapText="1"/>
    </xf>
    <xf numFmtId="0" fontId="74" fillId="0" borderId="0" xfId="124" applyFont="1" applyAlignment="1">
      <alignment horizontal="center" vertical="center" wrapText="1"/>
    </xf>
    <xf numFmtId="179" fontId="74" fillId="0" borderId="0" xfId="124" applyNumberFormat="1" applyFont="1" applyAlignment="1">
      <alignment wrapText="1"/>
    </xf>
    <xf numFmtId="0" fontId="74" fillId="0" borderId="0" xfId="94" applyFont="1" applyAlignment="1">
      <alignment horizontal="left" vertical="center"/>
    </xf>
    <xf numFmtId="0" fontId="74" fillId="0" borderId="0" xfId="94" applyFont="1" applyAlignment="1">
      <alignment horizontal="left" vertical="center" wrapText="1"/>
    </xf>
    <xf numFmtId="0" fontId="74" fillId="0" borderId="0" xfId="94" applyFont="1" applyAlignment="1">
      <alignment horizontal="center" vertical="center" wrapText="1"/>
    </xf>
    <xf numFmtId="191" fontId="74" fillId="0" borderId="0" xfId="94" applyNumberFormat="1" applyFont="1" applyAlignment="1">
      <alignment horizontal="center" vertical="center" wrapText="1"/>
    </xf>
    <xf numFmtId="0" fontId="74" fillId="0" borderId="0" xfId="94" applyFont="1" applyAlignment="1">
      <alignment horizontal="right"/>
    </xf>
    <xf numFmtId="0" fontId="74" fillId="0" borderId="0" xfId="94" applyFont="1" applyAlignment="1">
      <alignment vertical="center" wrapText="1"/>
    </xf>
    <xf numFmtId="0" fontId="82" fillId="0" borderId="18" xfId="96" applyFont="1" applyBorder="1" applyAlignment="1">
      <alignment horizontal="center" vertical="center" wrapText="1"/>
    </xf>
    <xf numFmtId="191" fontId="82" fillId="0" borderId="18" xfId="96" applyNumberFormat="1" applyFont="1" applyBorder="1" applyAlignment="1">
      <alignment horizontal="center" vertical="center" wrapText="1"/>
    </xf>
    <xf numFmtId="49" fontId="82" fillId="0" borderId="18" xfId="96" applyNumberFormat="1" applyFont="1" applyBorder="1" applyAlignment="1">
      <alignment horizontal="center" vertical="center" wrapText="1"/>
    </xf>
    <xf numFmtId="0" fontId="74" fillId="0" borderId="15" xfId="124" applyFont="1" applyBorder="1" applyAlignment="1">
      <alignment horizontal="center" vertical="center" wrapText="1"/>
    </xf>
    <xf numFmtId="0" fontId="74" fillId="25" borderId="76" xfId="96" applyFont="1" applyFill="1" applyBorder="1" applyAlignment="1">
      <alignment vertical="center" wrapText="1"/>
    </xf>
    <xf numFmtId="0" fontId="74" fillId="25" borderId="76" xfId="96" applyFont="1" applyFill="1" applyBorder="1" applyAlignment="1" applyProtection="1">
      <alignment horizontal="left" vertical="center" wrapText="1"/>
      <protection locked="0"/>
    </xf>
    <xf numFmtId="178" fontId="74" fillId="25" borderId="76" xfId="166" applyNumberFormat="1" applyFont="1" applyFill="1" applyBorder="1" applyAlignment="1" applyProtection="1">
      <alignment horizontal="center" vertical="center" wrapText="1"/>
    </xf>
    <xf numFmtId="191" fontId="74" fillId="25" borderId="76" xfId="96" applyNumberFormat="1" applyFont="1" applyFill="1" applyBorder="1" applyAlignment="1">
      <alignment horizontal="center" vertical="center" wrapText="1"/>
    </xf>
    <xf numFmtId="0" fontId="74" fillId="0" borderId="18" xfId="124" applyFont="1" applyBorder="1" applyAlignment="1">
      <alignment horizontal="center" vertical="center" wrapText="1"/>
    </xf>
    <xf numFmtId="0" fontId="74" fillId="25" borderId="32" xfId="96" applyFont="1" applyFill="1" applyBorder="1" applyAlignment="1">
      <alignment horizontal="left" vertical="center" wrapText="1" indent="2"/>
    </xf>
    <xf numFmtId="0" fontId="74" fillId="25" borderId="32" xfId="96" applyFont="1" applyFill="1" applyBorder="1" applyAlignment="1" applyProtection="1">
      <alignment horizontal="left" vertical="center" wrapText="1"/>
      <protection locked="0"/>
    </xf>
    <xf numFmtId="178" fontId="74" fillId="25" borderId="32" xfId="166" applyNumberFormat="1" applyFont="1" applyFill="1" applyBorder="1" applyAlignment="1" applyProtection="1">
      <alignment horizontal="center" vertical="center" wrapText="1"/>
    </xf>
    <xf numFmtId="191" fontId="74" fillId="25" borderId="32" xfId="96" applyNumberFormat="1" applyFont="1" applyFill="1" applyBorder="1" applyAlignment="1">
      <alignment horizontal="center" vertical="center" wrapText="1"/>
    </xf>
    <xf numFmtId="0" fontId="74" fillId="25" borderId="32" xfId="96" applyFont="1" applyFill="1" applyBorder="1" applyAlignment="1">
      <alignment horizontal="left" vertical="center" wrapText="1" indent="4"/>
    </xf>
    <xf numFmtId="178" fontId="74" fillId="25" borderId="32" xfId="166" applyNumberFormat="1" applyFont="1" applyFill="1" applyBorder="1" applyAlignment="1" applyProtection="1">
      <alignment horizontal="center" vertical="center" wrapText="1"/>
      <protection locked="0"/>
    </xf>
    <xf numFmtId="0" fontId="74" fillId="0" borderId="32" xfId="96" applyFont="1" applyBorder="1" applyAlignment="1">
      <alignment horizontal="left" vertical="center" wrapText="1" indent="6"/>
    </xf>
    <xf numFmtId="178" fontId="74" fillId="0" borderId="32" xfId="166" applyNumberFormat="1" applyFont="1" applyFill="1" applyBorder="1" applyAlignment="1" applyProtection="1">
      <alignment horizontal="center" vertical="center" wrapText="1"/>
      <protection locked="0"/>
    </xf>
    <xf numFmtId="191" fontId="74" fillId="0" borderId="32" xfId="96" applyNumberFormat="1" applyFont="1" applyBorder="1" applyAlignment="1">
      <alignment horizontal="center" vertical="center" wrapText="1"/>
    </xf>
    <xf numFmtId="178" fontId="74" fillId="0" borderId="32" xfId="166" applyNumberFormat="1" applyFont="1" applyFill="1" applyBorder="1" applyAlignment="1" applyProtection="1">
      <alignment horizontal="center" vertical="center" wrapText="1"/>
    </xf>
    <xf numFmtId="0" fontId="74" fillId="25" borderId="32" xfId="96" applyFont="1" applyFill="1" applyBorder="1" applyAlignment="1">
      <alignment horizontal="left" vertical="center" wrapText="1" indent="6"/>
    </xf>
    <xf numFmtId="0" fontId="74" fillId="0" borderId="32" xfId="96" applyFont="1" applyBorder="1" applyAlignment="1">
      <alignment horizontal="left" vertical="center" wrapText="1" indent="8"/>
    </xf>
    <xf numFmtId="189" fontId="74" fillId="25" borderId="32" xfId="96" applyNumberFormat="1" applyFont="1" applyFill="1" applyBorder="1" applyAlignment="1">
      <alignment horizontal="center" vertical="center" wrapText="1"/>
    </xf>
    <xf numFmtId="0" fontId="74" fillId="0" borderId="32" xfId="96" applyFont="1" applyBorder="1" applyAlignment="1">
      <alignment horizontal="left" vertical="center" wrapText="1" indent="4"/>
    </xf>
    <xf numFmtId="0" fontId="74" fillId="25" borderId="32" xfId="124" applyFont="1" applyFill="1" applyBorder="1" applyAlignment="1" applyProtection="1">
      <alignment horizontal="left" vertical="center" wrapText="1"/>
      <protection locked="0"/>
    </xf>
    <xf numFmtId="0" fontId="74" fillId="0" borderId="32" xfId="124" applyFont="1" applyBorder="1" applyAlignment="1" applyProtection="1">
      <alignment horizontal="left" vertical="top" wrapText="1"/>
      <protection locked="0"/>
    </xf>
    <xf numFmtId="0" fontId="86" fillId="25" borderId="32" xfId="96" applyFont="1" applyFill="1" applyBorder="1" applyAlignment="1" applyProtection="1">
      <alignment horizontal="left" vertical="center" wrapText="1"/>
      <protection locked="0"/>
    </xf>
    <xf numFmtId="191" fontId="86" fillId="25" borderId="32" xfId="96" applyNumberFormat="1" applyFont="1" applyFill="1" applyBorder="1" applyAlignment="1">
      <alignment horizontal="center" vertical="center" wrapText="1"/>
    </xf>
    <xf numFmtId="191" fontId="74" fillId="0" borderId="32" xfId="96" applyNumberFormat="1" applyFont="1" applyBorder="1" applyAlignment="1">
      <alignment horizontal="center" vertical="center" wrapText="1" shrinkToFit="1"/>
    </xf>
    <xf numFmtId="0" fontId="84" fillId="0" borderId="32" xfId="96" applyFont="1" applyBorder="1" applyAlignment="1" applyProtection="1">
      <alignment horizontal="left" vertical="center" wrapText="1"/>
      <protection locked="0"/>
    </xf>
    <xf numFmtId="191" fontId="80" fillId="25" borderId="32" xfId="96" applyNumberFormat="1" applyFont="1" applyFill="1" applyBorder="1" applyAlignment="1">
      <alignment horizontal="center" vertical="center" wrapText="1"/>
    </xf>
    <xf numFmtId="0" fontId="74" fillId="25" borderId="32" xfId="124" applyFont="1" applyFill="1" applyBorder="1" applyAlignment="1">
      <alignment horizontal="left" vertical="center" wrapText="1" indent="4"/>
    </xf>
    <xf numFmtId="0" fontId="74" fillId="25" borderId="32" xfId="124" applyFont="1" applyFill="1" applyBorder="1" applyAlignment="1">
      <alignment horizontal="left" vertical="center" wrapText="1" indent="6"/>
    </xf>
    <xf numFmtId="183" fontId="74" fillId="25" borderId="32" xfId="194" applyNumberFormat="1" applyFont="1" applyFill="1" applyBorder="1" applyAlignment="1" applyProtection="1">
      <alignment horizontal="center" vertical="center" wrapText="1"/>
    </xf>
    <xf numFmtId="191" fontId="74" fillId="25" borderId="32" xfId="124" applyNumberFormat="1" applyFont="1" applyFill="1" applyBorder="1" applyAlignment="1">
      <alignment horizontal="center" vertical="center" wrapText="1"/>
    </xf>
    <xf numFmtId="191" fontId="74" fillId="0" borderId="32" xfId="124" applyNumberFormat="1" applyFont="1" applyBorder="1" applyAlignment="1">
      <alignment horizontal="center" vertical="center" wrapText="1"/>
    </xf>
    <xf numFmtId="0" fontId="74" fillId="0" borderId="32" xfId="0" applyFont="1" applyBorder="1" applyAlignment="1" applyProtection="1">
      <alignment horizontal="left" vertical="center" wrapText="1"/>
      <protection locked="0"/>
    </xf>
    <xf numFmtId="0" fontId="74" fillId="25" borderId="32" xfId="96" applyFont="1" applyFill="1" applyBorder="1" applyAlignment="1">
      <alignment vertical="center" wrapText="1"/>
    </xf>
    <xf numFmtId="0" fontId="74" fillId="25" borderId="32" xfId="96" applyFont="1" applyFill="1" applyBorder="1" applyAlignment="1" applyProtection="1">
      <alignment horizontal="center" vertical="center" wrapText="1"/>
      <protection locked="0"/>
    </xf>
    <xf numFmtId="0" fontId="74" fillId="25" borderId="32" xfId="124" applyFont="1" applyFill="1" applyBorder="1" applyAlignment="1">
      <alignment vertical="center" wrapText="1"/>
    </xf>
    <xf numFmtId="0" fontId="74" fillId="0" borderId="131" xfId="124" applyFont="1" applyBorder="1" applyAlignment="1">
      <alignment horizontal="left" vertical="center" wrapText="1"/>
    </xf>
    <xf numFmtId="178" fontId="74" fillId="0" borderId="131" xfId="166" applyNumberFormat="1" applyFont="1" applyFill="1" applyBorder="1" applyAlignment="1" applyProtection="1">
      <alignment horizontal="center" vertical="center" wrapText="1"/>
      <protection locked="0"/>
    </xf>
    <xf numFmtId="191" fontId="74" fillId="0" borderId="131" xfId="124" applyNumberFormat="1" applyFont="1" applyBorder="1" applyAlignment="1">
      <alignment horizontal="center" vertical="center" wrapText="1"/>
    </xf>
    <xf numFmtId="0" fontId="82" fillId="30" borderId="15" xfId="124" applyFont="1" applyFill="1" applyBorder="1" applyAlignment="1">
      <alignment horizontal="center" vertical="center" wrapText="1"/>
    </xf>
    <xf numFmtId="0" fontId="82" fillId="30" borderId="15" xfId="96" applyFont="1" applyFill="1" applyBorder="1" applyAlignment="1">
      <alignment vertical="center" wrapText="1"/>
    </xf>
    <xf numFmtId="178" fontId="82" fillId="30" borderId="15" xfId="166" applyNumberFormat="1" applyFont="1" applyFill="1" applyBorder="1" applyAlignment="1" applyProtection="1">
      <alignment horizontal="center" vertical="center" wrapText="1"/>
    </xf>
    <xf numFmtId="191" fontId="82" fillId="30" borderId="15" xfId="96" applyNumberFormat="1" applyFont="1" applyFill="1" applyBorder="1" applyAlignment="1">
      <alignment horizontal="center" vertical="center" wrapText="1"/>
    </xf>
    <xf numFmtId="0" fontId="68" fillId="0" borderId="0" xfId="96" applyFont="1" applyAlignment="1">
      <alignment horizontal="left" vertical="top"/>
    </xf>
    <xf numFmtId="0" fontId="74" fillId="0" borderId="0" xfId="96" applyFont="1" applyAlignment="1">
      <alignment horizontal="left" vertical="top"/>
    </xf>
    <xf numFmtId="0" fontId="74" fillId="0" borderId="0" xfId="96" applyFont="1" applyAlignment="1">
      <alignment vertical="top" wrapText="1"/>
    </xf>
    <xf numFmtId="0" fontId="68" fillId="0" borderId="0" xfId="96" applyFont="1" applyAlignment="1">
      <alignment horizontal="left" vertical="center"/>
    </xf>
    <xf numFmtId="0" fontId="74" fillId="0" borderId="0" xfId="96" applyFont="1" applyAlignment="1">
      <alignment vertical="center"/>
    </xf>
    <xf numFmtId="192" fontId="74" fillId="0" borderId="0" xfId="96" applyNumberFormat="1" applyFont="1" applyAlignment="1">
      <alignment horizontal="center" vertical="center"/>
    </xf>
    <xf numFmtId="191" fontId="74" fillId="0" borderId="0" xfId="96" applyNumberFormat="1" applyFont="1" applyAlignment="1">
      <alignment horizontal="center" vertical="center"/>
    </xf>
    <xf numFmtId="192" fontId="74" fillId="0" borderId="0" xfId="96" applyNumberFormat="1" applyFont="1" applyAlignment="1">
      <alignment horizontal="center" vertical="center" wrapText="1"/>
    </xf>
    <xf numFmtId="191" fontId="74" fillId="0" borderId="0" xfId="96" applyNumberFormat="1" applyFont="1" applyAlignment="1">
      <alignment horizontal="center" vertical="center" wrapText="1"/>
    </xf>
    <xf numFmtId="0" fontId="68" fillId="0" borderId="0" xfId="96" applyFont="1" applyAlignment="1">
      <alignment vertical="center"/>
    </xf>
    <xf numFmtId="0" fontId="75" fillId="0" borderId="18" xfId="396" applyFont="1" applyBorder="1">
      <alignment vertical="center"/>
    </xf>
    <xf numFmtId="0" fontId="84" fillId="0" borderId="0" xfId="107" applyFont="1" applyAlignment="1">
      <alignment vertical="top"/>
    </xf>
    <xf numFmtId="0" fontId="84" fillId="0" borderId="0" xfId="107" applyFont="1" applyAlignment="1">
      <alignment horizontal="left" vertical="center"/>
    </xf>
    <xf numFmtId="179" fontId="109" fillId="35" borderId="18" xfId="192" applyNumberFormat="1" applyFont="1" applyFill="1" applyBorder="1" applyAlignment="1">
      <alignment horizontal="right" vertical="center"/>
    </xf>
    <xf numFmtId="179" fontId="109" fillId="0" borderId="18" xfId="280" applyNumberFormat="1" applyFont="1" applyFill="1" applyBorder="1" applyAlignment="1">
      <alignment horizontal="right" vertical="center"/>
    </xf>
    <xf numFmtId="10" fontId="109" fillId="0" borderId="127" xfId="158" quotePrefix="1" applyNumberFormat="1" applyFont="1" applyBorder="1" applyAlignment="1">
      <alignment horizontal="right" vertical="center"/>
    </xf>
    <xf numFmtId="10" fontId="109" fillId="0" borderId="128" xfId="158" quotePrefix="1" applyNumberFormat="1" applyFont="1" applyBorder="1" applyAlignment="1">
      <alignment horizontal="right" vertical="center"/>
    </xf>
    <xf numFmtId="10" fontId="109" fillId="0" borderId="18" xfId="158" quotePrefix="1" applyNumberFormat="1" applyFont="1" applyBorder="1" applyAlignment="1">
      <alignment horizontal="right" vertical="center"/>
    </xf>
    <xf numFmtId="0" fontId="75" fillId="0" borderId="67" xfId="106" applyFont="1" applyBorder="1" applyAlignment="1">
      <alignment horizontal="center" vertical="center"/>
    </xf>
    <xf numFmtId="0" fontId="74" fillId="0" borderId="0" xfId="140" applyFont="1" applyAlignment="1">
      <alignment horizontal="left" wrapText="1"/>
    </xf>
    <xf numFmtId="0" fontId="68" fillId="0" borderId="0" xfId="154" applyFont="1" applyProtection="1">
      <protection locked="0"/>
    </xf>
    <xf numFmtId="0" fontId="74" fillId="0" borderId="0" xfId="95" applyFont="1" applyAlignment="1" applyProtection="1">
      <alignment vertical="center" wrapText="1"/>
      <protection locked="0"/>
    </xf>
    <xf numFmtId="195" fontId="74" fillId="0" borderId="0" xfId="95" applyNumberFormat="1" applyFont="1" applyAlignment="1">
      <alignment horizontal="center" vertical="center" wrapText="1"/>
    </xf>
    <xf numFmtId="0" fontId="132" fillId="0" borderId="0" xfId="95" applyFont="1" applyAlignment="1">
      <alignment horizontal="left" vertical="center"/>
    </xf>
    <xf numFmtId="183" fontId="68" fillId="41" borderId="0" xfId="194" applyNumberFormat="1" applyFont="1" applyFill="1" applyBorder="1" applyAlignment="1" applyProtection="1">
      <alignment horizontal="left" vertical="center"/>
    </xf>
    <xf numFmtId="0" fontId="74" fillId="41" borderId="0" xfId="95" applyFont="1" applyFill="1" applyAlignment="1">
      <alignment vertical="center" wrapText="1"/>
    </xf>
    <xf numFmtId="0" fontId="82" fillId="0" borderId="0" xfId="95" applyFont="1" applyAlignment="1">
      <alignment vertical="center"/>
    </xf>
    <xf numFmtId="0" fontId="82" fillId="0" borderId="65" xfId="95" applyFont="1" applyBorder="1" applyAlignment="1">
      <alignment horizontal="center" vertical="center" wrapText="1"/>
    </xf>
    <xf numFmtId="0" fontId="82" fillId="0" borderId="161" xfId="95" applyFont="1" applyBorder="1" applyAlignment="1">
      <alignment horizontal="center" vertical="center" wrapText="1"/>
    </xf>
    <xf numFmtId="0" fontId="82" fillId="0" borderId="24" xfId="95" applyFont="1" applyBorder="1" applyAlignment="1">
      <alignment horizontal="center" vertical="center" wrapText="1"/>
    </xf>
    <xf numFmtId="0" fontId="82" fillId="0" borderId="24" xfId="194" applyNumberFormat="1" applyFont="1" applyFill="1" applyBorder="1" applyAlignment="1" applyProtection="1">
      <alignment horizontal="center" vertical="center" wrapText="1"/>
    </xf>
    <xf numFmtId="0" fontId="82" fillId="0" borderId="55" xfId="95" applyFont="1" applyBorder="1" applyAlignment="1">
      <alignment horizontal="center" vertical="center" wrapText="1"/>
    </xf>
    <xf numFmtId="0" fontId="74" fillId="0" borderId="280" xfId="95" applyFont="1" applyBorder="1" applyAlignment="1">
      <alignment horizontal="right" vertical="center" wrapText="1"/>
    </xf>
    <xf numFmtId="0" fontId="74" fillId="0" borderId="281" xfId="95" applyFont="1" applyBorder="1" applyAlignment="1">
      <alignment horizontal="center" vertical="center" wrapText="1"/>
    </xf>
    <xf numFmtId="0" fontId="74" fillId="0" borderId="283" xfId="95" applyFont="1" applyBorder="1" applyAlignment="1" applyProtection="1">
      <alignment horizontal="left" vertical="center" wrapText="1"/>
      <protection locked="0"/>
    </xf>
    <xf numFmtId="183" fontId="74" fillId="0" borderId="283" xfId="180" applyNumberFormat="1" applyFont="1" applyFill="1" applyBorder="1" applyAlignment="1" applyProtection="1">
      <alignment horizontal="center" vertical="center" wrapText="1"/>
      <protection locked="0"/>
    </xf>
    <xf numFmtId="200" fontId="74" fillId="0" borderId="283" xfId="180" applyNumberFormat="1" applyFont="1" applyFill="1" applyBorder="1" applyAlignment="1" applyProtection="1">
      <alignment horizontal="center" vertical="center" wrapText="1"/>
    </xf>
    <xf numFmtId="183" fontId="74" fillId="0" borderId="283" xfId="180" applyNumberFormat="1" applyFont="1" applyFill="1" applyBorder="1" applyAlignment="1" applyProtection="1">
      <alignment horizontal="center" vertical="center" wrapText="1"/>
    </xf>
    <xf numFmtId="0" fontId="74" fillId="0" borderId="284" xfId="95" applyFont="1" applyBorder="1" applyAlignment="1">
      <alignment vertical="center" wrapText="1"/>
    </xf>
    <xf numFmtId="0" fontId="74" fillId="0" borderId="285" xfId="95" applyFont="1" applyBorder="1" applyAlignment="1">
      <alignment horizontal="right" vertical="center" wrapText="1"/>
    </xf>
    <xf numFmtId="0" fontId="74" fillId="0" borderId="286" xfId="95" applyFont="1" applyBorder="1" applyAlignment="1">
      <alignment horizontal="center" vertical="center" wrapText="1"/>
    </xf>
    <xf numFmtId="183" fontId="74" fillId="0" borderId="288" xfId="180" applyNumberFormat="1" applyFont="1" applyFill="1" applyBorder="1" applyAlignment="1" applyProtection="1">
      <alignment horizontal="center" vertical="center" wrapText="1"/>
      <protection locked="0"/>
    </xf>
    <xf numFmtId="200" fontId="74" fillId="0" borderId="289" xfId="180" applyNumberFormat="1" applyFont="1" applyFill="1" applyBorder="1" applyAlignment="1" applyProtection="1">
      <alignment horizontal="center" vertical="center" wrapText="1"/>
    </xf>
    <xf numFmtId="183" fontId="74" fillId="0" borderId="288" xfId="180" applyNumberFormat="1" applyFont="1" applyFill="1" applyBorder="1" applyAlignment="1" applyProtection="1">
      <alignment horizontal="center" vertical="center" wrapText="1"/>
    </xf>
    <xf numFmtId="0" fontId="74" fillId="0" borderId="290" xfId="95" applyFont="1" applyBorder="1" applyAlignment="1">
      <alignment vertical="center" wrapText="1"/>
    </xf>
    <xf numFmtId="0" fontId="74" fillId="0" borderId="285" xfId="95" applyFont="1" applyBorder="1" applyAlignment="1">
      <alignment horizontal="center" wrapText="1"/>
    </xf>
    <xf numFmtId="0" fontId="68" fillId="0" borderId="285" xfId="95" applyFont="1" applyBorder="1" applyAlignment="1">
      <alignment horizontal="center" wrapText="1"/>
    </xf>
    <xf numFmtId="0" fontId="74" fillId="38" borderId="292" xfId="95" applyFont="1" applyFill="1" applyBorder="1" applyAlignment="1" applyProtection="1">
      <alignment horizontal="left" vertical="center" wrapText="1"/>
      <protection locked="0"/>
    </xf>
    <xf numFmtId="183" fontId="74" fillId="41" borderId="292" xfId="180" applyNumberFormat="1" applyFont="1" applyFill="1" applyBorder="1" applyAlignment="1" applyProtection="1">
      <alignment horizontal="center" vertical="center" wrapText="1"/>
      <protection locked="0"/>
    </xf>
    <xf numFmtId="200" fontId="74" fillId="38" borderId="292" xfId="180" applyNumberFormat="1" applyFont="1" applyFill="1" applyBorder="1" applyAlignment="1" applyProtection="1">
      <alignment horizontal="center" vertical="center" wrapText="1"/>
    </xf>
    <xf numFmtId="183" fontId="74" fillId="38" borderId="292" xfId="180" applyNumberFormat="1" applyFont="1" applyFill="1" applyBorder="1" applyAlignment="1" applyProtection="1">
      <alignment horizontal="center" vertical="center" wrapText="1"/>
    </xf>
    <xf numFmtId="0" fontId="74" fillId="0" borderId="293" xfId="95" applyFont="1" applyBorder="1" applyAlignment="1">
      <alignment vertical="center" wrapText="1"/>
    </xf>
    <xf numFmtId="0" fontId="74" fillId="0" borderId="294" xfId="95" applyFont="1" applyBorder="1" applyAlignment="1">
      <alignment horizontal="right" vertical="center" wrapText="1"/>
    </xf>
    <xf numFmtId="0" fontId="74" fillId="0" borderId="295" xfId="95" applyFont="1" applyBorder="1" applyAlignment="1">
      <alignment horizontal="center" vertical="center" wrapText="1"/>
    </xf>
    <xf numFmtId="0" fontId="74" fillId="38" borderId="297" xfId="95" applyFont="1" applyFill="1" applyBorder="1" applyAlignment="1" applyProtection="1">
      <alignment horizontal="left" vertical="center" wrapText="1"/>
      <protection locked="0"/>
    </xf>
    <xf numFmtId="183" fontId="74" fillId="41" borderId="297" xfId="180" applyNumberFormat="1" applyFont="1" applyFill="1" applyBorder="1" applyAlignment="1" applyProtection="1">
      <alignment horizontal="center" vertical="center" wrapText="1"/>
    </xf>
    <xf numFmtId="200" fontId="74" fillId="0" borderId="297" xfId="180" applyNumberFormat="1" applyFont="1" applyFill="1" applyBorder="1" applyAlignment="1" applyProtection="1">
      <alignment horizontal="center" vertical="center" wrapText="1"/>
    </xf>
    <xf numFmtId="183" fontId="74" fillId="0" borderId="297" xfId="180" applyNumberFormat="1" applyFont="1" applyFill="1" applyBorder="1" applyAlignment="1" applyProtection="1">
      <alignment horizontal="center" vertical="center" wrapText="1"/>
    </xf>
    <xf numFmtId="0" fontId="74" fillId="0" borderId="298" xfId="95" applyFont="1" applyBorder="1" applyAlignment="1">
      <alignment vertical="center" wrapText="1"/>
    </xf>
    <xf numFmtId="0" fontId="74" fillId="0" borderId="0" xfId="95" quotePrefix="1" applyFont="1" applyAlignment="1">
      <alignment horizontal="left" vertical="center" wrapText="1"/>
    </xf>
    <xf numFmtId="0" fontId="74" fillId="0" borderId="299" xfId="95" applyFont="1" applyBorder="1" applyAlignment="1">
      <alignment horizontal="right" vertical="center" wrapText="1"/>
    </xf>
    <xf numFmtId="0" fontId="74" fillId="0" borderId="300" xfId="95" applyFont="1" applyBorder="1" applyAlignment="1">
      <alignment horizontal="center" vertical="center" wrapText="1"/>
    </xf>
    <xf numFmtId="183" fontId="74" fillId="0" borderId="302" xfId="180" applyNumberFormat="1" applyFont="1" applyFill="1" applyBorder="1" applyAlignment="1" applyProtection="1">
      <alignment horizontal="center" vertical="center" wrapText="1"/>
    </xf>
    <xf numFmtId="200" fontId="74" fillId="0" borderId="302" xfId="180" applyNumberFormat="1" applyFont="1" applyFill="1" applyBorder="1" applyAlignment="1" applyProtection="1">
      <alignment horizontal="center" vertical="center" wrapText="1"/>
    </xf>
    <xf numFmtId="0" fontId="74" fillId="0" borderId="303" xfId="95" applyFont="1" applyBorder="1" applyAlignment="1">
      <alignment horizontal="center" vertical="center" wrapText="1"/>
    </xf>
    <xf numFmtId="0" fontId="74" fillId="0" borderId="304" xfId="95" applyFont="1" applyBorder="1" applyAlignment="1">
      <alignment horizontal="center" vertical="center" wrapText="1"/>
    </xf>
    <xf numFmtId="183" fontId="74" fillId="0" borderId="289" xfId="180" applyNumberFormat="1" applyFont="1" applyFill="1" applyBorder="1" applyAlignment="1" applyProtection="1">
      <alignment horizontal="center" vertical="center" wrapText="1"/>
    </xf>
    <xf numFmtId="0" fontId="74" fillId="0" borderId="306" xfId="95" applyFont="1" applyBorder="1" applyAlignment="1">
      <alignment horizontal="center" vertical="center" wrapText="1"/>
    </xf>
    <xf numFmtId="0" fontId="74" fillId="0" borderId="307" xfId="95" applyFont="1" applyBorder="1" applyAlignment="1">
      <alignment horizontal="center" vertical="center" wrapText="1"/>
    </xf>
    <xf numFmtId="0" fontId="74" fillId="0" borderId="306" xfId="95" applyFont="1" applyBorder="1" applyAlignment="1">
      <alignment vertical="center" wrapText="1"/>
    </xf>
    <xf numFmtId="0" fontId="74" fillId="38" borderId="289" xfId="95" applyFont="1" applyFill="1" applyBorder="1" applyAlignment="1" applyProtection="1">
      <alignment horizontal="left" vertical="center" wrapText="1"/>
      <protection locked="0"/>
    </xf>
    <xf numFmtId="183" fontId="74" fillId="41" borderId="289" xfId="180" applyNumberFormat="1" applyFont="1" applyFill="1" applyBorder="1" applyAlignment="1" applyProtection="1">
      <alignment horizontal="center" vertical="center" wrapText="1"/>
    </xf>
    <xf numFmtId="0" fontId="68" fillId="0" borderId="285" xfId="95" applyFont="1" applyBorder="1" applyAlignment="1">
      <alignment horizontal="center" vertical="top" wrapText="1"/>
    </xf>
    <xf numFmtId="0" fontId="74" fillId="0" borderId="308" xfId="95" applyFont="1" applyBorder="1" applyAlignment="1">
      <alignment horizontal="center" vertical="center" wrapText="1"/>
    </xf>
    <xf numFmtId="0" fontId="74" fillId="0" borderId="311" xfId="95" applyFont="1" applyBorder="1" applyAlignment="1">
      <alignment vertical="center" wrapText="1"/>
    </xf>
    <xf numFmtId="0" fontId="74" fillId="35" borderId="312" xfId="95" applyFont="1" applyFill="1" applyBorder="1" applyAlignment="1">
      <alignment horizontal="center" vertical="center" wrapText="1"/>
    </xf>
    <xf numFmtId="0" fontId="74" fillId="35" borderId="206" xfId="95" applyFont="1" applyFill="1" applyBorder="1" applyAlignment="1">
      <alignment horizontal="center" vertical="center" wrapText="1"/>
    </xf>
    <xf numFmtId="0" fontId="74" fillId="0" borderId="73" xfId="95" applyFont="1" applyBorder="1" applyAlignment="1">
      <alignment vertical="center" wrapText="1"/>
    </xf>
    <xf numFmtId="0" fontId="135" fillId="0" borderId="0" xfId="95" applyFont="1" applyAlignment="1">
      <alignment horizontal="left" vertical="center" wrapText="1"/>
    </xf>
    <xf numFmtId="0" fontId="74" fillId="0" borderId="280" xfId="95" applyFont="1" applyBorder="1" applyAlignment="1">
      <alignment horizontal="center" wrapText="1"/>
    </xf>
    <xf numFmtId="0" fontId="74" fillId="0" borderId="313" xfId="95" applyFont="1" applyBorder="1" applyAlignment="1">
      <alignment horizontal="center" vertical="center" wrapText="1"/>
    </xf>
    <xf numFmtId="0" fontId="74" fillId="0" borderId="314" xfId="95" applyFont="1" applyBorder="1" applyAlignment="1">
      <alignment vertical="center" wrapText="1"/>
    </xf>
    <xf numFmtId="183" fontId="74" fillId="0" borderId="314" xfId="180" applyNumberFormat="1" applyFont="1" applyFill="1" applyBorder="1" applyAlignment="1" applyProtection="1">
      <alignment horizontal="center" vertical="center" wrapText="1"/>
      <protection locked="0"/>
    </xf>
    <xf numFmtId="200" fontId="74" fillId="0" borderId="314" xfId="180" applyNumberFormat="1" applyFont="1" applyFill="1" applyBorder="1" applyAlignment="1" applyProtection="1">
      <alignment horizontal="center" vertical="center" wrapText="1"/>
    </xf>
    <xf numFmtId="183" fontId="74" fillId="0" borderId="314" xfId="180" applyNumberFormat="1" applyFont="1" applyFill="1" applyBorder="1" applyAlignment="1" applyProtection="1">
      <alignment horizontal="center" vertical="center" wrapText="1"/>
    </xf>
    <xf numFmtId="0" fontId="74" fillId="0" borderId="315" xfId="95" applyFont="1" applyBorder="1" applyAlignment="1">
      <alignment vertical="center" wrapText="1"/>
    </xf>
    <xf numFmtId="0" fontId="74" fillId="0" borderId="289" xfId="95" applyFont="1" applyBorder="1" applyAlignment="1">
      <alignment vertical="center" wrapText="1"/>
    </xf>
    <xf numFmtId="0" fontId="74" fillId="0" borderId="289" xfId="95" applyFont="1" applyBorder="1" applyAlignment="1" applyProtection="1">
      <alignment horizontal="left" vertical="center" wrapText="1"/>
      <protection locked="0"/>
    </xf>
    <xf numFmtId="183" fontId="74" fillId="0" borderId="289" xfId="180" applyNumberFormat="1" applyFont="1" applyFill="1" applyBorder="1" applyAlignment="1" applyProtection="1">
      <alignment horizontal="center" vertical="center" wrapText="1"/>
      <protection locked="0"/>
    </xf>
    <xf numFmtId="0" fontId="74" fillId="38" borderId="310" xfId="95" applyFont="1" applyFill="1" applyBorder="1" applyAlignment="1" applyProtection="1">
      <alignment horizontal="left" vertical="center" wrapText="1"/>
      <protection locked="0"/>
    </xf>
    <xf numFmtId="183" fontId="74" fillId="0" borderId="310" xfId="180" applyNumberFormat="1" applyFont="1" applyFill="1" applyBorder="1" applyAlignment="1" applyProtection="1">
      <alignment horizontal="center" vertical="center" wrapText="1"/>
    </xf>
    <xf numFmtId="0" fontId="132" fillId="0" borderId="0" xfId="95" applyFont="1" applyAlignment="1">
      <alignment horizontal="left" vertical="center" wrapText="1"/>
    </xf>
    <xf numFmtId="0" fontId="74" fillId="38" borderId="302" xfId="95" applyFont="1" applyFill="1" applyBorder="1" applyAlignment="1" applyProtection="1">
      <alignment horizontal="left" vertical="center" wrapText="1"/>
      <protection locked="0"/>
    </xf>
    <xf numFmtId="0" fontId="74" fillId="0" borderId="303" xfId="95" applyFont="1" applyBorder="1" applyAlignment="1">
      <alignment vertical="center" wrapText="1"/>
    </xf>
    <xf numFmtId="0" fontId="57" fillId="0" borderId="285" xfId="95" applyFont="1" applyBorder="1" applyAlignment="1">
      <alignment horizontal="center" vertical="top" wrapText="1"/>
    </xf>
    <xf numFmtId="0" fontId="74" fillId="0" borderId="285" xfId="95" applyFont="1" applyBorder="1" applyAlignment="1">
      <alignment horizontal="center" vertical="center" wrapText="1"/>
    </xf>
    <xf numFmtId="0" fontId="74" fillId="35" borderId="316" xfId="95" applyFont="1" applyFill="1" applyBorder="1" applyAlignment="1">
      <alignment horizontal="center" vertical="center" wrapText="1"/>
    </xf>
    <xf numFmtId="183" fontId="74" fillId="38" borderId="317" xfId="180" applyNumberFormat="1" applyFont="1" applyFill="1" applyBorder="1" applyAlignment="1" applyProtection="1">
      <alignment horizontal="center" vertical="center" wrapText="1"/>
      <protection locked="0"/>
    </xf>
    <xf numFmtId="200" fontId="74" fillId="38" borderId="317" xfId="180" applyNumberFormat="1" applyFont="1" applyFill="1" applyBorder="1" applyAlignment="1" applyProtection="1">
      <alignment horizontal="center" vertical="center" wrapText="1"/>
    </xf>
    <xf numFmtId="183" fontId="74" fillId="35" borderId="317" xfId="180" applyNumberFormat="1" applyFont="1" applyFill="1" applyBorder="1" applyAlignment="1" applyProtection="1">
      <alignment horizontal="center" vertical="center" wrapText="1"/>
    </xf>
    <xf numFmtId="0" fontId="74" fillId="0" borderId="318" xfId="95" applyFont="1" applyBorder="1" applyAlignment="1">
      <alignment vertical="center" wrapText="1"/>
    </xf>
    <xf numFmtId="0" fontId="74" fillId="0" borderId="280" xfId="95" applyFont="1" applyBorder="1" applyAlignment="1">
      <alignment horizontal="center" vertical="center" wrapText="1"/>
    </xf>
    <xf numFmtId="183" fontId="74" fillId="0" borderId="305" xfId="180" applyNumberFormat="1" applyFont="1" applyFill="1" applyBorder="1" applyAlignment="1" applyProtection="1">
      <alignment horizontal="center" vertical="center" wrapText="1"/>
    </xf>
    <xf numFmtId="183" fontId="74" fillId="0" borderId="305" xfId="180" applyNumberFormat="1" applyFont="1" applyFill="1" applyBorder="1" applyAlignment="1" applyProtection="1">
      <alignment horizontal="center" vertical="center" wrapText="1"/>
      <protection locked="0"/>
    </xf>
    <xf numFmtId="0" fontId="74" fillId="0" borderId="294" xfId="95" applyFont="1" applyBorder="1" applyAlignment="1">
      <alignment horizontal="center" vertical="center" wrapText="1"/>
    </xf>
    <xf numFmtId="0" fontId="57" fillId="0" borderId="294" xfId="95" applyFont="1" applyBorder="1" applyAlignment="1">
      <alignment horizontal="center" vertical="top" wrapText="1"/>
    </xf>
    <xf numFmtId="183" fontId="74" fillId="38" borderId="302" xfId="194" applyNumberFormat="1" applyFont="1" applyFill="1" applyBorder="1" applyAlignment="1" applyProtection="1">
      <alignment horizontal="center" vertical="center" wrapText="1"/>
    </xf>
    <xf numFmtId="195" fontId="74" fillId="38" borderId="302" xfId="95" applyNumberFormat="1" applyFont="1" applyFill="1" applyBorder="1" applyAlignment="1">
      <alignment horizontal="center" vertical="center" wrapText="1"/>
    </xf>
    <xf numFmtId="183" fontId="74" fillId="0" borderId="302" xfId="194" applyNumberFormat="1" applyFont="1" applyFill="1" applyBorder="1" applyAlignment="1" applyProtection="1">
      <alignment horizontal="center" vertical="center" wrapText="1"/>
    </xf>
    <xf numFmtId="0" fontId="74" fillId="35" borderId="304" xfId="95" applyFont="1" applyFill="1" applyBorder="1" applyAlignment="1">
      <alignment horizontal="center" vertical="center" wrapText="1"/>
    </xf>
    <xf numFmtId="183" fontId="74" fillId="38" borderId="289" xfId="194" applyNumberFormat="1" applyFont="1" applyFill="1" applyBorder="1" applyAlignment="1" applyProtection="1">
      <alignment horizontal="center" vertical="center" wrapText="1"/>
    </xf>
    <xf numFmtId="195" fontId="74" fillId="38" borderId="289" xfId="95" applyNumberFormat="1" applyFont="1" applyFill="1" applyBorder="1" applyAlignment="1">
      <alignment horizontal="center" vertical="center" wrapText="1"/>
    </xf>
    <xf numFmtId="183" fontId="74" fillId="35" borderId="289" xfId="194" applyNumberFormat="1" applyFont="1" applyFill="1" applyBorder="1" applyAlignment="1" applyProtection="1">
      <alignment horizontal="center" vertical="center" wrapText="1"/>
    </xf>
    <xf numFmtId="0" fontId="74" fillId="0" borderId="312" xfId="95" applyFont="1" applyBorder="1" applyAlignment="1">
      <alignment horizontal="center" vertical="center" wrapText="1"/>
    </xf>
    <xf numFmtId="0" fontId="74" fillId="0" borderId="316" xfId="95" applyFont="1" applyBorder="1" applyAlignment="1">
      <alignment horizontal="center" vertical="center" wrapText="1"/>
    </xf>
    <xf numFmtId="183" fontId="74" fillId="38" borderId="317" xfId="194" applyNumberFormat="1" applyFont="1" applyFill="1" applyBorder="1" applyAlignment="1" applyProtection="1">
      <alignment horizontal="center" vertical="center" wrapText="1"/>
    </xf>
    <xf numFmtId="195" fontId="74" fillId="38" borderId="317" xfId="95" applyNumberFormat="1" applyFont="1" applyFill="1" applyBorder="1" applyAlignment="1">
      <alignment horizontal="center" vertical="center" wrapText="1"/>
    </xf>
    <xf numFmtId="183" fontId="74" fillId="0" borderId="317" xfId="194" applyNumberFormat="1" applyFont="1" applyFill="1" applyBorder="1" applyAlignment="1" applyProtection="1">
      <alignment horizontal="center" vertical="center" wrapText="1"/>
    </xf>
    <xf numFmtId="0" fontId="74" fillId="0" borderId="0" xfId="95" applyFont="1" applyAlignment="1">
      <alignment horizontal="right" vertical="center" wrapText="1"/>
    </xf>
    <xf numFmtId="0" fontId="74" fillId="35" borderId="147" xfId="95" applyFont="1" applyFill="1" applyBorder="1" applyAlignment="1">
      <alignment horizontal="center" vertical="center" wrapText="1"/>
    </xf>
    <xf numFmtId="183" fontId="74" fillId="38" borderId="148" xfId="194" applyNumberFormat="1" applyFont="1" applyFill="1" applyBorder="1" applyAlignment="1" applyProtection="1">
      <alignment horizontal="center" vertical="center" wrapText="1"/>
    </xf>
    <xf numFmtId="195" fontId="74" fillId="38" borderId="148" xfId="95" applyNumberFormat="1" applyFont="1" applyFill="1" applyBorder="1" applyAlignment="1">
      <alignment horizontal="center" vertical="center" wrapText="1"/>
    </xf>
    <xf numFmtId="183" fontId="74" fillId="35" borderId="148" xfId="194" applyNumberFormat="1" applyFont="1" applyFill="1" applyBorder="1" applyAlignment="1" applyProtection="1">
      <alignment horizontal="center" vertical="center" wrapText="1"/>
    </xf>
    <xf numFmtId="0" fontId="74" fillId="0" borderId="154" xfId="95" applyFont="1" applyBorder="1" applyAlignment="1">
      <alignment vertical="center" wrapText="1"/>
    </xf>
    <xf numFmtId="0" fontId="82" fillId="0" borderId="65" xfId="95" applyFont="1" applyBorder="1" applyAlignment="1">
      <alignment horizontal="center" vertical="center"/>
    </xf>
    <xf numFmtId="183" fontId="85" fillId="0" borderId="25" xfId="194" applyNumberFormat="1" applyFont="1" applyFill="1" applyBorder="1" applyAlignment="1" applyProtection="1">
      <alignment horizontal="center" vertical="center" wrapText="1"/>
    </xf>
    <xf numFmtId="0" fontId="129" fillId="35" borderId="154" xfId="95" applyFont="1" applyFill="1" applyBorder="1" applyAlignment="1">
      <alignment horizontal="center" vertical="center" wrapText="1"/>
    </xf>
    <xf numFmtId="0" fontId="74" fillId="0" borderId="319" xfId="95" applyFont="1" applyBorder="1" applyAlignment="1">
      <alignment horizontal="center" vertical="center" wrapText="1"/>
    </xf>
    <xf numFmtId="0" fontId="74" fillId="0" borderId="320" xfId="95" applyFont="1" applyBorder="1" applyAlignment="1" applyProtection="1">
      <alignment horizontal="left" vertical="center" wrapText="1"/>
      <protection locked="0"/>
    </xf>
    <xf numFmtId="183" fontId="74" fillId="0" borderId="321" xfId="194" applyNumberFormat="1" applyFont="1" applyFill="1" applyBorder="1" applyAlignment="1" applyProtection="1">
      <alignment horizontal="center" vertical="center"/>
      <protection locked="0"/>
    </xf>
    <xf numFmtId="200" fontId="74" fillId="0" borderId="0" xfId="180" applyNumberFormat="1" applyFont="1" applyFill="1" applyBorder="1" applyAlignment="1" applyProtection="1">
      <alignment horizontal="center" vertical="center" wrapText="1"/>
    </xf>
    <xf numFmtId="183" fontId="74" fillId="0" borderId="322" xfId="194" applyNumberFormat="1" applyFont="1" applyFill="1" applyBorder="1" applyAlignment="1" applyProtection="1">
      <alignment horizontal="center" vertical="center"/>
      <protection locked="0"/>
    </xf>
    <xf numFmtId="183" fontId="74" fillId="35" borderId="324" xfId="95" applyNumberFormat="1" applyFont="1" applyFill="1" applyBorder="1" applyAlignment="1">
      <alignment vertical="center" wrapText="1"/>
    </xf>
    <xf numFmtId="0" fontId="74" fillId="0" borderId="0" xfId="95" applyFont="1" applyAlignment="1" applyProtection="1">
      <alignment horizontal="left" vertical="center" wrapText="1"/>
      <protection locked="0"/>
    </xf>
    <xf numFmtId="183" fontId="74" fillId="0" borderId="0" xfId="180" applyNumberFormat="1" applyFont="1" applyFill="1" applyBorder="1" applyAlignment="1" applyProtection="1">
      <alignment horizontal="center" vertical="center" wrapText="1"/>
      <protection locked="0"/>
    </xf>
    <xf numFmtId="183" fontId="74" fillId="0" borderId="0" xfId="180" applyNumberFormat="1" applyFont="1" applyFill="1" applyBorder="1" applyAlignment="1" applyProtection="1">
      <alignment horizontal="center" vertical="center" wrapText="1"/>
    </xf>
    <xf numFmtId="183" fontId="74" fillId="0" borderId="0" xfId="95" applyNumberFormat="1" applyFont="1" applyAlignment="1">
      <alignment horizontal="left" vertical="center" wrapText="1"/>
    </xf>
    <xf numFmtId="9" fontId="74" fillId="0" borderId="0" xfId="213" applyFont="1" applyFill="1" applyBorder="1" applyAlignment="1" applyProtection="1">
      <alignment vertical="center" wrapText="1"/>
    </xf>
    <xf numFmtId="183" fontId="74" fillId="0" borderId="0" xfId="95" applyNumberFormat="1" applyFont="1" applyAlignment="1">
      <alignment vertical="center" wrapText="1"/>
    </xf>
    <xf numFmtId="0" fontId="74" fillId="0" borderId="0" xfId="95" applyFont="1" applyAlignment="1">
      <alignment horizontal="left" vertical="center" indent="3"/>
    </xf>
    <xf numFmtId="0" fontId="74" fillId="0" borderId="326" xfId="95" applyFont="1" applyBorder="1" applyAlignment="1">
      <alignment horizontal="center" vertical="center" wrapText="1"/>
    </xf>
    <xf numFmtId="0" fontId="84" fillId="0" borderId="325" xfId="95" applyFont="1" applyBorder="1" applyAlignment="1">
      <alignment vertical="center" wrapText="1"/>
    </xf>
    <xf numFmtId="0" fontId="68" fillId="0" borderId="289" xfId="95" applyFont="1" applyBorder="1" applyAlignment="1">
      <alignment vertical="center" wrapText="1"/>
    </xf>
    <xf numFmtId="178" fontId="78" fillId="0" borderId="18" xfId="166" applyNumberFormat="1" applyFont="1" applyBorder="1" applyAlignment="1">
      <alignment vertical="center"/>
    </xf>
    <xf numFmtId="178" fontId="78" fillId="0" borderId="18" xfId="166" applyNumberFormat="1" applyFont="1" applyBorder="1" applyAlignment="1">
      <alignment vertical="center" wrapText="1"/>
    </xf>
    <xf numFmtId="178" fontId="78" fillId="0" borderId="18" xfId="166" quotePrefix="1" applyNumberFormat="1" applyFont="1" applyBorder="1" applyAlignment="1">
      <alignment vertical="center"/>
    </xf>
    <xf numFmtId="0" fontId="132" fillId="0" borderId="0" xfId="137" applyFont="1" applyAlignment="1">
      <alignment vertical="center"/>
    </xf>
    <xf numFmtId="178" fontId="124" fillId="0" borderId="18" xfId="166" applyNumberFormat="1" applyFont="1" applyBorder="1" applyAlignment="1" applyProtection="1">
      <alignment horizontal="center" vertical="center" wrapText="1"/>
    </xf>
    <xf numFmtId="0" fontId="124" fillId="0" borderId="15" xfId="139" quotePrefix="1" applyFont="1" applyBorder="1" applyAlignment="1">
      <alignment horizontal="center" wrapText="1"/>
    </xf>
    <xf numFmtId="0" fontId="124" fillId="0" borderId="15" xfId="139" quotePrefix="1" applyFont="1" applyBorder="1" applyAlignment="1">
      <alignment horizontal="center"/>
    </xf>
    <xf numFmtId="0" fontId="81" fillId="0" borderId="0" xfId="153" applyFont="1" applyAlignment="1">
      <alignment horizontal="left" vertical="center"/>
    </xf>
    <xf numFmtId="0" fontId="81" fillId="0" borderId="0" xfId="140" applyFont="1" applyAlignment="1">
      <alignment horizontal="left" vertical="center"/>
    </xf>
    <xf numFmtId="0" fontId="81" fillId="0" borderId="0" xfId="153" applyFont="1" applyAlignment="1">
      <alignment vertical="center"/>
    </xf>
    <xf numFmtId="0" fontId="81" fillId="0" borderId="0" xfId="127" applyFont="1" applyAlignment="1">
      <alignment horizontal="right"/>
    </xf>
    <xf numFmtId="0" fontId="81" fillId="0" borderId="18" xfId="136" applyFont="1" applyBorder="1" applyAlignment="1">
      <alignment horizontal="center" vertical="center"/>
    </xf>
    <xf numFmtId="0" fontId="81" fillId="0" borderId="18" xfId="99" applyFont="1" applyBorder="1" applyAlignment="1">
      <alignment horizontal="centerContinuous" vertical="center"/>
    </xf>
    <xf numFmtId="0" fontId="81" fillId="0" borderId="14" xfId="99" applyFont="1" applyBorder="1" applyAlignment="1">
      <alignment horizontal="center" vertical="center" wrapText="1"/>
    </xf>
    <xf numFmtId="0" fontId="33" fillId="0" borderId="14" xfId="99" applyFont="1" applyBorder="1" applyAlignment="1">
      <alignment horizontal="center" vertical="center" wrapText="1"/>
    </xf>
    <xf numFmtId="0" fontId="81" fillId="0" borderId="18" xfId="99" applyFont="1" applyBorder="1" applyAlignment="1">
      <alignment horizontal="center" vertical="center" wrapText="1"/>
    </xf>
    <xf numFmtId="0" fontId="81" fillId="0" borderId="15" xfId="99" applyFont="1" applyBorder="1" applyAlignment="1">
      <alignment horizontal="center" vertical="center" wrapText="1"/>
    </xf>
    <xf numFmtId="0" fontId="33" fillId="0" borderId="15" xfId="99" applyFont="1" applyBorder="1" applyAlignment="1">
      <alignment horizontal="center" vertical="center" wrapText="1"/>
    </xf>
    <xf numFmtId="0" fontId="81" fillId="0" borderId="18" xfId="136" applyFont="1" applyBorder="1" applyAlignment="1" applyProtection="1">
      <alignment horizontal="center" vertical="center" wrapText="1"/>
      <protection locked="0"/>
    </xf>
    <xf numFmtId="0" fontId="81" fillId="0" borderId="20" xfId="136" applyFont="1" applyBorder="1" applyAlignment="1">
      <alignment horizontal="center" vertical="center"/>
    </xf>
    <xf numFmtId="0" fontId="81" fillId="0" borderId="0" xfId="139" applyFont="1"/>
    <xf numFmtId="0" fontId="81" fillId="0" borderId="0" xfId="139" applyFont="1" applyAlignment="1">
      <alignment horizontal="left" wrapText="1"/>
    </xf>
    <xf numFmtId="0" fontId="81" fillId="0" borderId="0" xfId="139" applyFont="1" applyAlignment="1">
      <alignment horizontal="center"/>
    </xf>
    <xf numFmtId="0" fontId="81" fillId="0" borderId="0" xfId="139" applyFont="1" applyAlignment="1">
      <alignment horizontal="center" vertical="center"/>
    </xf>
    <xf numFmtId="0" fontId="74" fillId="0" borderId="0" xfId="140" applyFont="1"/>
    <xf numFmtId="0" fontId="74" fillId="0" borderId="0" xfId="139" applyFont="1" applyAlignment="1">
      <alignment horizontal="left" wrapText="1"/>
    </xf>
    <xf numFmtId="182" fontId="129" fillId="0" borderId="115" xfId="145" applyNumberFormat="1" applyFont="1" applyBorder="1" applyAlignment="1">
      <alignment horizontal="right" vertical="center" wrapText="1"/>
    </xf>
    <xf numFmtId="0" fontId="74" fillId="0" borderId="56" xfId="124" applyFont="1" applyBorder="1" applyAlignment="1">
      <alignment vertical="center" wrapText="1"/>
    </xf>
    <xf numFmtId="0" fontId="74" fillId="0" borderId="28" xfId="124" applyFont="1" applyBorder="1" applyAlignment="1">
      <alignment vertical="center" wrapText="1"/>
    </xf>
    <xf numFmtId="180" fontId="74" fillId="0" borderId="18" xfId="124" applyNumberFormat="1" applyFont="1" applyBorder="1" applyAlignment="1">
      <alignment horizontal="center" vertical="center" wrapText="1"/>
    </xf>
    <xf numFmtId="183" fontId="129" fillId="0" borderId="32" xfId="194" applyNumberFormat="1" applyFont="1" applyFill="1" applyBorder="1" applyAlignment="1" applyProtection="1">
      <alignment horizontal="center" vertical="center" wrapText="1"/>
    </xf>
    <xf numFmtId="183" fontId="129" fillId="0" borderId="32" xfId="194" applyNumberFormat="1" applyFont="1" applyFill="1" applyBorder="1" applyAlignment="1" applyProtection="1">
      <alignment horizontal="center" vertical="center" wrapText="1"/>
      <protection locked="0"/>
    </xf>
    <xf numFmtId="180" fontId="74" fillId="0" borderId="18" xfId="124" quotePrefix="1" applyNumberFormat="1" applyFont="1" applyBorder="1" applyAlignment="1">
      <alignment horizontal="center" vertical="center" wrapText="1"/>
    </xf>
    <xf numFmtId="49" fontId="129" fillId="0" borderId="18" xfId="124" quotePrefix="1" applyNumberFormat="1" applyFont="1" applyBorder="1" applyAlignment="1">
      <alignment horizontal="center" vertical="center" wrapText="1"/>
    </xf>
    <xf numFmtId="183" fontId="129" fillId="0" borderId="32" xfId="194" applyNumberFormat="1" applyFont="1" applyFill="1" applyBorder="1" applyAlignment="1" applyProtection="1">
      <alignment horizontal="center" vertical="center"/>
    </xf>
    <xf numFmtId="0" fontId="74" fillId="0" borderId="327" xfId="95" applyFont="1" applyBorder="1" applyAlignment="1">
      <alignment horizontal="center" vertical="center" wrapText="1"/>
    </xf>
    <xf numFmtId="0" fontId="74" fillId="38" borderId="328" xfId="95" applyFont="1" applyFill="1" applyBorder="1" applyAlignment="1" applyProtection="1">
      <alignment horizontal="left" vertical="center" wrapText="1"/>
      <protection locked="0"/>
    </xf>
    <xf numFmtId="183" fontId="74" fillId="0" borderId="328" xfId="180" applyNumberFormat="1" applyFont="1" applyFill="1" applyBorder="1" applyAlignment="1" applyProtection="1">
      <alignment horizontal="center" vertical="center" wrapText="1"/>
    </xf>
    <xf numFmtId="0" fontId="74" fillId="0" borderId="329" xfId="95" applyFont="1" applyBorder="1" applyAlignment="1">
      <alignment vertical="center" wrapText="1"/>
    </xf>
    <xf numFmtId="184" fontId="13" fillId="32" borderId="18" xfId="0" applyNumberFormat="1" applyFont="1" applyFill="1" applyBorder="1" applyAlignment="1">
      <alignment horizontal="center" vertical="center"/>
    </xf>
    <xf numFmtId="177" fontId="13" fillId="0" borderId="0" xfId="180" applyFont="1"/>
    <xf numFmtId="188" fontId="38" fillId="0" borderId="18" xfId="0" applyNumberFormat="1" applyFont="1" applyBorder="1" applyAlignment="1">
      <alignment horizontal="center" vertical="center" wrapText="1"/>
    </xf>
    <xf numFmtId="200" fontId="13" fillId="32" borderId="18" xfId="180" applyNumberFormat="1" applyFont="1" applyFill="1" applyBorder="1" applyAlignment="1">
      <alignment horizontal="center" vertical="center" wrapText="1"/>
    </xf>
    <xf numFmtId="0" fontId="137" fillId="0" borderId="0" xfId="0" applyFont="1" applyAlignment="1">
      <alignment horizontal="left" vertical="center"/>
    </xf>
    <xf numFmtId="188" fontId="13" fillId="0" borderId="0" xfId="0" applyNumberFormat="1" applyFont="1" applyAlignment="1">
      <alignment wrapText="1"/>
    </xf>
    <xf numFmtId="177" fontId="13" fillId="0" borderId="18" xfId="180" applyFont="1" applyBorder="1" applyAlignment="1">
      <alignment horizontal="center" vertical="center" wrapText="1"/>
    </xf>
    <xf numFmtId="177" fontId="13" fillId="0" borderId="0" xfId="180" applyFont="1" applyBorder="1"/>
    <xf numFmtId="221" fontId="13" fillId="0" borderId="0" xfId="0" applyNumberFormat="1" applyFont="1"/>
    <xf numFmtId="220" fontId="13" fillId="0" borderId="0" xfId="0" applyNumberFormat="1" applyFont="1"/>
    <xf numFmtId="184" fontId="13" fillId="0" borderId="0" xfId="0" applyNumberFormat="1" applyFont="1" applyAlignment="1">
      <alignment horizontal="center" vertical="center"/>
    </xf>
    <xf numFmtId="177" fontId="13" fillId="0" borderId="0" xfId="180" applyFont="1" applyBorder="1" applyAlignment="1">
      <alignment horizontal="center" vertical="center"/>
    </xf>
    <xf numFmtId="0" fontId="74" fillId="0" borderId="272" xfId="61" applyFont="1" applyBorder="1" applyAlignment="1">
      <alignment horizontal="center" vertical="center" wrapText="1"/>
    </xf>
    <xf numFmtId="0" fontId="74" fillId="0" borderId="138" xfId="61" applyFont="1" applyBorder="1" applyAlignment="1">
      <alignment horizontal="center" vertical="center" wrapText="1"/>
    </xf>
    <xf numFmtId="0" fontId="74" fillId="0" borderId="32" xfId="61" applyFont="1" applyBorder="1" applyAlignment="1">
      <alignment horizontal="center" vertical="center" wrapText="1"/>
    </xf>
    <xf numFmtId="207" fontId="130" fillId="0" borderId="70" xfId="196" applyNumberFormat="1" applyFont="1" applyFill="1" applyBorder="1" applyAlignment="1" applyProtection="1">
      <alignment horizontal="right" vertical="center"/>
    </xf>
    <xf numFmtId="207" fontId="130" fillId="0" borderId="75" xfId="196" applyNumberFormat="1" applyFont="1" applyFill="1" applyBorder="1" applyAlignment="1" applyProtection="1">
      <alignment horizontal="right" vertical="center"/>
    </xf>
    <xf numFmtId="0" fontId="81" fillId="0" borderId="0" xfId="93" applyFont="1" applyAlignment="1">
      <alignment horizontal="left" vertical="center"/>
    </xf>
    <xf numFmtId="0" fontId="81" fillId="0" borderId="0" xfId="93" applyFont="1" applyAlignment="1">
      <alignment horizontal="center" vertical="center"/>
    </xf>
    <xf numFmtId="0" fontId="81" fillId="0" borderId="0" xfId="93" applyFont="1" applyAlignment="1">
      <alignment horizontal="right"/>
    </xf>
    <xf numFmtId="0" fontId="138" fillId="0" borderId="29" xfId="96" applyFont="1" applyBorder="1" applyAlignment="1">
      <alignment horizontal="center" vertical="center"/>
    </xf>
    <xf numFmtId="0" fontId="138" fillId="0" borderId="30" xfId="96" applyFont="1" applyBorder="1" applyAlignment="1">
      <alignment horizontal="center" vertical="center"/>
    </xf>
    <xf numFmtId="0" fontId="138" fillId="0" borderId="26" xfId="96" applyFont="1" applyBorder="1" applyAlignment="1">
      <alignment horizontal="center" vertical="center"/>
    </xf>
    <xf numFmtId="0" fontId="138" fillId="0" borderId="24" xfId="96" applyFont="1" applyBorder="1" applyAlignment="1">
      <alignment horizontal="center" vertical="center" wrapText="1"/>
    </xf>
    <xf numFmtId="0" fontId="138" fillId="0" borderId="24" xfId="96" applyFont="1" applyBorder="1" applyAlignment="1">
      <alignment horizontal="center" vertical="center"/>
    </xf>
    <xf numFmtId="0" fontId="138" fillId="0" borderId="25" xfId="96" applyFont="1" applyBorder="1" applyAlignment="1">
      <alignment horizontal="center" vertical="center"/>
    </xf>
    <xf numFmtId="0" fontId="81" fillId="0" borderId="31" xfId="96" applyFont="1" applyBorder="1" applyAlignment="1">
      <alignment horizontal="left" vertical="center"/>
    </xf>
    <xf numFmtId="0" fontId="81" fillId="0" borderId="32" xfId="96" applyFont="1" applyBorder="1" applyAlignment="1">
      <alignment horizontal="left" vertical="center"/>
    </xf>
    <xf numFmtId="179" fontId="81" fillId="0" borderId="69" xfId="96" applyNumberFormat="1" applyFont="1" applyBorder="1" applyAlignment="1">
      <alignment horizontal="right" vertical="center"/>
    </xf>
    <xf numFmtId="189" fontId="81" fillId="0" borderId="115" xfId="96" applyNumberFormat="1" applyFont="1" applyBorder="1" applyAlignment="1">
      <alignment horizontal="center" vertical="center"/>
    </xf>
    <xf numFmtId="191" fontId="81" fillId="0" borderId="32" xfId="96" applyNumberFormat="1" applyFont="1" applyBorder="1" applyAlignment="1">
      <alignment horizontal="center" vertical="center"/>
    </xf>
    <xf numFmtId="179" fontId="81" fillId="0" borderId="70" xfId="96" applyNumberFormat="1" applyFont="1" applyBorder="1" applyAlignment="1">
      <alignment horizontal="right" vertical="center"/>
    </xf>
    <xf numFmtId="0" fontId="81" fillId="0" borderId="31" xfId="96" applyFont="1" applyBorder="1" applyAlignment="1">
      <alignment horizontal="left" vertical="center" indent="2"/>
    </xf>
    <xf numFmtId="180" fontId="81" fillId="0" borderId="69" xfId="96" applyNumberFormat="1" applyFont="1" applyBorder="1" applyAlignment="1">
      <alignment horizontal="right" vertical="center"/>
    </xf>
    <xf numFmtId="191" fontId="81" fillId="0" borderId="75" xfId="96" applyNumberFormat="1" applyFont="1" applyBorder="1" applyAlignment="1">
      <alignment horizontal="center" vertical="center"/>
    </xf>
    <xf numFmtId="179" fontId="81" fillId="0" borderId="111" xfId="96" applyNumberFormat="1" applyFont="1" applyBorder="1" applyAlignment="1">
      <alignment horizontal="right" vertical="center"/>
    </xf>
    <xf numFmtId="0" fontId="81" fillId="0" borderId="31" xfId="96" applyFont="1" applyBorder="1" applyAlignment="1">
      <alignment vertical="center"/>
    </xf>
    <xf numFmtId="0" fontId="81" fillId="0" borderId="32" xfId="96" applyFont="1" applyBorder="1" applyAlignment="1">
      <alignment horizontal="left" vertical="center" wrapText="1"/>
    </xf>
    <xf numFmtId="189" fontId="81" fillId="0" borderId="116" xfId="96" applyNumberFormat="1" applyFont="1" applyBorder="1" applyAlignment="1">
      <alignment horizontal="center" vertical="center"/>
    </xf>
    <xf numFmtId="191" fontId="81" fillId="29" borderId="279" xfId="96" applyNumberFormat="1" applyFont="1" applyFill="1" applyBorder="1" applyAlignment="1">
      <alignment horizontal="center" vertical="center"/>
    </xf>
    <xf numFmtId="0" fontId="138" fillId="0" borderId="33" xfId="96" applyFont="1" applyBorder="1" applyAlignment="1">
      <alignment vertical="center"/>
    </xf>
    <xf numFmtId="0" fontId="81" fillId="0" borderId="34" xfId="96" applyFont="1" applyBorder="1" applyAlignment="1">
      <alignment vertical="center"/>
    </xf>
    <xf numFmtId="179" fontId="81" fillId="0" borderId="3" xfId="96" applyNumberFormat="1" applyFont="1" applyBorder="1" applyAlignment="1">
      <alignment horizontal="right" vertical="center"/>
    </xf>
    <xf numFmtId="189" fontId="81" fillId="0" borderId="34" xfId="96" applyNumberFormat="1" applyFont="1" applyBorder="1" applyAlignment="1">
      <alignment horizontal="center" vertical="center"/>
    </xf>
    <xf numFmtId="191" fontId="81" fillId="0" borderId="223" xfId="96" applyNumberFormat="1" applyFont="1" applyBorder="1" applyAlignment="1">
      <alignment horizontal="center" vertical="center"/>
    </xf>
    <xf numFmtId="179" fontId="81" fillId="0" borderId="159" xfId="96" applyNumberFormat="1" applyFont="1" applyBorder="1" applyAlignment="1">
      <alignment horizontal="right" vertical="center"/>
    </xf>
    <xf numFmtId="0" fontId="139" fillId="0" borderId="0" xfId="397" applyFont="1">
      <alignment vertical="center"/>
    </xf>
    <xf numFmtId="0" fontId="74" fillId="0" borderId="0" xfId="397" applyFont="1">
      <alignment vertical="center"/>
    </xf>
    <xf numFmtId="14" fontId="139" fillId="0" borderId="0" xfId="397" applyNumberFormat="1" applyFont="1" applyAlignment="1">
      <alignment horizontal="left" vertical="center"/>
    </xf>
    <xf numFmtId="0" fontId="140" fillId="0" borderId="0" xfId="397" applyFont="1">
      <alignment vertical="center"/>
    </xf>
    <xf numFmtId="14" fontId="141" fillId="0" borderId="0" xfId="397" applyNumberFormat="1" applyFont="1" applyAlignment="1">
      <alignment horizontal="left" vertical="center"/>
    </xf>
    <xf numFmtId="0" fontId="143" fillId="0" borderId="0" xfId="397" applyFont="1">
      <alignment vertical="center"/>
    </xf>
    <xf numFmtId="0" fontId="143" fillId="0" borderId="0" xfId="397" applyFont="1" applyAlignment="1">
      <alignment horizontal="right" vertical="center"/>
    </xf>
    <xf numFmtId="0" fontId="145" fillId="43" borderId="18" xfId="397" applyFont="1" applyFill="1" applyBorder="1" applyAlignment="1">
      <alignment horizontal="center" vertical="center"/>
    </xf>
    <xf numFmtId="0" fontId="143" fillId="0" borderId="18" xfId="397" applyFont="1" applyBorder="1" applyAlignment="1">
      <alignment horizontal="center" vertical="center"/>
    </xf>
    <xf numFmtId="180" fontId="143" fillId="44" borderId="18" xfId="397" applyNumberFormat="1" applyFont="1" applyFill="1" applyBorder="1">
      <alignment vertical="center"/>
    </xf>
    <xf numFmtId="180" fontId="74" fillId="0" borderId="0" xfId="397" applyNumberFormat="1" applyFont="1">
      <alignment vertical="center"/>
    </xf>
    <xf numFmtId="180" fontId="74" fillId="44" borderId="129" xfId="397" applyNumberFormat="1" applyFont="1" applyFill="1" applyBorder="1">
      <alignment vertical="center"/>
    </xf>
    <xf numFmtId="180" fontId="74" fillId="45" borderId="129" xfId="397" applyNumberFormat="1" applyFont="1" applyFill="1" applyBorder="1">
      <alignment vertical="center"/>
    </xf>
    <xf numFmtId="0" fontId="145" fillId="0" borderId="0" xfId="397" applyFont="1">
      <alignment vertical="center"/>
    </xf>
    <xf numFmtId="9" fontId="143" fillId="0" borderId="0" xfId="397" applyNumberFormat="1" applyFont="1">
      <alignment vertical="center"/>
    </xf>
    <xf numFmtId="180" fontId="143" fillId="0" borderId="0" xfId="397" applyNumberFormat="1" applyFont="1">
      <alignment vertical="center"/>
    </xf>
    <xf numFmtId="0" fontId="147" fillId="0" borderId="0" xfId="397" applyFont="1">
      <alignment vertical="center"/>
    </xf>
    <xf numFmtId="0" fontId="38" fillId="0" borderId="0" xfId="397" applyFont="1" applyAlignment="1">
      <alignment horizontal="right" vertical="center"/>
    </xf>
    <xf numFmtId="0" fontId="13" fillId="0" borderId="0" xfId="397" applyFont="1">
      <alignment vertical="center"/>
    </xf>
    <xf numFmtId="0" fontId="116" fillId="43" borderId="18" xfId="43" applyFont="1" applyFill="1" applyBorder="1" applyAlignment="1">
      <alignment horizontal="center" vertical="center"/>
    </xf>
    <xf numFmtId="0" fontId="38" fillId="43" borderId="18" xfId="43" applyFont="1" applyFill="1" applyBorder="1" applyAlignment="1">
      <alignment horizontal="center" vertical="center"/>
    </xf>
    <xf numFmtId="0" fontId="38" fillId="0" borderId="4" xfId="43" applyFont="1" applyBorder="1" applyAlignment="1">
      <alignment horizontal="center" vertical="center"/>
    </xf>
    <xf numFmtId="0" fontId="38" fillId="0" borderId="0" xfId="43" applyFont="1" applyAlignment="1">
      <alignment horizontal="center" vertical="center"/>
    </xf>
    <xf numFmtId="178" fontId="13" fillId="46" borderId="18" xfId="398" applyNumberFormat="1" applyFont="1" applyFill="1" applyBorder="1" applyAlignment="1">
      <alignment vertical="center"/>
    </xf>
    <xf numFmtId="178" fontId="13" fillId="0" borderId="4" xfId="398" applyNumberFormat="1" applyFont="1" applyFill="1" applyBorder="1" applyAlignment="1">
      <alignment vertical="center"/>
    </xf>
    <xf numFmtId="178" fontId="13" fillId="0" borderId="0" xfId="398" applyNumberFormat="1" applyFont="1" applyFill="1" applyBorder="1" applyAlignment="1">
      <alignment vertical="center"/>
    </xf>
    <xf numFmtId="222" fontId="74" fillId="46" borderId="18" xfId="397" applyNumberFormat="1" applyFont="1" applyFill="1" applyBorder="1">
      <alignment vertical="center"/>
    </xf>
    <xf numFmtId="0" fontId="148" fillId="0" borderId="0" xfId="397" applyFont="1">
      <alignment vertical="center"/>
    </xf>
    <xf numFmtId="0" fontId="38" fillId="0" borderId="0" xfId="397" applyFont="1" applyAlignment="1">
      <alignment horizontal="center" vertical="center"/>
    </xf>
    <xf numFmtId="178" fontId="13" fillId="0" borderId="0" xfId="398" applyNumberFormat="1" applyFont="1" applyFill="1" applyBorder="1" applyAlignment="1">
      <alignment horizontal="center" vertical="center"/>
    </xf>
    <xf numFmtId="0" fontId="38" fillId="0" borderId="0" xfId="397" applyFont="1">
      <alignment vertical="center"/>
    </xf>
    <xf numFmtId="0" fontId="38" fillId="43" borderId="18" xfId="397" applyFont="1" applyFill="1" applyBorder="1" applyAlignment="1">
      <alignment horizontal="center" vertical="center"/>
    </xf>
    <xf numFmtId="0" fontId="38" fillId="0" borderId="18" xfId="397" applyFont="1" applyBorder="1" applyAlignment="1">
      <alignment horizontal="center" vertical="center"/>
    </xf>
    <xf numFmtId="0" fontId="13" fillId="0" borderId="0" xfId="397" applyFont="1" applyAlignment="1"/>
    <xf numFmtId="0" fontId="149" fillId="0" borderId="0" xfId="397" applyFont="1" applyAlignment="1"/>
    <xf numFmtId="178" fontId="74" fillId="0" borderId="0" xfId="397" applyNumberFormat="1" applyFont="1">
      <alignment vertical="center"/>
    </xf>
    <xf numFmtId="0" fontId="143" fillId="43" borderId="130" xfId="397" applyFont="1" applyFill="1" applyBorder="1" applyAlignment="1">
      <alignment horizontal="center" vertical="center" wrapText="1"/>
    </xf>
    <xf numFmtId="0" fontId="143" fillId="0" borderId="144" xfId="397" applyFont="1" applyBorder="1" applyAlignment="1">
      <alignment horizontal="center" vertical="center"/>
    </xf>
    <xf numFmtId="223" fontId="143" fillId="48" borderId="16" xfId="397" applyNumberFormat="1" applyFont="1" applyFill="1" applyBorder="1">
      <alignment vertical="center"/>
    </xf>
    <xf numFmtId="223" fontId="143" fillId="48" borderId="339" xfId="397" applyNumberFormat="1" applyFont="1" applyFill="1" applyBorder="1">
      <alignment vertical="center"/>
    </xf>
    <xf numFmtId="223" fontId="143" fillId="48" borderId="21" xfId="397" applyNumberFormat="1" applyFont="1" applyFill="1" applyBorder="1">
      <alignment vertical="center"/>
    </xf>
    <xf numFmtId="223" fontId="143" fillId="48" borderId="72" xfId="397" applyNumberFormat="1" applyFont="1" applyFill="1" applyBorder="1">
      <alignment vertical="center"/>
    </xf>
    <xf numFmtId="223" fontId="143" fillId="0" borderId="145" xfId="397" applyNumberFormat="1" applyFont="1" applyBorder="1">
      <alignment vertical="center"/>
    </xf>
    <xf numFmtId="223" fontId="143" fillId="0" borderId="340" xfId="397" applyNumberFormat="1" applyFont="1" applyBorder="1">
      <alignment vertical="center"/>
    </xf>
    <xf numFmtId="0" fontId="143" fillId="47" borderId="332" xfId="397" applyFont="1" applyFill="1" applyBorder="1" applyAlignment="1">
      <alignment horizontal="center" vertical="center" wrapText="1"/>
    </xf>
    <xf numFmtId="0" fontId="143" fillId="0" borderId="58" xfId="397" applyFont="1" applyBorder="1" applyAlignment="1">
      <alignment horizontal="center" vertical="center"/>
    </xf>
    <xf numFmtId="223" fontId="143" fillId="48" borderId="343" xfId="397" applyNumberFormat="1" applyFont="1" applyFill="1" applyBorder="1">
      <alignment vertical="center"/>
    </xf>
    <xf numFmtId="223" fontId="143" fillId="48" borderId="27" xfId="397" applyNumberFormat="1" applyFont="1" applyFill="1" applyBorder="1">
      <alignment vertical="center"/>
    </xf>
    <xf numFmtId="223" fontId="143" fillId="48" borderId="28" xfId="397" applyNumberFormat="1" applyFont="1" applyFill="1" applyBorder="1">
      <alignment vertical="center"/>
    </xf>
    <xf numFmtId="224" fontId="143" fillId="0" borderId="332" xfId="398" applyNumberFormat="1" applyFont="1" applyFill="1" applyBorder="1" applyAlignment="1">
      <alignment horizontal="center" vertical="center" wrapText="1"/>
    </xf>
    <xf numFmtId="224" fontId="143" fillId="0" borderId="344" xfId="398" applyNumberFormat="1" applyFont="1" applyFill="1" applyBorder="1" applyAlignment="1">
      <alignment horizontal="center" vertical="center" wrapText="1"/>
    </xf>
    <xf numFmtId="0" fontId="145" fillId="0" borderId="0" xfId="397" applyFont="1" applyAlignment="1"/>
    <xf numFmtId="0" fontId="82" fillId="0" borderId="0" xfId="397" applyFont="1" applyAlignment="1"/>
    <xf numFmtId="225" fontId="74" fillId="47" borderId="332" xfId="397" applyNumberFormat="1" applyFont="1" applyFill="1" applyBorder="1" applyAlignment="1">
      <alignment horizontal="center" vertical="center"/>
    </xf>
    <xf numFmtId="223" fontId="143" fillId="48" borderId="17" xfId="397" applyNumberFormat="1" applyFont="1" applyFill="1" applyBorder="1">
      <alignment vertical="center"/>
    </xf>
    <xf numFmtId="223" fontId="143" fillId="48" borderId="347" xfId="397" applyNumberFormat="1" applyFont="1" applyFill="1" applyBorder="1">
      <alignment vertical="center"/>
    </xf>
    <xf numFmtId="223" fontId="143" fillId="48" borderId="68" xfId="397" applyNumberFormat="1" applyFont="1" applyFill="1" applyBorder="1">
      <alignment vertical="center"/>
    </xf>
    <xf numFmtId="223" fontId="143" fillId="48" borderId="18" xfId="397" applyNumberFormat="1" applyFont="1" applyFill="1" applyBorder="1">
      <alignment vertical="center"/>
    </xf>
    <xf numFmtId="223" fontId="143" fillId="48" borderId="56" xfId="397" applyNumberFormat="1" applyFont="1" applyFill="1" applyBorder="1">
      <alignment vertical="center"/>
    </xf>
    <xf numFmtId="223" fontId="143" fillId="0" borderId="205" xfId="397" applyNumberFormat="1" applyFont="1" applyBorder="1">
      <alignment vertical="center"/>
    </xf>
    <xf numFmtId="0" fontId="143" fillId="0" borderId="57" xfId="397" applyFont="1" applyBorder="1">
      <alignment vertical="center"/>
    </xf>
    <xf numFmtId="223" fontId="143" fillId="44" borderId="18" xfId="397" applyNumberFormat="1" applyFont="1" applyFill="1" applyBorder="1">
      <alignment vertical="center"/>
    </xf>
    <xf numFmtId="223" fontId="143" fillId="44" borderId="56" xfId="397" applyNumberFormat="1" applyFont="1" applyFill="1" applyBorder="1">
      <alignment vertical="center"/>
    </xf>
    <xf numFmtId="0" fontId="143" fillId="49" borderId="58" xfId="397" applyFont="1" applyFill="1" applyBorder="1">
      <alignment vertical="center"/>
    </xf>
    <xf numFmtId="223" fontId="143" fillId="0" borderId="142" xfId="397" applyNumberFormat="1" applyFont="1" applyBorder="1">
      <alignment vertical="center"/>
    </xf>
    <xf numFmtId="223" fontId="143" fillId="0" borderId="367" xfId="397" applyNumberFormat="1" applyFont="1" applyBorder="1">
      <alignment vertical="center"/>
    </xf>
    <xf numFmtId="0" fontId="143" fillId="0" borderId="65" xfId="397" applyFont="1" applyBorder="1" applyAlignment="1">
      <alignment horizontal="center" vertical="center"/>
    </xf>
    <xf numFmtId="217" fontId="68" fillId="52" borderId="96" xfId="93" applyNumberFormat="1" applyFont="1" applyFill="1" applyBorder="1" applyAlignment="1">
      <alignment horizontal="center" vertical="center" wrapText="1"/>
    </xf>
    <xf numFmtId="217" fontId="68" fillId="52" borderId="180" xfId="93" applyNumberFormat="1" applyFont="1" applyFill="1" applyBorder="1" applyAlignment="1">
      <alignment horizontal="center" vertical="center" wrapText="1"/>
    </xf>
    <xf numFmtId="217" fontId="68" fillId="52" borderId="125" xfId="93" applyNumberFormat="1" applyFont="1" applyFill="1" applyBorder="1" applyAlignment="1">
      <alignment horizontal="center" vertical="center" wrapText="1"/>
    </xf>
    <xf numFmtId="178" fontId="105" fillId="48" borderId="278" xfId="256" applyNumberFormat="1" applyFont="1" applyFill="1" applyBorder="1" applyAlignment="1" applyProtection="1">
      <alignment horizontal="center" vertical="center" wrapText="1"/>
    </xf>
    <xf numFmtId="178" fontId="105" fillId="48" borderId="59" xfId="256" applyNumberFormat="1" applyFont="1" applyFill="1" applyBorder="1" applyAlignment="1" applyProtection="1">
      <alignment horizontal="center" vertical="center" wrapText="1"/>
    </xf>
    <xf numFmtId="178" fontId="105" fillId="48" borderId="277" xfId="256" applyNumberFormat="1" applyFont="1" applyFill="1" applyBorder="1" applyAlignment="1" applyProtection="1">
      <alignment horizontal="center" vertical="center" wrapText="1"/>
    </xf>
    <xf numFmtId="178" fontId="105" fillId="48" borderId="216" xfId="256" applyNumberFormat="1" applyFont="1" applyFill="1" applyBorder="1" applyAlignment="1" applyProtection="1">
      <alignment horizontal="center" vertical="center" wrapText="1"/>
    </xf>
    <xf numFmtId="0" fontId="82" fillId="0" borderId="18" xfId="115" quotePrefix="1" applyFont="1" applyBorder="1" applyAlignment="1">
      <alignment horizontal="center" vertical="center" wrapText="1"/>
    </xf>
    <xf numFmtId="0" fontId="85" fillId="0" borderId="18" xfId="124" applyFont="1" applyBorder="1" applyAlignment="1">
      <alignment horizontal="center" vertical="center" wrapText="1"/>
    </xf>
    <xf numFmtId="0" fontId="143" fillId="43" borderId="130" xfId="397" applyFont="1" applyFill="1" applyBorder="1" applyAlignment="1">
      <alignment horizontal="center" vertical="center"/>
    </xf>
    <xf numFmtId="0" fontId="143" fillId="47" borderId="332" xfId="397" applyFont="1" applyFill="1" applyBorder="1" applyAlignment="1">
      <alignment horizontal="center" vertical="center"/>
    </xf>
    <xf numFmtId="0" fontId="142" fillId="0" borderId="0" xfId="397" applyFont="1">
      <alignment vertical="center"/>
    </xf>
    <xf numFmtId="0" fontId="82" fillId="0" borderId="0" xfId="397" applyFont="1">
      <alignment vertical="center"/>
    </xf>
    <xf numFmtId="0" fontId="82" fillId="0" borderId="0" xfId="397" applyFont="1" applyAlignment="1">
      <alignment horizontal="right" vertical="center"/>
    </xf>
    <xf numFmtId="0" fontId="143" fillId="40" borderId="0" xfId="397" applyFont="1" applyFill="1">
      <alignment vertical="center"/>
    </xf>
    <xf numFmtId="0" fontId="145" fillId="40" borderId="0" xfId="397" applyFont="1" applyFill="1" applyAlignment="1">
      <alignment horizontal="right" vertical="center"/>
    </xf>
    <xf numFmtId="0" fontId="145" fillId="43" borderId="26" xfId="43" applyFont="1" applyFill="1" applyBorder="1" applyAlignment="1">
      <alignment horizontal="center" vertical="center"/>
    </xf>
    <xf numFmtId="0" fontId="146" fillId="43" borderId="130" xfId="43" applyFont="1" applyFill="1" applyBorder="1" applyAlignment="1">
      <alignment horizontal="center" vertical="center"/>
    </xf>
    <xf numFmtId="0" fontId="145" fillId="43" borderId="332" xfId="397" applyFont="1" applyFill="1" applyBorder="1" applyAlignment="1">
      <alignment horizontal="center" vertical="center"/>
    </xf>
    <xf numFmtId="0" fontId="145" fillId="43" borderId="358" xfId="397" applyFont="1" applyFill="1" applyBorder="1" applyAlignment="1">
      <alignment horizontal="center" vertical="center"/>
    </xf>
    <xf numFmtId="0" fontId="143" fillId="51" borderId="18" xfId="43" applyFont="1" applyFill="1" applyBorder="1" applyAlignment="1">
      <alignment horizontal="center" vertical="center"/>
    </xf>
    <xf numFmtId="226" fontId="143" fillId="48" borderId="360" xfId="398" applyNumberFormat="1" applyFont="1" applyFill="1" applyBorder="1">
      <alignment vertical="center"/>
    </xf>
    <xf numFmtId="226" fontId="143" fillId="48" borderId="361" xfId="398" applyNumberFormat="1" applyFont="1" applyFill="1" applyBorder="1">
      <alignment vertical="center"/>
    </xf>
    <xf numFmtId="226" fontId="143" fillId="48" borderId="362" xfId="398" applyNumberFormat="1" applyFont="1" applyFill="1" applyBorder="1">
      <alignment vertical="center"/>
    </xf>
    <xf numFmtId="226" fontId="143" fillId="48" borderId="363" xfId="398" applyNumberFormat="1" applyFont="1" applyFill="1" applyBorder="1">
      <alignment vertical="center"/>
    </xf>
    <xf numFmtId="0" fontId="145" fillId="40" borderId="0" xfId="397" applyFont="1" applyFill="1" applyAlignment="1">
      <alignment horizontal="center" vertical="center"/>
    </xf>
    <xf numFmtId="178" fontId="143" fillId="40" borderId="0" xfId="398" applyNumberFormat="1" applyFont="1" applyFill="1" applyBorder="1" applyAlignment="1">
      <alignment horizontal="center" vertical="center"/>
    </xf>
    <xf numFmtId="178" fontId="143" fillId="40" borderId="0" xfId="398" applyNumberFormat="1" applyFont="1" applyFill="1" applyBorder="1" applyAlignment="1">
      <alignment vertical="center"/>
    </xf>
    <xf numFmtId="0" fontId="143" fillId="40" borderId="0" xfId="69" applyFont="1" applyFill="1" applyAlignment="1">
      <alignment vertical="center"/>
    </xf>
    <xf numFmtId="0" fontId="145" fillId="43" borderId="24" xfId="43" applyFont="1" applyFill="1" applyBorder="1" applyAlignment="1">
      <alignment horizontal="center" vertical="center"/>
    </xf>
    <xf numFmtId="0" fontId="145" fillId="43" borderId="18" xfId="43" applyFont="1" applyFill="1" applyBorder="1" applyAlignment="1">
      <alignment horizontal="center" vertical="center"/>
    </xf>
    <xf numFmtId="0" fontId="145" fillId="43" borderId="56" xfId="397" applyFont="1" applyFill="1" applyBorder="1" applyAlignment="1">
      <alignment horizontal="center" vertical="center"/>
    </xf>
    <xf numFmtId="226" fontId="143" fillId="48" borderId="339" xfId="398" applyNumberFormat="1" applyFont="1" applyFill="1" applyBorder="1">
      <alignment vertical="center"/>
    </xf>
    <xf numFmtId="226" fontId="143" fillId="44" borderId="18" xfId="398" applyNumberFormat="1" applyFont="1" applyFill="1" applyBorder="1" applyAlignment="1">
      <alignment horizontal="center" vertical="center"/>
    </xf>
    <xf numFmtId="226" fontId="143" fillId="44" borderId="56" xfId="398" applyNumberFormat="1" applyFont="1" applyFill="1" applyBorder="1" applyAlignment="1">
      <alignment horizontal="center" vertical="center"/>
    </xf>
    <xf numFmtId="226" fontId="143" fillId="48" borderId="27" xfId="397" applyNumberFormat="1" applyFont="1" applyFill="1" applyBorder="1">
      <alignment vertical="center"/>
    </xf>
    <xf numFmtId="226" fontId="143" fillId="48" borderId="28" xfId="397" applyNumberFormat="1" applyFont="1" applyFill="1" applyBorder="1">
      <alignment vertical="center"/>
    </xf>
    <xf numFmtId="0" fontId="143" fillId="51" borderId="18" xfId="43" applyFont="1" applyFill="1" applyBorder="1" applyAlignment="1">
      <alignment horizontal="center" vertical="center" wrapText="1"/>
    </xf>
    <xf numFmtId="0" fontId="143" fillId="0" borderId="0" xfId="69" applyFont="1" applyFill="1" applyAlignment="1">
      <alignment vertical="center"/>
    </xf>
    <xf numFmtId="0" fontId="146" fillId="0" borderId="0" xfId="397" applyFont="1" applyAlignment="1"/>
    <xf numFmtId="0" fontId="146" fillId="40" borderId="0" xfId="397" applyFont="1" applyFill="1">
      <alignment vertical="center"/>
    </xf>
    <xf numFmtId="0" fontId="74" fillId="0" borderId="0" xfId="160" applyFont="1" applyAlignment="1">
      <alignment wrapText="1"/>
    </xf>
    <xf numFmtId="0" fontId="74" fillId="0" borderId="0" xfId="157" applyFont="1" applyAlignment="1">
      <alignment horizontal="center" vertical="center" wrapText="1"/>
    </xf>
    <xf numFmtId="0" fontId="82" fillId="0" borderId="18" xfId="157" applyFont="1" applyBorder="1" applyAlignment="1">
      <alignment horizontal="center" vertical="center" wrapText="1"/>
    </xf>
    <xf numFmtId="0" fontId="82" fillId="0" borderId="18" xfId="157" quotePrefix="1" applyFont="1" applyBorder="1" applyAlignment="1">
      <alignment horizontal="center" vertical="center" wrapText="1"/>
    </xf>
    <xf numFmtId="197" fontId="74" fillId="0" borderId="18" xfId="157" applyNumberFormat="1" applyFont="1" applyBorder="1" applyAlignment="1">
      <alignment horizontal="left" vertical="center" wrapText="1"/>
    </xf>
    <xf numFmtId="0" fontId="74" fillId="0" borderId="18" xfId="157" applyFont="1" applyBorder="1" applyAlignment="1">
      <alignment horizontal="left" vertical="center" wrapText="1"/>
    </xf>
    <xf numFmtId="0" fontId="74" fillId="0" borderId="18" xfId="114" applyFont="1" applyBorder="1" applyAlignment="1">
      <alignment vertical="center" wrapText="1"/>
    </xf>
    <xf numFmtId="0" fontId="74" fillId="0" borderId="18" xfId="157" applyFont="1" applyBorder="1" applyAlignment="1">
      <alignment vertical="center" wrapText="1"/>
    </xf>
    <xf numFmtId="0" fontId="74" fillId="0" borderId="18" xfId="145" applyFont="1" applyBorder="1" applyAlignment="1">
      <alignment vertical="center" wrapText="1"/>
    </xf>
    <xf numFmtId="0" fontId="74" fillId="0" borderId="18" xfId="119" applyFont="1" applyBorder="1" applyAlignment="1">
      <alignment wrapText="1"/>
    </xf>
    <xf numFmtId="0" fontId="74" fillId="0" borderId="18" xfId="119" applyFont="1" applyBorder="1" applyAlignment="1">
      <alignment vertical="center" wrapText="1"/>
    </xf>
    <xf numFmtId="197" fontId="84" fillId="0" borderId="18" xfId="157" applyNumberFormat="1" applyFont="1" applyBorder="1" applyAlignment="1">
      <alignment horizontal="left" vertical="center" wrapText="1"/>
    </xf>
    <xf numFmtId="0" fontId="74" fillId="0" borderId="0" xfId="157" applyFont="1" applyAlignment="1">
      <alignment vertical="center" wrapText="1"/>
    </xf>
    <xf numFmtId="0" fontId="74" fillId="0" borderId="0" xfId="157" applyFont="1" applyAlignment="1">
      <alignment horizontal="left" vertical="center"/>
    </xf>
    <xf numFmtId="0" fontId="68" fillId="0" borderId="0" xfId="157" applyFont="1" applyAlignment="1">
      <alignment horizontal="left" vertical="center"/>
    </xf>
    <xf numFmtId="0" fontId="68" fillId="0" borderId="0" xfId="157" applyFont="1" applyAlignment="1">
      <alignment vertical="center"/>
    </xf>
    <xf numFmtId="0" fontId="74" fillId="0" borderId="0" xfId="157" applyFont="1" applyAlignment="1">
      <alignment horizontal="left" vertical="center" wrapText="1"/>
    </xf>
    <xf numFmtId="197" fontId="129" fillId="0" borderId="18" xfId="157" applyNumberFormat="1" applyFont="1" applyBorder="1" applyAlignment="1">
      <alignment horizontal="center" vertical="center" wrapText="1"/>
    </xf>
    <xf numFmtId="197" fontId="129" fillId="0" borderId="18" xfId="157" applyNumberFormat="1" applyFont="1" applyBorder="1" applyAlignment="1">
      <alignment horizontal="left" vertical="center" wrapText="1"/>
    </xf>
    <xf numFmtId="197" fontId="129" fillId="0" borderId="18" xfId="157" quotePrefix="1" applyNumberFormat="1" applyFont="1" applyBorder="1" applyAlignment="1" applyProtection="1">
      <alignment horizontal="center" vertical="center" wrapText="1"/>
      <protection locked="0"/>
    </xf>
    <xf numFmtId="197" fontId="129" fillId="0" borderId="18" xfId="0" applyNumberFormat="1" applyFont="1" applyBorder="1" applyAlignment="1">
      <alignment horizontal="center" vertical="center" wrapText="1"/>
    </xf>
    <xf numFmtId="197" fontId="73" fillId="0" borderId="18" xfId="157" applyNumberFormat="1" applyFont="1" applyBorder="1" applyAlignment="1">
      <alignment horizontal="center" vertical="center" wrapText="1"/>
    </xf>
    <xf numFmtId="197" fontId="129" fillId="0" borderId="18" xfId="157" quotePrefix="1" applyNumberFormat="1" applyFont="1" applyBorder="1" applyAlignment="1" applyProtection="1">
      <alignment horizontal="left" vertical="center" wrapText="1"/>
      <protection locked="0"/>
    </xf>
    <xf numFmtId="0" fontId="129" fillId="0" borderId="0" xfId="157" applyFont="1" applyAlignment="1">
      <alignment vertical="center" wrapText="1"/>
    </xf>
    <xf numFmtId="0" fontId="143" fillId="51" borderId="57" xfId="43" applyFont="1" applyFill="1" applyBorder="1" applyAlignment="1">
      <alignment horizontal="center" vertical="center"/>
    </xf>
    <xf numFmtId="0" fontId="143" fillId="51" borderId="56" xfId="43" applyFont="1" applyFill="1" applyBorder="1" applyAlignment="1">
      <alignment horizontal="center" vertical="center" wrapText="1"/>
    </xf>
    <xf numFmtId="0" fontId="143" fillId="0" borderId="58" xfId="69" applyFont="1" applyFill="1" applyBorder="1" applyAlignment="1">
      <alignment horizontal="center" vertical="center"/>
    </xf>
    <xf numFmtId="224" fontId="143" fillId="0" borderId="27" xfId="398" applyNumberFormat="1" applyFont="1" applyFill="1" applyBorder="1" applyAlignment="1">
      <alignment vertical="center"/>
    </xf>
    <xf numFmtId="224" fontId="143" fillId="0" borderId="28" xfId="398" applyNumberFormat="1" applyFont="1" applyFill="1" applyBorder="1" applyAlignment="1">
      <alignment vertical="center"/>
    </xf>
    <xf numFmtId="0" fontId="143" fillId="0" borderId="0" xfId="43" applyFont="1">
      <alignment vertical="center"/>
    </xf>
    <xf numFmtId="43" fontId="143" fillId="0" borderId="0" xfId="398" applyFont="1" applyFill="1" applyBorder="1" applyAlignment="1">
      <alignment vertical="center"/>
    </xf>
    <xf numFmtId="0" fontId="143" fillId="51" borderId="65" xfId="43" applyFont="1" applyFill="1" applyBorder="1" applyAlignment="1">
      <alignment horizontal="center" vertical="center"/>
    </xf>
    <xf numFmtId="0" fontId="143" fillId="51" borderId="55" xfId="43" applyFont="1" applyFill="1" applyBorder="1" applyAlignment="1">
      <alignment horizontal="center" vertical="center"/>
    </xf>
    <xf numFmtId="0" fontId="143" fillId="0" borderId="58" xfId="43" applyFont="1" applyBorder="1" applyAlignment="1">
      <alignment horizontal="center" vertical="center"/>
    </xf>
    <xf numFmtId="224" fontId="143" fillId="0" borderId="28" xfId="398" applyNumberFormat="1" applyFont="1" applyFill="1" applyBorder="1">
      <alignment vertical="center"/>
    </xf>
    <xf numFmtId="2" fontId="74" fillId="0" borderId="55" xfId="397" applyNumberFormat="1" applyFont="1" applyBorder="1">
      <alignment vertical="center"/>
    </xf>
    <xf numFmtId="0" fontId="74" fillId="0" borderId="359" xfId="397" applyFont="1" applyBorder="1">
      <alignment vertical="center"/>
    </xf>
    <xf numFmtId="2" fontId="74" fillId="0" borderId="28" xfId="397" applyNumberFormat="1" applyFont="1" applyBorder="1">
      <alignment vertical="center"/>
    </xf>
    <xf numFmtId="224" fontId="143" fillId="0" borderId="358" xfId="398" applyNumberFormat="1" applyFont="1" applyFill="1" applyBorder="1" applyAlignment="1">
      <alignment horizontal="center" vertical="center" wrapText="1"/>
    </xf>
    <xf numFmtId="225" fontId="74" fillId="47" borderId="373" xfId="397" applyNumberFormat="1" applyFont="1" applyFill="1" applyBorder="1" applyAlignment="1">
      <alignment horizontal="center" vertical="center"/>
    </xf>
    <xf numFmtId="224" fontId="143" fillId="0" borderId="373" xfId="398" applyNumberFormat="1" applyFont="1" applyFill="1" applyBorder="1" applyAlignment="1">
      <alignment horizontal="center" vertical="center" wrapText="1"/>
    </xf>
    <xf numFmtId="224" fontId="143" fillId="0" borderId="374" xfId="398" applyNumberFormat="1" applyFont="1" applyFill="1" applyBorder="1" applyAlignment="1">
      <alignment horizontal="center" vertical="center" wrapText="1"/>
    </xf>
    <xf numFmtId="224" fontId="143" fillId="0" borderId="375" xfId="398" applyNumberFormat="1" applyFont="1" applyFill="1" applyBorder="1" applyAlignment="1">
      <alignment horizontal="center" vertical="center" wrapText="1"/>
    </xf>
    <xf numFmtId="224" fontId="143" fillId="0" borderId="376" xfId="398" applyNumberFormat="1" applyFont="1" applyFill="1" applyBorder="1" applyAlignment="1">
      <alignment horizontal="center" vertical="center" wrapText="1"/>
    </xf>
    <xf numFmtId="224" fontId="143" fillId="0" borderId="377" xfId="398" applyNumberFormat="1" applyFont="1" applyFill="1" applyBorder="1" applyAlignment="1">
      <alignment horizontal="center" vertical="center" wrapText="1"/>
    </xf>
    <xf numFmtId="0" fontId="74" fillId="0" borderId="65" xfId="397" applyFont="1" applyBorder="1">
      <alignment vertical="center"/>
    </xf>
    <xf numFmtId="0" fontId="143" fillId="51" borderId="56" xfId="43" applyFont="1" applyFill="1" applyBorder="1" applyAlignment="1">
      <alignment horizontal="center" vertical="center"/>
    </xf>
    <xf numFmtId="0" fontId="143" fillId="40" borderId="0" xfId="43" applyFont="1" applyFill="1" applyAlignment="1">
      <alignment horizontal="center" vertical="center"/>
    </xf>
    <xf numFmtId="224" fontId="143" fillId="40" borderId="0" xfId="398" applyNumberFormat="1" applyFont="1" applyFill="1" applyBorder="1" applyAlignment="1">
      <alignment vertical="center"/>
    </xf>
    <xf numFmtId="0" fontId="77" fillId="0" borderId="65" xfId="0" applyFont="1" applyBorder="1" applyAlignment="1">
      <alignment horizontal="center" vertical="center"/>
    </xf>
    <xf numFmtId="0" fontId="77" fillId="0" borderId="24" xfId="0" applyFont="1" applyBorder="1" applyAlignment="1">
      <alignment horizontal="center" vertical="center"/>
    </xf>
    <xf numFmtId="0" fontId="152" fillId="0" borderId="24" xfId="0" applyFont="1" applyBorder="1" applyAlignment="1">
      <alignment horizontal="center" vertical="center" wrapText="1"/>
    </xf>
    <xf numFmtId="0" fontId="77" fillId="0" borderId="55" xfId="0" applyFont="1" applyBorder="1" applyAlignment="1">
      <alignment horizontal="center" vertical="center"/>
    </xf>
    <xf numFmtId="49" fontId="74" fillId="27" borderId="32" xfId="145" quotePrefix="1" applyNumberFormat="1" applyFont="1" applyFill="1" applyBorder="1" applyAlignment="1">
      <alignment horizontal="left" vertical="center" wrapText="1" indent="6"/>
    </xf>
    <xf numFmtId="0" fontId="74" fillId="42" borderId="32" xfId="124" applyFont="1" applyFill="1" applyBorder="1" applyAlignment="1" applyProtection="1">
      <alignment horizontal="left" vertical="center" wrapText="1"/>
      <protection locked="0"/>
    </xf>
    <xf numFmtId="193" fontId="74" fillId="25" borderId="32" xfId="124" applyNumberFormat="1" applyFont="1" applyFill="1" applyBorder="1" applyAlignment="1">
      <alignment horizontal="center" vertical="center"/>
    </xf>
    <xf numFmtId="0" fontId="79" fillId="0" borderId="32" xfId="124" applyFont="1" applyBorder="1" applyAlignment="1">
      <alignment horizontal="left" vertical="center" wrapText="1" indent="6"/>
    </xf>
    <xf numFmtId="0" fontId="68" fillId="42" borderId="32" xfId="124" applyFont="1" applyFill="1" applyBorder="1" applyAlignment="1" applyProtection="1">
      <alignment horizontal="left" vertical="center" wrapText="1"/>
      <protection locked="0"/>
    </xf>
    <xf numFmtId="0" fontId="74" fillId="42" borderId="32" xfId="96" applyFont="1" applyFill="1" applyBorder="1" applyAlignment="1" applyProtection="1">
      <alignment horizontal="left" vertical="center" wrapText="1"/>
      <protection locked="0"/>
    </xf>
    <xf numFmtId="183" fontId="74" fillId="0" borderId="32" xfId="194" applyNumberFormat="1" applyFont="1" applyFill="1" applyBorder="1" applyAlignment="1" applyProtection="1">
      <alignment horizontal="center" vertical="center"/>
    </xf>
    <xf numFmtId="183" fontId="74" fillId="0" borderId="32" xfId="194" applyNumberFormat="1" applyFont="1" applyFill="1" applyBorder="1" applyAlignment="1" applyProtection="1">
      <alignment horizontal="center" vertical="center" wrapText="1"/>
      <protection locked="0"/>
    </xf>
    <xf numFmtId="0" fontId="74" fillId="0" borderId="0" xfId="162" applyFont="1"/>
    <xf numFmtId="0" fontId="74" fillId="0" borderId="0" xfId="125" applyFont="1" applyAlignment="1">
      <alignment vertical="center" wrapText="1"/>
    </xf>
    <xf numFmtId="49" fontId="74" fillId="0" borderId="19" xfId="103" quotePrefix="1" applyNumberFormat="1" applyFont="1" applyBorder="1" applyAlignment="1">
      <alignment vertical="center"/>
    </xf>
    <xf numFmtId="0" fontId="74" fillId="0" borderId="19" xfId="114" applyFont="1" applyBorder="1" applyAlignment="1">
      <alignment wrapText="1"/>
    </xf>
    <xf numFmtId="0" fontId="74" fillId="0" borderId="19" xfId="125" applyFont="1" applyBorder="1" applyAlignment="1">
      <alignment horizontal="center" vertical="center" wrapText="1"/>
    </xf>
    <xf numFmtId="0" fontId="74" fillId="0" borderId="19" xfId="125" applyFont="1" applyBorder="1" applyAlignment="1">
      <alignment horizontal="right" vertical="center"/>
    </xf>
    <xf numFmtId="49" fontId="82" fillId="0" borderId="18" xfId="103" applyNumberFormat="1" applyFont="1" applyBorder="1" applyAlignment="1">
      <alignment horizontal="center" vertical="center" wrapText="1"/>
    </xf>
    <xf numFmtId="49" fontId="82" fillId="0" borderId="18" xfId="103" applyNumberFormat="1" applyFont="1" applyBorder="1" applyAlignment="1">
      <alignment horizontal="centerContinuous" vertical="center" wrapText="1"/>
    </xf>
    <xf numFmtId="49" fontId="82" fillId="0" borderId="18" xfId="103" quotePrefix="1" applyNumberFormat="1" applyFont="1" applyBorder="1" applyAlignment="1">
      <alignment horizontal="centerContinuous" vertical="center" wrapText="1"/>
    </xf>
    <xf numFmtId="49" fontId="74" fillId="0" borderId="18" xfId="103" applyNumberFormat="1" applyFont="1" applyBorder="1" applyAlignment="1">
      <alignment horizontal="center" vertical="center" wrapText="1"/>
    </xf>
    <xf numFmtId="49" fontId="74" fillId="0" borderId="18" xfId="103" applyNumberFormat="1" applyFont="1" applyBorder="1" applyAlignment="1">
      <alignment vertical="center" wrapText="1"/>
    </xf>
    <xf numFmtId="198" fontId="74" fillId="0" borderId="18" xfId="103" applyNumberFormat="1" applyFont="1" applyBorder="1" applyAlignment="1">
      <alignment horizontal="right" vertical="center" wrapText="1"/>
    </xf>
    <xf numFmtId="201" fontId="74" fillId="0" borderId="18" xfId="103" applyNumberFormat="1" applyFont="1" applyBorder="1" applyAlignment="1">
      <alignment horizontal="right" vertical="center" wrapText="1"/>
    </xf>
    <xf numFmtId="0" fontId="74" fillId="0" borderId="243" xfId="125" applyFont="1" applyBorder="1" applyAlignment="1">
      <alignment vertical="center" wrapText="1"/>
    </xf>
    <xf numFmtId="49" fontId="74" fillId="0" borderId="18" xfId="103" applyNumberFormat="1" applyFont="1" applyBorder="1" applyAlignment="1">
      <alignment horizontal="left" vertical="center" wrapText="1"/>
    </xf>
    <xf numFmtId="49" fontId="74" fillId="0" borderId="18" xfId="98" applyNumberFormat="1" applyFont="1" applyBorder="1" applyAlignment="1">
      <alignment horizontal="left" vertical="center" wrapText="1" indent="2"/>
    </xf>
    <xf numFmtId="49" fontId="74" fillId="0" borderId="18" xfId="103" applyNumberFormat="1" applyFont="1" applyBorder="1" applyAlignment="1">
      <alignment horizontal="left" vertical="center" wrapText="1" indent="4"/>
    </xf>
    <xf numFmtId="0" fontId="74" fillId="0" borderId="18" xfId="125" applyFont="1" applyBorder="1" applyAlignment="1">
      <alignment vertical="center" wrapText="1"/>
    </xf>
    <xf numFmtId="49" fontId="74" fillId="0" borderId="18" xfId="103" applyNumberFormat="1" applyFont="1" applyBorder="1" applyAlignment="1">
      <alignment horizontal="left" vertical="center" wrapText="1" indent="6"/>
    </xf>
    <xf numFmtId="49" fontId="74" fillId="0" borderId="18" xfId="103" applyNumberFormat="1" applyFont="1" applyBorder="1" applyAlignment="1">
      <alignment horizontal="left" vertical="center" wrapText="1" indent="8"/>
    </xf>
    <xf numFmtId="49" fontId="74" fillId="0" borderId="18" xfId="103" applyNumberFormat="1" applyFont="1" applyBorder="1" applyAlignment="1">
      <alignment horizontal="left" vertical="center" wrapText="1" indent="2"/>
    </xf>
    <xf numFmtId="205" fontId="74" fillId="0" borderId="18" xfId="103" quotePrefix="1" applyNumberFormat="1" applyFont="1" applyBorder="1" applyAlignment="1">
      <alignment horizontal="center" vertical="center" wrapText="1"/>
    </xf>
    <xf numFmtId="49" fontId="74" fillId="0" borderId="18" xfId="98" applyNumberFormat="1" applyFont="1" applyBorder="1" applyAlignment="1">
      <alignment horizontal="left" vertical="center" wrapText="1" indent="4"/>
    </xf>
    <xf numFmtId="49" fontId="74" fillId="0" borderId="1" xfId="103" applyNumberFormat="1" applyFont="1" applyBorder="1" applyAlignment="1">
      <alignment horizontal="center" vertical="center"/>
    </xf>
    <xf numFmtId="49" fontId="74" fillId="0" borderId="1" xfId="103" applyNumberFormat="1" applyFont="1" applyBorder="1" applyAlignment="1">
      <alignment horizontal="left" vertical="center"/>
    </xf>
    <xf numFmtId="49" fontId="74" fillId="0" borderId="1" xfId="103" applyNumberFormat="1" applyFont="1" applyBorder="1" applyAlignment="1">
      <alignment horizontal="left" vertical="center" wrapText="1"/>
    </xf>
    <xf numFmtId="49" fontId="74" fillId="0" borderId="0" xfId="103" applyNumberFormat="1" applyFont="1" applyAlignment="1">
      <alignment vertical="center" wrapText="1"/>
    </xf>
    <xf numFmtId="49" fontId="74" fillId="0" borderId="0" xfId="103" applyNumberFormat="1" applyFont="1" applyAlignment="1">
      <alignment horizontal="center" vertical="center"/>
    </xf>
    <xf numFmtId="49" fontId="74" fillId="0" borderId="0" xfId="103" applyNumberFormat="1" applyFont="1" applyAlignment="1">
      <alignment horizontal="left" vertical="center"/>
    </xf>
    <xf numFmtId="49" fontId="74" fillId="0" borderId="0" xfId="103" applyNumberFormat="1" applyFont="1" applyAlignment="1">
      <alignment horizontal="left" vertical="center" wrapText="1"/>
    </xf>
    <xf numFmtId="0" fontId="74" fillId="0" borderId="0" xfId="161" applyFont="1" applyAlignment="1">
      <alignment vertical="center"/>
    </xf>
    <xf numFmtId="0" fontId="74" fillId="0" borderId="0" xfId="159" applyFont="1" applyAlignment="1">
      <alignment vertical="center"/>
    </xf>
    <xf numFmtId="49" fontId="74" fillId="0" borderId="0" xfId="103" applyNumberFormat="1" applyFont="1" applyAlignment="1">
      <alignment vertical="center"/>
    </xf>
    <xf numFmtId="0" fontId="74" fillId="0" borderId="0" xfId="125" applyFont="1" applyAlignment="1">
      <alignment horizontal="center" vertical="center"/>
    </xf>
    <xf numFmtId="0" fontId="74" fillId="0" borderId="0" xfId="125" applyFont="1">
      <alignment vertical="center"/>
    </xf>
    <xf numFmtId="0" fontId="74" fillId="0" borderId="0" xfId="125" applyFont="1" applyAlignment="1">
      <alignment horizontal="center" vertical="center" wrapText="1"/>
    </xf>
    <xf numFmtId="49" fontId="74" fillId="0" borderId="18" xfId="145" applyNumberFormat="1" applyFont="1" applyBorder="1" applyAlignment="1">
      <alignment horizontal="center" vertical="center" wrapText="1"/>
    </xf>
    <xf numFmtId="49" fontId="74" fillId="27" borderId="18" xfId="145" quotePrefix="1" applyNumberFormat="1" applyFont="1" applyFill="1" applyBorder="1" applyAlignment="1">
      <alignment horizontal="left" vertical="center" wrapText="1" indent="6"/>
    </xf>
    <xf numFmtId="198" fontId="68" fillId="0" borderId="18" xfId="107" applyNumberFormat="1" applyFont="1" applyBorder="1" applyAlignment="1">
      <alignment horizontal="left" vertical="center" wrapText="1"/>
    </xf>
    <xf numFmtId="0" fontId="68" fillId="0" borderId="68" xfId="107" applyFont="1" applyBorder="1" applyAlignment="1">
      <alignment horizontal="left" vertical="center"/>
    </xf>
    <xf numFmtId="0" fontId="74" fillId="0" borderId="18" xfId="107" applyFont="1" applyBorder="1" applyAlignment="1">
      <alignment horizontal="right" vertical="center" wrapText="1"/>
    </xf>
    <xf numFmtId="178" fontId="68" fillId="26" borderId="18" xfId="166" applyNumberFormat="1" applyFont="1" applyFill="1" applyBorder="1" applyAlignment="1" applyProtection="1">
      <alignment horizontal="center" vertical="center" wrapText="1"/>
    </xf>
    <xf numFmtId="178" fontId="74" fillId="26" borderId="129" xfId="166" applyNumberFormat="1" applyFont="1" applyFill="1" applyBorder="1" applyAlignment="1">
      <alignment horizontal="left" vertical="center" wrapText="1"/>
    </xf>
    <xf numFmtId="0" fontId="68" fillId="26" borderId="15" xfId="107" applyFont="1" applyFill="1" applyBorder="1" applyAlignment="1">
      <alignment horizontal="center" vertical="center" wrapText="1"/>
    </xf>
    <xf numFmtId="0" fontId="78" fillId="0" borderId="0" xfId="61" applyFont="1" applyAlignment="1">
      <alignment horizontal="center"/>
    </xf>
    <xf numFmtId="0" fontId="81" fillId="0" borderId="0" xfId="61" applyFont="1"/>
    <xf numFmtId="0" fontId="153" fillId="0" borderId="0" xfId="61" applyFont="1"/>
    <xf numFmtId="49" fontId="81" fillId="0" borderId="15" xfId="107" applyNumberFormat="1" applyFont="1" applyBorder="1" applyAlignment="1">
      <alignment horizontal="center" vertical="center" wrapText="1"/>
    </xf>
    <xf numFmtId="0" fontId="81" fillId="0" borderId="23" xfId="124" quotePrefix="1" applyFont="1" applyBorder="1" applyAlignment="1">
      <alignment horizontal="center" vertical="center" wrapText="1"/>
    </xf>
    <xf numFmtId="0" fontId="81" fillId="0" borderId="15" xfId="124" quotePrefix="1" applyFont="1" applyBorder="1" applyAlignment="1">
      <alignment horizontal="center" vertical="center" wrapText="1"/>
    </xf>
    <xf numFmtId="9" fontId="81" fillId="0" borderId="18" xfId="213" applyFont="1" applyBorder="1" applyAlignment="1">
      <alignment horizontal="center" vertical="center" wrapText="1"/>
    </xf>
    <xf numFmtId="0" fontId="154" fillId="0" borderId="15" xfId="107" quotePrefix="1" applyFont="1" applyBorder="1" applyAlignment="1">
      <alignment horizontal="center" vertical="center" wrapText="1"/>
    </xf>
    <xf numFmtId="0" fontId="81" fillId="0" borderId="18" xfId="124" applyFont="1" applyBorder="1" applyAlignment="1">
      <alignment horizontal="center" vertical="center" wrapText="1"/>
    </xf>
    <xf numFmtId="0" fontId="81" fillId="0" borderId="0" xfId="124" applyFont="1">
      <alignment vertical="center"/>
    </xf>
    <xf numFmtId="0" fontId="118" fillId="0" borderId="134" xfId="96" applyFont="1" applyBorder="1" applyAlignment="1">
      <alignment horizontal="center" vertical="center" wrapText="1"/>
    </xf>
    <xf numFmtId="49" fontId="74" fillId="0" borderId="0" xfId="124" applyNumberFormat="1" applyFont="1" applyAlignment="1">
      <alignment horizontal="left" vertical="center"/>
    </xf>
    <xf numFmtId="191" fontId="74" fillId="0" borderId="111" xfId="61" applyNumberFormat="1" applyFont="1" applyBorder="1" applyAlignment="1">
      <alignment horizontal="left" vertical="center"/>
    </xf>
    <xf numFmtId="178" fontId="74" fillId="0" borderId="56" xfId="166" applyNumberFormat="1" applyFont="1" applyFill="1" applyBorder="1" applyAlignment="1">
      <alignment vertical="center" wrapText="1"/>
    </xf>
    <xf numFmtId="9" fontId="74" fillId="0" borderId="144" xfId="124" applyNumberFormat="1" applyFont="1" applyBorder="1" applyAlignment="1">
      <alignment vertical="center" wrapText="1"/>
    </xf>
    <xf numFmtId="43" fontId="74" fillId="0" borderId="56" xfId="166" applyFont="1" applyFill="1" applyBorder="1" applyAlignment="1">
      <alignment vertical="center" wrapText="1"/>
    </xf>
    <xf numFmtId="0" fontId="74" fillId="0" borderId="58" xfId="124" applyFont="1" applyBorder="1" applyAlignment="1">
      <alignment vertical="center" wrapText="1"/>
    </xf>
    <xf numFmtId="191" fontId="74" fillId="0" borderId="111" xfId="52" applyNumberFormat="1" applyFont="1" applyBorder="1" applyAlignment="1">
      <alignment horizontal="left" vertical="center"/>
    </xf>
    <xf numFmtId="191" fontId="74" fillId="0" borderId="272" xfId="52" applyNumberFormat="1" applyFont="1" applyBorder="1" applyAlignment="1">
      <alignment horizontal="left" vertical="center"/>
    </xf>
    <xf numFmtId="177" fontId="74" fillId="0" borderId="32" xfId="180" applyFont="1" applyFill="1" applyBorder="1" applyAlignment="1" applyProtection="1">
      <alignment vertical="center" wrapText="1"/>
      <protection locked="0"/>
    </xf>
    <xf numFmtId="177" fontId="74" fillId="0" borderId="32" xfId="180" applyFont="1" applyFill="1" applyBorder="1" applyAlignment="1">
      <alignment vertical="center" wrapText="1"/>
    </xf>
    <xf numFmtId="191" fontId="68" fillId="0" borderId="111" xfId="61" applyNumberFormat="1" applyFont="1" applyBorder="1" applyAlignment="1">
      <alignment horizontal="left" vertical="center"/>
    </xf>
    <xf numFmtId="0" fontId="74" fillId="0" borderId="111" xfId="61" applyFont="1" applyBorder="1" applyAlignment="1">
      <alignment horizontal="left" vertical="center"/>
    </xf>
    <xf numFmtId="0" fontId="74" fillId="0" borderId="111" xfId="61" applyFont="1" applyBorder="1" applyAlignment="1">
      <alignment horizontal="center" vertical="center"/>
    </xf>
    <xf numFmtId="0" fontId="74" fillId="0" borderId="174" xfId="61" applyFont="1" applyBorder="1" applyAlignment="1">
      <alignment horizontal="center" vertical="center"/>
    </xf>
    <xf numFmtId="0" fontId="74" fillId="0" borderId="0" xfId="124" applyFont="1" applyAlignment="1" applyProtection="1">
      <alignment horizontal="left" vertical="center"/>
      <protection locked="0"/>
    </xf>
    <xf numFmtId="0" fontId="37" fillId="0" borderId="0" xfId="125" applyFont="1" applyAlignment="1">
      <alignment horizontal="center" vertical="center" wrapText="1"/>
    </xf>
    <xf numFmtId="0" fontId="134" fillId="0" borderId="0" xfId="137" applyFont="1"/>
    <xf numFmtId="0" fontId="37" fillId="0" borderId="0" xfId="107" applyFont="1" applyAlignment="1">
      <alignment horizontal="center" vertical="center"/>
    </xf>
    <xf numFmtId="0" fontId="37" fillId="0" borderId="0" xfId="0" applyFont="1" applyAlignment="1">
      <alignment vertical="center"/>
    </xf>
    <xf numFmtId="0" fontId="74" fillId="0" borderId="0" xfId="151" applyFont="1" applyAlignment="1">
      <alignment horizontal="center" vertical="center" wrapText="1"/>
    </xf>
    <xf numFmtId="182" fontId="74" fillId="0" borderId="0" xfId="115" applyNumberFormat="1" applyFont="1" applyAlignment="1" applyProtection="1">
      <alignment horizontal="right" vertical="center" wrapText="1"/>
      <protection locked="0"/>
    </xf>
    <xf numFmtId="10" fontId="74" fillId="0" borderId="0" xfId="115" applyNumberFormat="1" applyFont="1" applyAlignment="1" applyProtection="1">
      <alignment horizontal="right" vertical="center" wrapText="1"/>
      <protection locked="0"/>
    </xf>
    <xf numFmtId="197" fontId="74" fillId="0" borderId="0" xfId="115" applyNumberFormat="1" applyFont="1" applyAlignment="1" applyProtection="1">
      <alignment horizontal="left" vertical="center" wrapText="1"/>
      <protection locked="0"/>
    </xf>
    <xf numFmtId="0" fontId="132" fillId="0" borderId="65" xfId="148" applyFont="1" applyBorder="1" applyAlignment="1">
      <alignment horizontal="center" vertical="center" wrapText="1"/>
    </xf>
    <xf numFmtId="0" fontId="37" fillId="0" borderId="24" xfId="107" applyFont="1" applyBorder="1" applyAlignment="1">
      <alignment horizontal="left" vertical="center" wrapText="1"/>
    </xf>
    <xf numFmtId="198" fontId="132" fillId="0" borderId="151" xfId="107" applyNumberFormat="1" applyFont="1" applyBorder="1" applyAlignment="1">
      <alignment horizontal="right" vertical="center" wrapText="1"/>
    </xf>
    <xf numFmtId="201" fontId="132" fillId="0" borderId="151" xfId="107" applyNumberFormat="1" applyFont="1" applyBorder="1" applyAlignment="1">
      <alignment horizontal="right" vertical="center" wrapText="1"/>
    </xf>
    <xf numFmtId="198" fontId="132" fillId="0" borderId="24" xfId="107" applyNumberFormat="1" applyFont="1" applyBorder="1" applyAlignment="1">
      <alignment horizontal="right" vertical="center" wrapText="1"/>
    </xf>
    <xf numFmtId="197" fontId="132" fillId="0" borderId="55" xfId="107" applyNumberFormat="1" applyFont="1" applyBorder="1" applyAlignment="1">
      <alignment horizontal="left" vertical="center" wrapText="1"/>
    </xf>
    <xf numFmtId="0" fontId="132" fillId="0" borderId="58" xfId="148" applyFont="1" applyBorder="1" applyAlignment="1">
      <alignment horizontal="center" vertical="center" wrapText="1"/>
    </xf>
    <xf numFmtId="0" fontId="37" fillId="0" borderId="27" xfId="107" applyFont="1" applyBorder="1" applyAlignment="1">
      <alignment horizontal="left" vertical="center" wrapText="1"/>
    </xf>
    <xf numFmtId="198" fontId="132" fillId="0" borderId="142" xfId="107" applyNumberFormat="1" applyFont="1" applyBorder="1" applyAlignment="1">
      <alignment horizontal="right" vertical="center" wrapText="1"/>
    </xf>
    <xf numFmtId="201" fontId="132" fillId="0" borderId="142" xfId="107" applyNumberFormat="1" applyFont="1" applyBorder="1" applyAlignment="1">
      <alignment horizontal="right" vertical="center" wrapText="1"/>
    </xf>
    <xf numFmtId="198" fontId="132" fillId="0" borderId="27" xfId="107" applyNumberFormat="1" applyFont="1" applyBorder="1" applyAlignment="1">
      <alignment horizontal="right" vertical="center" wrapText="1"/>
    </xf>
    <xf numFmtId="197" fontId="132" fillId="0" borderId="28" xfId="107" applyNumberFormat="1" applyFont="1" applyBorder="1" applyAlignment="1">
      <alignment horizontal="left" vertical="center" wrapText="1"/>
    </xf>
    <xf numFmtId="0" fontId="37" fillId="0" borderId="0" xfId="108" applyFont="1" applyAlignment="1">
      <alignment horizontal="center" vertical="center" wrapText="1"/>
    </xf>
    <xf numFmtId="0" fontId="37" fillId="0" borderId="0" xfId="137" applyFont="1"/>
    <xf numFmtId="0" fontId="31" fillId="0" borderId="0" xfId="148" applyFont="1" applyAlignment="1">
      <alignment horizontal="center" vertical="center" wrapText="1"/>
    </xf>
    <xf numFmtId="0" fontId="31" fillId="0" borderId="0" xfId="137" applyFont="1" applyAlignment="1">
      <alignment vertical="center"/>
    </xf>
    <xf numFmtId="0" fontId="13" fillId="0" borderId="0" xfId="148" applyFont="1" applyAlignment="1">
      <alignment horizontal="center" vertical="center" wrapText="1"/>
    </xf>
    <xf numFmtId="0" fontId="129" fillId="0" borderId="0" xfId="107" applyFont="1" applyAlignment="1">
      <alignment horizontal="center" vertical="center"/>
    </xf>
    <xf numFmtId="0" fontId="129" fillId="0" borderId="0" xfId="148" applyFont="1" applyAlignment="1">
      <alignment horizontal="center" vertical="top" wrapText="1"/>
    </xf>
    <xf numFmtId="0" fontId="129" fillId="0" borderId="0" xfId="137" applyFont="1"/>
    <xf numFmtId="209" fontId="37" fillId="0" borderId="18" xfId="145" quotePrefix="1" applyNumberFormat="1" applyFont="1" applyBorder="1" applyAlignment="1">
      <alignment horizontal="center" vertical="center" wrapText="1"/>
    </xf>
    <xf numFmtId="49" fontId="134" fillId="0" borderId="18" xfId="145" applyNumberFormat="1" applyFont="1" applyBorder="1" applyAlignment="1">
      <alignment horizontal="left" vertical="center" wrapText="1" indent="6"/>
    </xf>
    <xf numFmtId="0" fontId="132" fillId="0" borderId="29" xfId="145" applyFont="1" applyBorder="1" applyAlignment="1">
      <alignment horizontal="center" vertical="center" wrapText="1"/>
    </xf>
    <xf numFmtId="0" fontId="37" fillId="0" borderId="164" xfId="145" applyFont="1" applyBorder="1" applyAlignment="1">
      <alignment horizontal="left" vertical="center" wrapText="1"/>
    </xf>
    <xf numFmtId="188" fontId="0" fillId="26" borderId="134" xfId="145" applyNumberFormat="1" applyFont="1" applyFill="1" applyBorder="1" applyAlignment="1">
      <alignment horizontal="left" vertical="center" wrapText="1"/>
    </xf>
    <xf numFmtId="183" fontId="0" fillId="26" borderId="134" xfId="180" applyNumberFormat="1" applyFont="1" applyFill="1" applyBorder="1" applyAlignment="1">
      <alignment horizontal="right" vertical="center" wrapText="1"/>
    </xf>
    <xf numFmtId="183" fontId="0" fillId="26" borderId="235" xfId="180" applyNumberFormat="1" applyFont="1" applyFill="1" applyBorder="1" applyAlignment="1">
      <alignment horizontal="right" vertical="center" wrapText="1"/>
    </xf>
    <xf numFmtId="0" fontId="132" fillId="0" borderId="359" xfId="145" applyFont="1" applyBorder="1" applyAlignment="1">
      <alignment horizontal="center" vertical="center" wrapText="1"/>
    </xf>
    <xf numFmtId="0" fontId="37" fillId="0" borderId="3" xfId="145" applyFont="1" applyBorder="1" applyAlignment="1">
      <alignment horizontal="left" vertical="center" wrapText="1"/>
    </xf>
    <xf numFmtId="188" fontId="0" fillId="26" borderId="378" xfId="145" applyNumberFormat="1" applyFont="1" applyFill="1" applyBorder="1" applyAlignment="1">
      <alignment horizontal="left" vertical="center" wrapText="1"/>
    </xf>
    <xf numFmtId="183" fontId="0" fillId="26" borderId="378" xfId="180" applyNumberFormat="1" applyFont="1" applyFill="1" applyBorder="1" applyAlignment="1">
      <alignment horizontal="right" vertical="center" wrapText="1"/>
    </xf>
    <xf numFmtId="183" fontId="0" fillId="26" borderId="323" xfId="180" applyNumberFormat="1" applyFont="1" applyFill="1" applyBorder="1" applyAlignment="1">
      <alignment horizontal="right" vertical="center" wrapText="1"/>
    </xf>
    <xf numFmtId="0" fontId="129" fillId="0" borderId="0" xfId="0" applyFont="1" applyAlignment="1">
      <alignment horizontal="center" vertical="center" wrapText="1"/>
    </xf>
    <xf numFmtId="0" fontId="129" fillId="0" borderId="0" xfId="145" applyFont="1" applyAlignment="1">
      <alignment horizontal="center" vertical="center" wrapText="1"/>
    </xf>
    <xf numFmtId="0" fontId="132" fillId="0" borderId="29" xfId="148" applyFont="1" applyBorder="1" applyAlignment="1">
      <alignment horizontal="center" vertical="center"/>
    </xf>
    <xf numFmtId="0" fontId="37" fillId="0" borderId="164" xfId="115" applyFont="1" applyBorder="1" applyAlignment="1">
      <alignment horizontal="left" vertical="center" wrapText="1"/>
    </xf>
    <xf numFmtId="198" fontId="132" fillId="26" borderId="151" xfId="107" applyNumberFormat="1" applyFont="1" applyFill="1" applyBorder="1" applyAlignment="1">
      <alignment horizontal="right" vertical="center" wrapText="1"/>
    </xf>
    <xf numFmtId="198" fontId="132" fillId="26" borderId="24" xfId="107" applyNumberFormat="1" applyFont="1" applyFill="1" applyBorder="1" applyAlignment="1">
      <alignment horizontal="right" vertical="center" wrapText="1"/>
    </xf>
    <xf numFmtId="197" fontId="132" fillId="26" borderId="55" xfId="107" applyNumberFormat="1" applyFont="1" applyFill="1" applyBorder="1" applyAlignment="1">
      <alignment horizontal="left" vertical="center" wrapText="1"/>
    </xf>
    <xf numFmtId="0" fontId="132" fillId="0" borderId="359" xfId="148" applyFont="1" applyBorder="1" applyAlignment="1">
      <alignment horizontal="center" vertical="center"/>
    </xf>
    <xf numFmtId="0" fontId="37" fillId="0" borderId="3" xfId="115" applyFont="1" applyBorder="1" applyAlignment="1">
      <alignment horizontal="left" vertical="center" wrapText="1"/>
    </xf>
    <xf numFmtId="198" fontId="132" fillId="26" borderId="142" xfId="107" applyNumberFormat="1" applyFont="1" applyFill="1" applyBorder="1" applyAlignment="1">
      <alignment horizontal="right" vertical="center" wrapText="1"/>
    </xf>
    <xf numFmtId="198" fontId="132" fillId="26" borderId="27" xfId="107" applyNumberFormat="1" applyFont="1" applyFill="1" applyBorder="1" applyAlignment="1">
      <alignment horizontal="right" vertical="center" wrapText="1"/>
    </xf>
    <xf numFmtId="197" fontId="132" fillId="26" borderId="28" xfId="107" applyNumberFormat="1" applyFont="1" applyFill="1" applyBorder="1" applyAlignment="1">
      <alignment horizontal="left" vertical="center" wrapText="1"/>
    </xf>
    <xf numFmtId="0" fontId="37" fillId="0" borderId="0" xfId="137" applyFont="1" applyAlignment="1">
      <alignment horizontal="center"/>
    </xf>
    <xf numFmtId="0" fontId="129" fillId="0" borderId="0" xfId="107" applyFont="1" applyAlignment="1">
      <alignment horizontal="center" vertical="center" wrapText="1"/>
    </xf>
    <xf numFmtId="0" fontId="129" fillId="0" borderId="0" xfId="107" quotePrefix="1" applyFont="1" applyAlignment="1">
      <alignment horizontal="center" vertical="center" wrapText="1"/>
    </xf>
    <xf numFmtId="49" fontId="130" fillId="0" borderId="0" xfId="107" applyNumberFormat="1" applyFont="1" applyAlignment="1">
      <alignment horizontal="center" vertical="top"/>
    </xf>
    <xf numFmtId="0" fontId="36" fillId="0" borderId="0" xfId="137" applyFont="1"/>
    <xf numFmtId="0" fontId="64" fillId="0" borderId="0" xfId="124" applyFont="1">
      <alignment vertical="center"/>
    </xf>
    <xf numFmtId="0" fontId="64" fillId="0" borderId="0" xfId="0" applyFont="1" applyAlignment="1">
      <alignment vertical="center"/>
    </xf>
    <xf numFmtId="0" fontId="124" fillId="0" borderId="0" xfId="124" applyFont="1">
      <alignment vertical="center"/>
    </xf>
    <xf numFmtId="0" fontId="75" fillId="0" borderId="18" xfId="108" applyFont="1" applyBorder="1" applyAlignment="1">
      <alignment horizontal="center" vertical="center" wrapText="1"/>
    </xf>
    <xf numFmtId="0" fontId="13" fillId="0" borderId="32" xfId="96" applyFont="1" applyBorder="1" applyAlignment="1" applyProtection="1">
      <alignment horizontal="left" vertical="center" wrapText="1"/>
      <protection locked="0"/>
    </xf>
    <xf numFmtId="0" fontId="13" fillId="0" borderId="32" xfId="124" applyFont="1" applyBorder="1" applyAlignment="1" applyProtection="1">
      <alignment horizontal="left" vertical="center" wrapText="1"/>
      <protection locked="0"/>
    </xf>
    <xf numFmtId="178" fontId="129" fillId="0" borderId="32" xfId="166" applyNumberFormat="1" applyFont="1" applyFill="1" applyBorder="1" applyAlignment="1" applyProtection="1">
      <alignment horizontal="center" vertical="center" wrapText="1"/>
      <protection locked="0"/>
    </xf>
    <xf numFmtId="49" fontId="74" fillId="0" borderId="18" xfId="124" applyNumberFormat="1" applyFont="1" applyBorder="1" applyAlignment="1">
      <alignment horizontal="center" vertical="center" wrapText="1"/>
    </xf>
    <xf numFmtId="178" fontId="129" fillId="0" borderId="32" xfId="166" applyNumberFormat="1" applyFont="1" applyFill="1" applyBorder="1" applyAlignment="1" applyProtection="1">
      <alignment horizontal="center" vertical="center" wrapText="1"/>
    </xf>
    <xf numFmtId="193" fontId="37" fillId="0" borderId="32" xfId="124" applyNumberFormat="1" applyFont="1" applyBorder="1" applyAlignment="1">
      <alignment horizontal="center" vertical="center"/>
    </xf>
    <xf numFmtId="0" fontId="73" fillId="0" borderId="0" xfId="0" applyFont="1" applyAlignment="1">
      <alignment horizontal="center" vertical="center"/>
    </xf>
    <xf numFmtId="200" fontId="37" fillId="0" borderId="32" xfId="180" applyNumberFormat="1" applyFont="1" applyFill="1" applyBorder="1" applyAlignment="1">
      <alignment vertical="center" wrapText="1"/>
    </xf>
    <xf numFmtId="200" fontId="132" fillId="0" borderId="32" xfId="180" applyNumberFormat="1" applyFont="1" applyFill="1" applyBorder="1" applyAlignment="1">
      <alignment vertical="center" wrapText="1"/>
    </xf>
    <xf numFmtId="200" fontId="132" fillId="0" borderId="181" xfId="180" applyNumberFormat="1" applyFont="1" applyFill="1" applyBorder="1" applyAlignment="1">
      <alignment vertical="center" wrapText="1"/>
    </xf>
    <xf numFmtId="49" fontId="37" fillId="0" borderId="0" xfId="180" applyNumberFormat="1" applyFont="1" applyFill="1" applyBorder="1" applyAlignment="1" applyProtection="1">
      <alignment horizontal="center" vertical="center"/>
    </xf>
    <xf numFmtId="0" fontId="37" fillId="0" borderId="0" xfId="0" applyFont="1"/>
    <xf numFmtId="0" fontId="78" fillId="0" borderId="190" xfId="96" applyFont="1" applyBorder="1" applyAlignment="1">
      <alignment horizontal="left" vertical="center"/>
    </xf>
    <xf numFmtId="189" fontId="78" fillId="0" borderId="379" xfId="96" applyNumberFormat="1" applyFont="1" applyBorder="1" applyAlignment="1">
      <alignment horizontal="right" vertical="center"/>
    </xf>
    <xf numFmtId="195" fontId="78" fillId="0" borderId="91" xfId="96" applyNumberFormat="1" applyFont="1" applyBorder="1" applyAlignment="1">
      <alignment horizontal="center" vertical="center"/>
    </xf>
    <xf numFmtId="189" fontId="78" fillId="0" borderId="254" xfId="96" applyNumberFormat="1" applyFont="1" applyBorder="1" applyAlignment="1">
      <alignment horizontal="right" vertical="center"/>
    </xf>
    <xf numFmtId="0" fontId="124" fillId="0" borderId="138" xfId="93" applyFont="1" applyBorder="1" applyAlignment="1">
      <alignment horizontal="left" vertical="center" wrapText="1" indent="2"/>
    </xf>
    <xf numFmtId="0" fontId="157" fillId="45" borderId="14" xfId="97" applyFont="1" applyFill="1" applyBorder="1" applyAlignment="1">
      <alignment horizontal="left" vertical="center" wrapText="1"/>
    </xf>
    <xf numFmtId="183" fontId="65" fillId="53" borderId="188" xfId="180" applyNumberFormat="1" applyFont="1" applyFill="1" applyBorder="1" applyAlignment="1" applyProtection="1">
      <alignment horizontal="center" vertical="center"/>
    </xf>
    <xf numFmtId="183" fontId="157" fillId="0" borderId="380" xfId="180" applyNumberFormat="1" applyFont="1" applyFill="1" applyBorder="1" applyAlignment="1" applyProtection="1">
      <alignment horizontal="center" vertical="center"/>
    </xf>
    <xf numFmtId="195" fontId="157" fillId="0" borderId="381" xfId="93" applyNumberFormat="1" applyFont="1" applyBorder="1" applyAlignment="1">
      <alignment horizontal="center" vertical="center"/>
    </xf>
    <xf numFmtId="183" fontId="157" fillId="0" borderId="268" xfId="180" applyNumberFormat="1" applyFont="1" applyFill="1" applyBorder="1" applyAlignment="1" applyProtection="1">
      <alignment horizontal="center" vertical="center"/>
    </xf>
    <xf numFmtId="0" fontId="36" fillId="0" borderId="255" xfId="93" applyFont="1" applyBorder="1" applyAlignment="1">
      <alignment horizontal="left" vertical="center" indent="2"/>
    </xf>
    <xf numFmtId="0" fontId="35" fillId="45" borderId="262" xfId="97" applyFont="1" applyFill="1" applyBorder="1" applyAlignment="1">
      <alignment horizontal="left" vertical="center" wrapText="1"/>
    </xf>
    <xf numFmtId="183" fontId="157" fillId="53" borderId="382" xfId="180" applyNumberFormat="1" applyFont="1" applyFill="1" applyBorder="1" applyAlignment="1" applyProtection="1">
      <alignment horizontal="center" vertical="center"/>
    </xf>
    <xf numFmtId="183" fontId="157" fillId="0" borderId="383" xfId="180" applyNumberFormat="1" applyFont="1" applyFill="1" applyBorder="1" applyAlignment="1" applyProtection="1">
      <alignment horizontal="center" vertical="center"/>
    </xf>
    <xf numFmtId="195" fontId="157" fillId="0" borderId="383" xfId="93" applyNumberFormat="1" applyFont="1" applyBorder="1" applyAlignment="1">
      <alignment horizontal="center" vertical="center"/>
    </xf>
    <xf numFmtId="183" fontId="157" fillId="0" borderId="384" xfId="180" applyNumberFormat="1" applyFont="1" applyFill="1" applyBorder="1" applyAlignment="1" applyProtection="1">
      <alignment horizontal="center" vertical="center"/>
    </xf>
    <xf numFmtId="0" fontId="158" fillId="0" borderId="32" xfId="97" applyFont="1" applyBorder="1" applyAlignment="1">
      <alignment horizontal="left" vertical="center" wrapText="1"/>
    </xf>
    <xf numFmtId="189" fontId="130" fillId="0" borderId="99" xfId="96" applyNumberFormat="1" applyFont="1" applyBorder="1" applyAlignment="1">
      <alignment horizontal="right" vertical="center"/>
    </xf>
    <xf numFmtId="0" fontId="36" fillId="0" borderId="0" xfId="0" applyFont="1"/>
    <xf numFmtId="0" fontId="82" fillId="0" borderId="24" xfId="93" applyFont="1" applyBorder="1" applyAlignment="1">
      <alignment horizontal="center" vertical="center" wrapText="1"/>
    </xf>
    <xf numFmtId="0" fontId="82" fillId="0" borderId="55" xfId="93" applyFont="1" applyBorder="1" applyAlignment="1">
      <alignment horizontal="center" vertical="center" wrapText="1"/>
    </xf>
    <xf numFmtId="0" fontId="74" fillId="0" borderId="57" xfId="95" applyFont="1" applyBorder="1" applyAlignment="1">
      <alignment horizontal="center" vertical="center" wrapText="1"/>
    </xf>
    <xf numFmtId="0" fontId="74" fillId="0" borderId="18" xfId="93" applyFont="1" applyBorder="1" applyAlignment="1">
      <alignment vertical="center" wrapText="1"/>
    </xf>
    <xf numFmtId="0" fontId="74" fillId="0" borderId="18" xfId="95" applyFont="1" applyBorder="1" applyAlignment="1" applyProtection="1">
      <alignment horizontal="left" vertical="center" wrapText="1"/>
      <protection locked="0"/>
    </xf>
    <xf numFmtId="183" fontId="74" fillId="0" borderId="18" xfId="194" applyNumberFormat="1" applyFont="1" applyFill="1" applyBorder="1" applyAlignment="1" applyProtection="1">
      <alignment horizontal="center" vertical="center" wrapText="1"/>
    </xf>
    <xf numFmtId="195" fontId="74" fillId="0" borderId="18" xfId="95" applyNumberFormat="1" applyFont="1" applyBorder="1" applyAlignment="1">
      <alignment horizontal="center" vertical="center" wrapText="1"/>
    </xf>
    <xf numFmtId="183" fontId="74" fillId="38" borderId="56" xfId="194" applyNumberFormat="1" applyFont="1" applyFill="1" applyBorder="1" applyAlignment="1" applyProtection="1">
      <alignment horizontal="right" wrapText="1"/>
    </xf>
    <xf numFmtId="0" fontId="74" fillId="0" borderId="18" xfId="95" applyFont="1" applyBorder="1" applyAlignment="1">
      <alignment horizontal="left" vertical="center"/>
    </xf>
    <xf numFmtId="0" fontId="74" fillId="0" borderId="18" xfId="95" applyFont="1" applyBorder="1" applyAlignment="1">
      <alignment horizontal="left" vertical="center" wrapText="1"/>
    </xf>
    <xf numFmtId="183" fontId="74" fillId="38" borderId="18" xfId="194" applyNumberFormat="1" applyFont="1" applyFill="1" applyBorder="1" applyAlignment="1" applyProtection="1">
      <alignment horizontal="center" vertical="center" wrapText="1"/>
    </xf>
    <xf numFmtId="9" fontId="74" fillId="0" borderId="18" xfId="213" applyFont="1" applyFill="1" applyBorder="1" applyAlignment="1" applyProtection="1">
      <alignment horizontal="center" vertical="center" wrapText="1"/>
    </xf>
    <xf numFmtId="183" fontId="74" fillId="35" borderId="56" xfId="194" applyNumberFormat="1" applyFont="1" applyFill="1" applyBorder="1" applyAlignment="1" applyProtection="1">
      <alignment horizontal="right" wrapText="1"/>
    </xf>
    <xf numFmtId="0" fontId="74" fillId="0" borderId="58" xfId="95" applyFont="1" applyBorder="1" applyAlignment="1">
      <alignment horizontal="center" vertical="center" wrapText="1"/>
    </xf>
    <xf numFmtId="0" fontId="74" fillId="0" borderId="27" xfId="95" applyFont="1" applyBorder="1" applyAlignment="1">
      <alignment horizontal="left" vertical="center"/>
    </xf>
    <xf numFmtId="0" fontId="74" fillId="0" borderId="27" xfId="95" applyFont="1" applyBorder="1" applyAlignment="1">
      <alignment horizontal="left" vertical="center" wrapText="1"/>
    </xf>
    <xf numFmtId="183" fontId="74" fillId="38" borderId="27" xfId="194" applyNumberFormat="1" applyFont="1" applyFill="1" applyBorder="1" applyAlignment="1" applyProtection="1">
      <alignment horizontal="center" vertical="center" wrapText="1"/>
    </xf>
    <xf numFmtId="9" fontId="74" fillId="0" borderId="27" xfId="213" applyFont="1" applyFill="1" applyBorder="1" applyAlignment="1" applyProtection="1">
      <alignment horizontal="center" vertical="center" wrapText="1"/>
    </xf>
    <xf numFmtId="183" fontId="74" fillId="35" borderId="28" xfId="194" applyNumberFormat="1" applyFont="1" applyFill="1" applyBorder="1" applyAlignment="1" applyProtection="1">
      <alignment horizontal="right" wrapText="1"/>
    </xf>
    <xf numFmtId="0" fontId="74" fillId="0" borderId="282" xfId="95" applyFont="1" applyBorder="1" applyAlignment="1">
      <alignment vertical="center" wrapText="1"/>
    </xf>
    <xf numFmtId="0" fontId="68" fillId="0" borderId="287" xfId="95" applyFont="1" applyBorder="1" applyAlignment="1">
      <alignment vertical="center" wrapText="1"/>
    </xf>
    <xf numFmtId="0" fontId="74" fillId="0" borderId="291" xfId="95" applyFont="1" applyBorder="1" applyAlignment="1">
      <alignment vertical="center" wrapText="1"/>
    </xf>
    <xf numFmtId="0" fontId="74" fillId="0" borderId="296" xfId="95" applyFont="1" applyBorder="1" applyAlignment="1">
      <alignment vertical="center" wrapText="1"/>
    </xf>
    <xf numFmtId="0" fontId="74" fillId="0" borderId="301" xfId="95" applyFont="1" applyBorder="1" applyAlignment="1">
      <alignment vertical="center" wrapText="1"/>
    </xf>
    <xf numFmtId="0" fontId="74" fillId="0" borderId="305" xfId="95" applyFont="1" applyBorder="1" applyAlignment="1">
      <alignment vertical="center" wrapText="1"/>
    </xf>
    <xf numFmtId="0" fontId="68" fillId="0" borderId="305" xfId="95" applyFont="1" applyBorder="1" applyAlignment="1">
      <alignment vertical="center" wrapText="1"/>
    </xf>
    <xf numFmtId="0" fontId="74" fillId="38" borderId="289" xfId="95" applyFont="1" applyFill="1" applyBorder="1" applyAlignment="1">
      <alignment vertical="center" wrapText="1"/>
    </xf>
    <xf numFmtId="0" fontId="74" fillId="0" borderId="309" xfId="95" applyFont="1" applyBorder="1" applyAlignment="1">
      <alignment vertical="center" wrapText="1"/>
    </xf>
    <xf numFmtId="183" fontId="74" fillId="41" borderId="310" xfId="180" applyNumberFormat="1" applyFont="1" applyFill="1" applyBorder="1" applyAlignment="1" applyProtection="1">
      <alignment horizontal="center" vertical="center" wrapText="1"/>
    </xf>
    <xf numFmtId="200" fontId="74" fillId="0" borderId="310" xfId="180" applyNumberFormat="1" applyFont="1" applyFill="1" applyBorder="1" applyAlignment="1" applyProtection="1">
      <alignment horizontal="center" vertical="center" wrapText="1"/>
    </xf>
    <xf numFmtId="0" fontId="74" fillId="35" borderId="60" xfId="95" applyFont="1" applyFill="1" applyBorder="1" applyAlignment="1">
      <alignment vertical="center" wrapText="1"/>
    </xf>
    <xf numFmtId="0" fontId="68" fillId="35" borderId="14" xfId="95" applyFont="1" applyFill="1" applyBorder="1" applyAlignment="1" applyProtection="1">
      <alignment horizontal="left" vertical="center" wrapText="1"/>
      <protection locked="0"/>
    </xf>
    <xf numFmtId="183" fontId="74" fillId="38" borderId="14" xfId="180" applyNumberFormat="1" applyFont="1" applyFill="1" applyBorder="1" applyAlignment="1" applyProtection="1">
      <alignment horizontal="center" vertical="center" wrapText="1"/>
    </xf>
    <xf numFmtId="200" fontId="74" fillId="38" borderId="14" xfId="180" applyNumberFormat="1" applyFont="1" applyFill="1" applyBorder="1" applyAlignment="1" applyProtection="1">
      <alignment horizontal="center" vertical="center" wrapText="1"/>
    </xf>
    <xf numFmtId="183" fontId="74" fillId="35" borderId="14" xfId="180" applyNumberFormat="1" applyFont="1" applyFill="1" applyBorder="1" applyAlignment="1" applyProtection="1">
      <alignment horizontal="center" vertical="center" wrapText="1"/>
    </xf>
    <xf numFmtId="0" fontId="74" fillId="0" borderId="314" xfId="95" applyFont="1" applyBorder="1" applyAlignment="1" applyProtection="1">
      <alignment horizontal="left" vertical="center" wrapText="1"/>
      <protection locked="0"/>
    </xf>
    <xf numFmtId="0" fontId="74" fillId="0" borderId="310" xfId="95" applyFont="1" applyBorder="1" applyAlignment="1">
      <alignment vertical="center" wrapText="1"/>
    </xf>
    <xf numFmtId="183" fontId="74" fillId="41" borderId="302" xfId="180" applyNumberFormat="1" applyFont="1" applyFill="1" applyBorder="1" applyAlignment="1" applyProtection="1">
      <alignment horizontal="center" vertical="center" wrapText="1"/>
    </xf>
    <xf numFmtId="0" fontId="74" fillId="0" borderId="302" xfId="95" applyFont="1" applyBorder="1" applyAlignment="1">
      <alignment vertical="center" wrapText="1"/>
    </xf>
    <xf numFmtId="0" fontId="68" fillId="0" borderId="302" xfId="95" applyFont="1" applyBorder="1" applyAlignment="1" applyProtection="1">
      <alignment horizontal="left" vertical="center" wrapText="1"/>
      <protection locked="0"/>
    </xf>
    <xf numFmtId="183" fontId="74" fillId="38" borderId="302" xfId="180" applyNumberFormat="1" applyFont="1" applyFill="1" applyBorder="1" applyAlignment="1" applyProtection="1">
      <alignment horizontal="center" vertical="center" wrapText="1"/>
      <protection locked="0"/>
    </xf>
    <xf numFmtId="200" fontId="74" fillId="38" borderId="302" xfId="180" applyNumberFormat="1" applyFont="1" applyFill="1" applyBorder="1" applyAlignment="1" applyProtection="1">
      <alignment horizontal="center" vertical="center" wrapText="1"/>
    </xf>
    <xf numFmtId="0" fontId="74" fillId="35" borderId="317" xfId="95" applyFont="1" applyFill="1" applyBorder="1" applyAlignment="1">
      <alignment vertical="center" wrapText="1"/>
    </xf>
    <xf numFmtId="0" fontId="68" fillId="35" borderId="317" xfId="95" applyFont="1" applyFill="1" applyBorder="1" applyAlignment="1" applyProtection="1">
      <alignment horizontal="left" vertical="center" wrapText="1"/>
      <protection locked="0"/>
    </xf>
    <xf numFmtId="0" fontId="68" fillId="0" borderId="314" xfId="95" applyFont="1" applyBorder="1" applyAlignment="1" applyProtection="1">
      <alignment horizontal="left" vertical="center" wrapText="1"/>
      <protection locked="0"/>
    </xf>
    <xf numFmtId="0" fontId="68" fillId="0" borderId="289" xfId="95" applyFont="1" applyBorder="1" applyAlignment="1" applyProtection="1">
      <alignment horizontal="left" vertical="center" wrapText="1"/>
      <protection locked="0"/>
    </xf>
    <xf numFmtId="183" fontId="74" fillId="38" borderId="289" xfId="180" applyNumberFormat="1" applyFont="1" applyFill="1" applyBorder="1" applyAlignment="1" applyProtection="1">
      <alignment horizontal="center" vertical="center" wrapText="1"/>
    </xf>
    <xf numFmtId="183" fontId="74" fillId="41" borderId="328" xfId="180" applyNumberFormat="1" applyFont="1" applyFill="1" applyBorder="1" applyAlignment="1" applyProtection="1">
      <alignment horizontal="center" vertical="center" wrapText="1"/>
    </xf>
    <xf numFmtId="200" fontId="74" fillId="0" borderId="328" xfId="180" applyNumberFormat="1" applyFont="1" applyFill="1" applyBorder="1" applyAlignment="1" applyProtection="1">
      <alignment horizontal="center" vertical="center" wrapText="1"/>
    </xf>
    <xf numFmtId="0" fontId="68" fillId="0" borderId="302" xfId="95" applyFont="1" applyBorder="1" applyAlignment="1">
      <alignment vertical="center" wrapText="1"/>
    </xf>
    <xf numFmtId="0" fontId="74" fillId="35" borderId="289" xfId="95" applyFont="1" applyFill="1" applyBorder="1" applyAlignment="1">
      <alignment vertical="center" wrapText="1"/>
    </xf>
    <xf numFmtId="0" fontId="68" fillId="35" borderId="289" xfId="95" applyFont="1" applyFill="1" applyBorder="1" applyAlignment="1">
      <alignment vertical="center" wrapText="1"/>
    </xf>
    <xf numFmtId="0" fontId="74" fillId="0" borderId="317" xfId="95" applyFont="1" applyBorder="1" applyAlignment="1">
      <alignment vertical="center" wrapText="1"/>
    </xf>
    <xf numFmtId="0" fontId="68" fillId="0" borderId="317" xfId="95" applyFont="1" applyBorder="1" applyAlignment="1">
      <alignment vertical="center" wrapText="1"/>
    </xf>
    <xf numFmtId="0" fontId="74" fillId="35" borderId="148" xfId="95" applyFont="1" applyFill="1" applyBorder="1" applyAlignment="1">
      <alignment vertical="center" wrapText="1"/>
    </xf>
    <xf numFmtId="0" fontId="68" fillId="35" borderId="148" xfId="95" applyFont="1" applyFill="1" applyBorder="1" applyAlignment="1">
      <alignment vertical="center" wrapText="1"/>
    </xf>
    <xf numFmtId="0" fontId="82" fillId="0" borderId="0" xfId="95" applyFont="1" applyAlignment="1">
      <alignment horizontal="centerContinuous" vertical="center"/>
    </xf>
    <xf numFmtId="0" fontId="74" fillId="0" borderId="0" xfId="95" applyFont="1" applyAlignment="1">
      <alignment horizontal="centerContinuous" vertical="center" wrapText="1"/>
    </xf>
    <xf numFmtId="0" fontId="74" fillId="0" borderId="147" xfId="95" applyFont="1" applyBorder="1" applyAlignment="1">
      <alignment horizontal="center" vertical="center" wrapText="1"/>
    </xf>
    <xf numFmtId="0" fontId="74" fillId="0" borderId="320" xfId="95" applyFont="1" applyBorder="1" applyAlignment="1">
      <alignment vertical="center" wrapText="1"/>
    </xf>
    <xf numFmtId="0" fontId="74" fillId="0" borderId="252" xfId="95" applyFont="1" applyBorder="1" applyAlignment="1">
      <alignment horizontal="center" vertical="center" wrapText="1"/>
    </xf>
    <xf numFmtId="9" fontId="74" fillId="0" borderId="113" xfId="213" applyFont="1" applyFill="1" applyBorder="1" applyAlignment="1" applyProtection="1">
      <alignment horizontal="center" vertical="center" wrapText="1"/>
    </xf>
    <xf numFmtId="0" fontId="74" fillId="0" borderId="138" xfId="95" applyFont="1" applyBorder="1" applyAlignment="1">
      <alignment horizontal="center" vertical="center" wrapText="1"/>
    </xf>
    <xf numFmtId="9" fontId="74" fillId="0" borderId="111" xfId="213" applyFont="1" applyFill="1" applyBorder="1" applyAlignment="1" applyProtection="1">
      <alignment horizontal="center" vertical="center" wrapText="1"/>
    </xf>
    <xf numFmtId="0" fontId="68" fillId="0" borderId="317" xfId="95" applyFont="1" applyBorder="1" applyAlignment="1" applyProtection="1">
      <alignment horizontal="left" vertical="center" wrapText="1"/>
      <protection locked="0"/>
    </xf>
    <xf numFmtId="0" fontId="74" fillId="0" borderId="269" xfId="95" applyFont="1" applyBorder="1" applyAlignment="1">
      <alignment horizontal="center" vertical="center" wrapText="1"/>
    </xf>
    <xf numFmtId="9" fontId="74" fillId="0" borderId="323" xfId="213" applyFont="1" applyFill="1" applyBorder="1" applyAlignment="1" applyProtection="1">
      <alignment horizontal="center" vertical="center" wrapText="1"/>
    </xf>
    <xf numFmtId="0" fontId="160" fillId="0" borderId="0" xfId="124" applyFont="1" applyAlignment="1">
      <alignment horizontal="center" vertical="center"/>
    </xf>
    <xf numFmtId="0" fontId="70" fillId="0" borderId="0" xfId="0" applyFont="1" applyAlignment="1">
      <alignment horizontal="center"/>
    </xf>
    <xf numFmtId="0" fontId="33" fillId="0" borderId="0" xfId="139" applyFont="1" applyAlignment="1">
      <alignment horizontal="center"/>
    </xf>
    <xf numFmtId="0" fontId="33" fillId="0" borderId="0" xfId="139" applyFont="1" applyAlignment="1">
      <alignment horizontal="left"/>
    </xf>
    <xf numFmtId="184" fontId="13" fillId="26" borderId="18" xfId="0" applyNumberFormat="1" applyFont="1" applyFill="1" applyBorder="1" applyAlignment="1">
      <alignment horizontal="center" vertical="center"/>
    </xf>
    <xf numFmtId="14" fontId="163" fillId="0" borderId="18" xfId="399" applyNumberFormat="1" applyFont="1" applyBorder="1">
      <alignment vertical="center"/>
    </xf>
    <xf numFmtId="178" fontId="164" fillId="0" borderId="18" xfId="400" applyNumberFormat="1" applyFont="1" applyBorder="1">
      <alignment vertical="center"/>
    </xf>
    <xf numFmtId="178" fontId="163" fillId="0" borderId="18" xfId="400" applyNumberFormat="1" applyFont="1" applyBorder="1">
      <alignment vertical="center"/>
    </xf>
    <xf numFmtId="14" fontId="162" fillId="0" borderId="18" xfId="399" applyNumberFormat="1" applyFont="1" applyBorder="1">
      <alignment vertical="center"/>
    </xf>
    <xf numFmtId="14" fontId="164" fillId="0" borderId="18" xfId="399" applyNumberFormat="1" applyFont="1" applyBorder="1">
      <alignment vertical="center"/>
    </xf>
    <xf numFmtId="0" fontId="117" fillId="0" borderId="0" xfId="0" applyFont="1"/>
    <xf numFmtId="0" fontId="44" fillId="0" borderId="0" xfId="128" quotePrefix="1" applyFont="1" applyAlignment="1">
      <alignment horizontal="center"/>
    </xf>
    <xf numFmtId="0" fontId="46" fillId="0" borderId="0" xfId="128" applyFont="1" applyAlignment="1">
      <alignment horizontal="center"/>
    </xf>
    <xf numFmtId="0" fontId="45" fillId="0" borderId="0" xfId="128" applyFont="1" applyAlignment="1">
      <alignment horizontal="center"/>
    </xf>
    <xf numFmtId="0" fontId="38" fillId="0" borderId="18" xfId="157" applyFont="1" applyBorder="1" applyAlignment="1">
      <alignment horizontal="center" vertical="center" wrapText="1"/>
    </xf>
    <xf numFmtId="0" fontId="75" fillId="0" borderId="16" xfId="107" applyFont="1" applyBorder="1" applyAlignment="1">
      <alignment horizontal="center" vertical="center"/>
    </xf>
    <xf numFmtId="0" fontId="75" fillId="0" borderId="14" xfId="107" applyFont="1" applyBorder="1" applyAlignment="1">
      <alignment horizontal="center" vertical="center"/>
    </xf>
    <xf numFmtId="0" fontId="75" fillId="0" borderId="17" xfId="0" applyFont="1" applyBorder="1" applyAlignment="1">
      <alignment horizontal="center"/>
    </xf>
    <xf numFmtId="0" fontId="75" fillId="0" borderId="21" xfId="0" applyFont="1" applyBorder="1" applyAlignment="1">
      <alignment horizontal="center"/>
    </xf>
    <xf numFmtId="0" fontId="75" fillId="0" borderId="19" xfId="107" applyFont="1" applyBorder="1" applyAlignment="1">
      <alignment horizontal="center"/>
    </xf>
    <xf numFmtId="0" fontId="75" fillId="0" borderId="15" xfId="0" applyFont="1" applyBorder="1" applyAlignment="1">
      <alignment horizontal="center" vertical="center"/>
    </xf>
    <xf numFmtId="0" fontId="75" fillId="0" borderId="18" xfId="107" applyFont="1" applyBorder="1" applyAlignment="1">
      <alignment horizontal="center" vertical="center"/>
    </xf>
    <xf numFmtId="0" fontId="75" fillId="0" borderId="130" xfId="107" applyFont="1" applyBorder="1" applyAlignment="1">
      <alignment horizontal="center" vertical="center"/>
    </xf>
    <xf numFmtId="0" fontId="75" fillId="0" borderId="20" xfId="107" applyFont="1" applyBorder="1" applyAlignment="1">
      <alignment horizontal="center" vertical="center"/>
    </xf>
    <xf numFmtId="0" fontId="75" fillId="0" borderId="68" xfId="107" applyFont="1" applyBorder="1" applyAlignment="1">
      <alignment horizontal="center" vertical="center"/>
    </xf>
    <xf numFmtId="0" fontId="75" fillId="0" borderId="68" xfId="0" applyFont="1" applyBorder="1"/>
    <xf numFmtId="49" fontId="74" fillId="0" borderId="18" xfId="103" applyNumberFormat="1" applyFont="1" applyBorder="1" applyAlignment="1">
      <alignment horizontal="left" vertical="center" wrapText="1"/>
    </xf>
    <xf numFmtId="0" fontId="74" fillId="0" borderId="18" xfId="161" applyFont="1" applyBorder="1" applyAlignment="1">
      <alignment vertical="center" wrapText="1"/>
    </xf>
    <xf numFmtId="49" fontId="74" fillId="0" borderId="130" xfId="103" applyNumberFormat="1" applyFont="1" applyBorder="1" applyAlignment="1">
      <alignment horizontal="left" vertical="center" wrapText="1"/>
    </xf>
    <xf numFmtId="49" fontId="74" fillId="0" borderId="68" xfId="103" applyNumberFormat="1" applyFont="1" applyBorder="1" applyAlignment="1">
      <alignment horizontal="left" vertical="center" wrapText="1"/>
    </xf>
    <xf numFmtId="49" fontId="74" fillId="0" borderId="18" xfId="103" applyNumberFormat="1" applyFont="1" applyBorder="1" applyAlignment="1">
      <alignment horizontal="center" vertical="center" wrapText="1"/>
    </xf>
    <xf numFmtId="49" fontId="84" fillId="0" borderId="130" xfId="103" applyNumberFormat="1" applyFont="1" applyBorder="1" applyAlignment="1">
      <alignment horizontal="left" vertical="center" wrapText="1"/>
    </xf>
    <xf numFmtId="49" fontId="82" fillId="0" borderId="18" xfId="103" applyNumberFormat="1" applyFont="1" applyBorder="1" applyAlignment="1">
      <alignment horizontal="center" vertical="center" wrapText="1"/>
    </xf>
    <xf numFmtId="49" fontId="82" fillId="0" borderId="130" xfId="103" applyNumberFormat="1" applyFont="1" applyBorder="1" applyAlignment="1">
      <alignment horizontal="center" vertical="center" wrapText="1"/>
    </xf>
    <xf numFmtId="49" fontId="82" fillId="0" borderId="68" xfId="103" applyNumberFormat="1" applyFont="1" applyBorder="1" applyAlignment="1">
      <alignment horizontal="center" vertical="center" wrapText="1"/>
    </xf>
    <xf numFmtId="0" fontId="81" fillId="0" borderId="16" xfId="107" applyFont="1" applyBorder="1" applyAlignment="1">
      <alignment horizontal="center" vertical="center" wrapText="1"/>
    </xf>
    <xf numFmtId="0" fontId="81" fillId="0" borderId="14" xfId="107" applyFont="1" applyBorder="1" applyAlignment="1">
      <alignment horizontal="center" vertical="center" wrapText="1"/>
    </xf>
    <xf numFmtId="0" fontId="81" fillId="0" borderId="130" xfId="161" applyFont="1" applyBorder="1" applyAlignment="1">
      <alignment horizontal="center" vertical="center" wrapText="1"/>
    </xf>
    <xf numFmtId="0" fontId="81" fillId="0" borderId="68" xfId="161" applyFont="1" applyBorder="1" applyAlignment="1">
      <alignment horizontal="center" vertical="center" wrapText="1"/>
    </xf>
    <xf numFmtId="0" fontId="81" fillId="0" borderId="130" xfId="0" applyFont="1" applyBorder="1" applyAlignment="1">
      <alignment horizontal="center" vertical="center" wrapText="1"/>
    </xf>
    <xf numFmtId="0" fontId="81" fillId="0" borderId="68" xfId="0" applyFont="1" applyBorder="1" applyAlignment="1">
      <alignment horizontal="center" vertical="center" wrapText="1"/>
    </xf>
    <xf numFmtId="0" fontId="81" fillId="0" borderId="20" xfId="161" applyFont="1" applyBorder="1" applyAlignment="1">
      <alignment horizontal="center" vertical="center" wrapText="1"/>
    </xf>
    <xf numFmtId="0" fontId="81" fillId="0" borderId="16" xfId="114" applyFont="1" applyBorder="1" applyAlignment="1">
      <alignment horizontal="center" vertical="center" wrapText="1"/>
    </xf>
    <xf numFmtId="0" fontId="81" fillId="0" borderId="14" xfId="114" applyFont="1" applyBorder="1" applyAlignment="1">
      <alignment horizontal="center" vertical="center" wrapText="1"/>
    </xf>
    <xf numFmtId="0" fontId="81" fillId="0" borderId="20" xfId="0" applyFont="1" applyBorder="1" applyAlignment="1">
      <alignment horizontal="center" vertical="center" wrapText="1"/>
    </xf>
    <xf numFmtId="0" fontId="81" fillId="0" borderId="16" xfId="103" applyFont="1" applyBorder="1" applyAlignment="1">
      <alignment horizontal="center" vertical="center"/>
    </xf>
    <xf numFmtId="0" fontId="81" fillId="0" borderId="14" xfId="103" applyFont="1" applyBorder="1" applyAlignment="1">
      <alignment horizontal="center" vertical="center"/>
    </xf>
    <xf numFmtId="0" fontId="81" fillId="0" borderId="15" xfId="103" applyFont="1" applyBorder="1" applyAlignment="1">
      <alignment horizontal="center" vertical="center"/>
    </xf>
    <xf numFmtId="0" fontId="81" fillId="0" borderId="17" xfId="161" applyFont="1" applyBorder="1" applyAlignment="1">
      <alignment horizontal="center" vertical="center" wrapText="1"/>
    </xf>
    <xf numFmtId="0" fontId="81" fillId="0" borderId="1" xfId="161" applyFont="1" applyBorder="1" applyAlignment="1">
      <alignment horizontal="center" vertical="center" wrapText="1"/>
    </xf>
    <xf numFmtId="0" fontId="81" fillId="0" borderId="21" xfId="161" applyFont="1" applyBorder="1" applyAlignment="1">
      <alignment horizontal="center" vertical="center" wrapText="1"/>
    </xf>
    <xf numFmtId="0" fontId="81" fillId="0" borderId="4" xfId="161" applyFont="1" applyBorder="1" applyAlignment="1">
      <alignment horizontal="center" vertical="center" wrapText="1"/>
    </xf>
    <xf numFmtId="0" fontId="81" fillId="0" borderId="0" xfId="161" applyFont="1" applyAlignment="1">
      <alignment horizontal="center" vertical="center" wrapText="1"/>
    </xf>
    <xf numFmtId="0" fontId="81" fillId="0" borderId="60" xfId="161" applyFont="1" applyBorder="1" applyAlignment="1">
      <alignment horizontal="center" vertical="center" wrapText="1"/>
    </xf>
    <xf numFmtId="0" fontId="81" fillId="0" borderId="23" xfId="161" quotePrefix="1" applyFont="1" applyBorder="1" applyAlignment="1">
      <alignment horizontal="center" vertical="center" wrapText="1"/>
    </xf>
    <xf numFmtId="0" fontId="81" fillId="0" borderId="19" xfId="161" quotePrefix="1" applyFont="1" applyBorder="1" applyAlignment="1">
      <alignment horizontal="center" vertical="center" wrapText="1"/>
    </xf>
    <xf numFmtId="0" fontId="81" fillId="0" borderId="22" xfId="161" quotePrefix="1" applyFont="1" applyBorder="1" applyAlignment="1">
      <alignment horizontal="center" vertical="center" wrapText="1"/>
    </xf>
    <xf numFmtId="0" fontId="81" fillId="0" borderId="1" xfId="161" quotePrefix="1" applyFont="1" applyBorder="1" applyAlignment="1">
      <alignment horizontal="center" vertical="center"/>
    </xf>
    <xf numFmtId="0" fontId="82" fillId="0" borderId="18" xfId="107" applyFont="1" applyBorder="1" applyAlignment="1">
      <alignment horizontal="center" vertical="center" wrapText="1"/>
    </xf>
    <xf numFmtId="0" fontId="82" fillId="0" borderId="18" xfId="137" applyFont="1" applyBorder="1" applyAlignment="1">
      <alignment horizontal="center" vertical="center" wrapText="1"/>
    </xf>
    <xf numFmtId="0" fontId="82" fillId="0" borderId="18" xfId="148" applyFont="1" applyBorder="1" applyAlignment="1">
      <alignment horizontal="center" vertical="center" wrapText="1"/>
    </xf>
    <xf numFmtId="0" fontId="134" fillId="0" borderId="30" xfId="107" applyFont="1" applyBorder="1" applyAlignment="1">
      <alignment horizontal="center" vertical="center" wrapText="1"/>
    </xf>
    <xf numFmtId="0" fontId="134" fillId="0" borderId="34" xfId="0" applyFont="1" applyBorder="1" applyAlignment="1">
      <alignment horizontal="center" vertical="center" wrapText="1"/>
    </xf>
    <xf numFmtId="0" fontId="74" fillId="0" borderId="18" xfId="151" applyFont="1" applyBorder="1" applyAlignment="1">
      <alignment horizontal="center" vertical="center" wrapText="1"/>
    </xf>
    <xf numFmtId="0" fontId="74" fillId="0" borderId="18" xfId="148" applyFont="1" applyBorder="1" applyAlignment="1">
      <alignment horizontal="center" vertical="center" wrapText="1"/>
    </xf>
    <xf numFmtId="0" fontId="74" fillId="0" borderId="18" xfId="107" applyFont="1" applyBorder="1" applyAlignment="1">
      <alignment horizontal="center" vertical="center" wrapText="1"/>
    </xf>
    <xf numFmtId="0" fontId="82" fillId="0" borderId="18" xfId="115" applyFont="1" applyBorder="1" applyAlignment="1">
      <alignment horizontal="center" vertical="center" wrapText="1"/>
    </xf>
    <xf numFmtId="0" fontId="82" fillId="0" borderId="18" xfId="115" quotePrefix="1" applyFont="1" applyBorder="1" applyAlignment="1">
      <alignment horizontal="center" vertical="center" wrapText="1"/>
    </xf>
    <xf numFmtId="0" fontId="82" fillId="0" borderId="18" xfId="151" applyFont="1" applyBorder="1" applyAlignment="1">
      <alignment horizontal="center" vertical="center" wrapText="1"/>
    </xf>
    <xf numFmtId="0" fontId="82" fillId="0" borderId="130" xfId="115" applyFont="1" applyBorder="1" applyAlignment="1">
      <alignment horizontal="center" vertical="center" wrapText="1"/>
    </xf>
    <xf numFmtId="0" fontId="82" fillId="0" borderId="20" xfId="115" applyFont="1" applyBorder="1" applyAlignment="1">
      <alignment horizontal="center" vertical="center" wrapText="1"/>
    </xf>
    <xf numFmtId="0" fontId="82" fillId="0" borderId="68" xfId="115" applyFont="1" applyBorder="1" applyAlignment="1">
      <alignment horizontal="center" vertical="center" wrapText="1"/>
    </xf>
    <xf numFmtId="0" fontId="82" fillId="0" borderId="18" xfId="159" applyFont="1" applyBorder="1" applyAlignment="1">
      <alignment horizontal="center" vertical="center" wrapText="1"/>
    </xf>
    <xf numFmtId="0" fontId="82" fillId="0" borderId="18" xfId="116" applyFont="1" applyBorder="1" applyAlignment="1">
      <alignment horizontal="center" vertical="center" wrapText="1"/>
    </xf>
    <xf numFmtId="0" fontId="82" fillId="0" borderId="18" xfId="161" applyFont="1" applyBorder="1" applyAlignment="1">
      <alignment vertical="center" wrapText="1"/>
    </xf>
    <xf numFmtId="0" fontId="74" fillId="0" borderId="130" xfId="107" applyFont="1" applyBorder="1" applyAlignment="1">
      <alignment horizontal="center" vertical="center" wrapText="1"/>
    </xf>
    <xf numFmtId="0" fontId="74" fillId="0" borderId="68" xfId="107" applyFont="1" applyBorder="1" applyAlignment="1">
      <alignment horizontal="center" vertical="center" wrapText="1"/>
    </xf>
    <xf numFmtId="0" fontId="82" fillId="0" borderId="18" xfId="152" applyFont="1" applyBorder="1" applyAlignment="1">
      <alignment horizontal="center" vertical="center" wrapText="1"/>
    </xf>
    <xf numFmtId="0" fontId="74" fillId="0" borderId="16" xfId="152" applyFont="1" applyBorder="1" applyAlignment="1">
      <alignment horizontal="center" vertical="center" wrapText="1"/>
    </xf>
    <xf numFmtId="0" fontId="74" fillId="0" borderId="14" xfId="152" applyFont="1" applyBorder="1" applyAlignment="1">
      <alignment horizontal="center" vertical="center" wrapText="1"/>
    </xf>
    <xf numFmtId="0" fontId="74" fillId="0" borderId="15" xfId="152" applyFont="1" applyBorder="1" applyAlignment="1">
      <alignment horizontal="center" vertical="center" wrapText="1"/>
    </xf>
    <xf numFmtId="0" fontId="82" fillId="0" borderId="18" xfId="116" quotePrefix="1" applyFont="1" applyBorder="1" applyAlignment="1">
      <alignment horizontal="center" vertical="center" wrapText="1"/>
    </xf>
    <xf numFmtId="0" fontId="74" fillId="0" borderId="16" xfId="148" applyFont="1" applyBorder="1" applyAlignment="1">
      <alignment horizontal="center" vertical="center" wrapText="1"/>
    </xf>
    <xf numFmtId="0" fontId="74" fillId="0" borderId="14" xfId="148" applyFont="1" applyBorder="1" applyAlignment="1">
      <alignment horizontal="center" vertical="center" wrapText="1"/>
    </xf>
    <xf numFmtId="0" fontId="74" fillId="0" borderId="15" xfId="148" applyFont="1" applyBorder="1" applyAlignment="1">
      <alignment horizontal="center" vertical="center" wrapText="1"/>
    </xf>
    <xf numFmtId="0" fontId="82" fillId="0" borderId="18" xfId="145" applyFont="1" applyBorder="1" applyAlignment="1">
      <alignment horizontal="center" vertical="center" wrapText="1"/>
    </xf>
    <xf numFmtId="49" fontId="82" fillId="0" borderId="18" xfId="145" quotePrefix="1" applyNumberFormat="1" applyFont="1" applyBorder="1" applyAlignment="1">
      <alignment horizontal="center" vertical="center" wrapText="1"/>
    </xf>
    <xf numFmtId="0" fontId="82" fillId="0" borderId="16" xfId="107" applyFont="1" applyBorder="1" applyAlignment="1">
      <alignment horizontal="center" vertical="center" wrapText="1"/>
    </xf>
    <xf numFmtId="0" fontId="82" fillId="0" borderId="15" xfId="107" applyFont="1" applyBorder="1" applyAlignment="1">
      <alignment horizontal="center" vertical="center" wrapText="1"/>
    </xf>
    <xf numFmtId="0" fontId="82" fillId="0" borderId="14" xfId="107" applyFont="1" applyBorder="1" applyAlignment="1">
      <alignment horizontal="center" vertical="center" wrapText="1"/>
    </xf>
    <xf numFmtId="0" fontId="82" fillId="0" borderId="130" xfId="107" applyFont="1" applyBorder="1" applyAlignment="1">
      <alignment horizontal="center" vertical="center" wrapText="1"/>
    </xf>
    <xf numFmtId="0" fontId="82" fillId="0" borderId="20" xfId="107" applyFont="1" applyBorder="1" applyAlignment="1">
      <alignment horizontal="center" vertical="center" wrapText="1"/>
    </xf>
    <xf numFmtId="0" fontId="82" fillId="0" borderId="68" xfId="107" applyFont="1" applyBorder="1" applyAlignment="1">
      <alignment horizontal="center" vertical="center" wrapText="1"/>
    </xf>
    <xf numFmtId="0" fontId="37" fillId="0" borderId="164" xfId="115" applyFont="1" applyBorder="1" applyAlignment="1">
      <alignment horizontal="center" vertical="center" wrapText="1"/>
    </xf>
    <xf numFmtId="0" fontId="37" fillId="0" borderId="3" xfId="0" applyFont="1" applyBorder="1" applyAlignment="1">
      <alignment horizontal="center" vertical="center" wrapText="1"/>
    </xf>
    <xf numFmtId="0" fontId="74" fillId="0" borderId="16" xfId="107" applyFont="1" applyBorder="1" applyAlignment="1">
      <alignment horizontal="center" vertical="center" wrapText="1"/>
    </xf>
    <xf numFmtId="0" fontId="74" fillId="0" borderId="14" xfId="107" applyFont="1" applyBorder="1" applyAlignment="1">
      <alignment horizontal="center" vertical="center" wrapText="1"/>
    </xf>
    <xf numFmtId="0" fontId="74" fillId="0" borderId="15" xfId="107" applyFont="1" applyBorder="1" applyAlignment="1">
      <alignment horizontal="center" vertical="center" wrapText="1"/>
    </xf>
    <xf numFmtId="0" fontId="74" fillId="0" borderId="130" xfId="115" applyFont="1" applyBorder="1" applyAlignment="1">
      <alignment horizontal="center" vertical="center" wrapText="1"/>
    </xf>
    <xf numFmtId="0" fontId="74" fillId="0" borderId="68" xfId="115" applyFont="1" applyBorder="1" applyAlignment="1">
      <alignment horizontal="center" vertical="center" wrapText="1"/>
    </xf>
    <xf numFmtId="0" fontId="74" fillId="0" borderId="18" xfId="115" applyFont="1" applyBorder="1" applyAlignment="1">
      <alignment horizontal="center" vertical="center" wrapText="1"/>
    </xf>
    <xf numFmtId="0" fontId="74" fillId="0" borderId="130" xfId="115" applyFont="1" applyBorder="1" applyAlignment="1">
      <alignment horizontal="center" vertical="center"/>
    </xf>
    <xf numFmtId="0" fontId="74" fillId="0" borderId="68" xfId="115" applyFont="1" applyBorder="1" applyAlignment="1">
      <alignment horizontal="center" vertical="center"/>
    </xf>
    <xf numFmtId="178" fontId="68" fillId="26" borderId="18" xfId="166" applyNumberFormat="1" applyFont="1" applyFill="1" applyBorder="1" applyAlignment="1">
      <alignment horizontal="center" vertical="center" wrapText="1"/>
    </xf>
    <xf numFmtId="0" fontId="38" fillId="0" borderId="18" xfId="107" applyFont="1" applyBorder="1" applyAlignment="1">
      <alignment horizontal="center" vertical="center" wrapText="1"/>
    </xf>
    <xf numFmtId="0" fontId="38" fillId="0" borderId="18" xfId="148" applyFont="1" applyBorder="1" applyAlignment="1">
      <alignment horizontal="center" vertical="center" wrapText="1"/>
    </xf>
    <xf numFmtId="0" fontId="78" fillId="0" borderId="0" xfId="107" applyFont="1" applyAlignment="1" applyProtection="1">
      <alignment horizontal="left" vertical="center" wrapText="1"/>
      <protection locked="0"/>
    </xf>
    <xf numFmtId="0" fontId="78" fillId="0" borderId="130" xfId="107" applyFont="1" applyBorder="1" applyAlignment="1">
      <alignment horizontal="center" vertical="center" wrapText="1"/>
    </xf>
    <xf numFmtId="0" fontId="78" fillId="0" borderId="68" xfId="107" applyFont="1" applyBorder="1" applyAlignment="1">
      <alignment horizontal="center" vertical="center" wrapText="1"/>
    </xf>
    <xf numFmtId="0" fontId="78" fillId="0" borderId="18" xfId="107" applyFont="1" applyBorder="1" applyAlignment="1">
      <alignment horizontal="distributed" vertical="center" wrapText="1"/>
    </xf>
    <xf numFmtId="0" fontId="78" fillId="0" borderId="16" xfId="107" applyFont="1" applyBorder="1" applyAlignment="1">
      <alignment horizontal="distributed" vertical="center" wrapText="1"/>
    </xf>
    <xf numFmtId="0" fontId="78" fillId="0" borderId="14" xfId="107" applyFont="1" applyBorder="1" applyAlignment="1">
      <alignment horizontal="distributed" vertical="center" wrapText="1"/>
    </xf>
    <xf numFmtId="0" fontId="78" fillId="0" borderId="20" xfId="107" applyFont="1" applyBorder="1" applyAlignment="1">
      <alignment horizontal="center" vertical="center" wrapText="1"/>
    </xf>
    <xf numFmtId="0" fontId="78" fillId="0" borderId="16" xfId="107" applyFont="1" applyBorder="1" applyAlignment="1">
      <alignment horizontal="center" vertical="center" wrapText="1"/>
    </xf>
    <xf numFmtId="0" fontId="77" fillId="0" borderId="14" xfId="0" applyFont="1" applyBorder="1" applyAlignment="1">
      <alignment vertical="center" wrapText="1"/>
    </xf>
    <xf numFmtId="0" fontId="78" fillId="0" borderId="0" xfId="107" applyFont="1" applyAlignment="1">
      <alignment horizontal="distributed" vertical="center" wrapText="1"/>
    </xf>
    <xf numFmtId="0" fontId="78" fillId="0" borderId="0" xfId="107" applyFont="1" applyAlignment="1">
      <alignment horizontal="center" vertical="center" wrapText="1"/>
    </xf>
    <xf numFmtId="0" fontId="77" fillId="0" borderId="0" xfId="0" applyFont="1" applyAlignment="1">
      <alignment vertical="center" wrapText="1"/>
    </xf>
    <xf numFmtId="0" fontId="78" fillId="0" borderId="14" xfId="107" applyFont="1" applyBorder="1" applyAlignment="1">
      <alignment horizontal="center" vertical="center" wrapText="1"/>
    </xf>
    <xf numFmtId="0" fontId="75" fillId="0" borderId="16" xfId="107" applyFont="1" applyBorder="1" applyAlignment="1">
      <alignment horizontal="center" vertical="center" wrapText="1"/>
    </xf>
    <xf numFmtId="0" fontId="78" fillId="0" borderId="18" xfId="107" applyFont="1" applyBorder="1" applyAlignment="1">
      <alignment horizontal="center" vertical="center" wrapText="1"/>
    </xf>
    <xf numFmtId="0" fontId="78" fillId="0" borderId="130" xfId="107" applyFont="1" applyBorder="1" applyAlignment="1">
      <alignment horizontal="distributed" vertical="center" wrapText="1"/>
    </xf>
    <xf numFmtId="0" fontId="78" fillId="0" borderId="17" xfId="107" applyFont="1" applyBorder="1" applyAlignment="1">
      <alignment horizontal="distributed" vertical="center" wrapText="1"/>
    </xf>
    <xf numFmtId="0" fontId="78" fillId="0" borderId="17" xfId="148" applyFont="1" applyBorder="1" applyAlignment="1">
      <alignment horizontal="center" vertical="center" wrapText="1"/>
    </xf>
    <xf numFmtId="0" fontId="78" fillId="0" borderId="4" xfId="148" applyFont="1" applyBorder="1" applyAlignment="1">
      <alignment horizontal="center" vertical="center" wrapText="1"/>
    </xf>
    <xf numFmtId="0" fontId="78" fillId="0" borderId="23" xfId="148" applyFont="1" applyBorder="1" applyAlignment="1">
      <alignment horizontal="center" vertical="center" wrapText="1"/>
    </xf>
    <xf numFmtId="0" fontId="78" fillId="0" borderId="130" xfId="107" applyFont="1" applyBorder="1" applyAlignment="1">
      <alignment horizontal="left" vertical="center" wrapText="1"/>
    </xf>
    <xf numFmtId="0" fontId="78" fillId="0" borderId="20" xfId="107" applyFont="1" applyBorder="1" applyAlignment="1">
      <alignment horizontal="left" vertical="center" wrapText="1"/>
    </xf>
    <xf numFmtId="0" fontId="78" fillId="0" borderId="68" xfId="107" applyFont="1" applyBorder="1" applyAlignment="1">
      <alignment horizontal="left" vertical="center" wrapText="1"/>
    </xf>
    <xf numFmtId="0" fontId="78" fillId="0" borderId="15" xfId="107" applyFont="1" applyBorder="1" applyAlignment="1">
      <alignment horizontal="center" vertical="center" wrapText="1"/>
    </xf>
    <xf numFmtId="0" fontId="78" fillId="0" borderId="68" xfId="124" applyFont="1" applyBorder="1">
      <alignment vertical="center"/>
    </xf>
    <xf numFmtId="0" fontId="78" fillId="0" borderId="14" xfId="124" applyFont="1" applyBorder="1">
      <alignment vertical="center"/>
    </xf>
    <xf numFmtId="0" fontId="78" fillId="0" borderId="23" xfId="107" quotePrefix="1" applyFont="1" applyBorder="1" applyAlignment="1">
      <alignment horizontal="center" vertical="center" wrapText="1"/>
    </xf>
    <xf numFmtId="0" fontId="78" fillId="0" borderId="19" xfId="107" quotePrefix="1" applyFont="1" applyBorder="1" applyAlignment="1">
      <alignment horizontal="center" vertical="center" wrapText="1"/>
    </xf>
    <xf numFmtId="0" fontId="78" fillId="0" borderId="22" xfId="107" quotePrefix="1" applyFont="1" applyBorder="1" applyAlignment="1">
      <alignment horizontal="center" vertical="center" wrapText="1"/>
    </xf>
    <xf numFmtId="0" fontId="78" fillId="0" borderId="16" xfId="148" applyFont="1" applyBorder="1" applyAlignment="1">
      <alignment horizontal="center" vertical="center" wrapText="1"/>
    </xf>
    <xf numFmtId="0" fontId="78" fillId="0" borderId="14" xfId="148" applyFont="1" applyBorder="1" applyAlignment="1">
      <alignment horizontal="center" vertical="center" wrapText="1"/>
    </xf>
    <xf numFmtId="0" fontId="78" fillId="0" borderId="15" xfId="148" applyFont="1" applyBorder="1" applyAlignment="1">
      <alignment horizontal="center" vertical="center" wrapText="1"/>
    </xf>
    <xf numFmtId="0" fontId="78" fillId="0" borderId="17" xfId="107" applyFont="1" applyBorder="1" applyAlignment="1">
      <alignment horizontal="center" vertical="center" wrapText="1"/>
    </xf>
    <xf numFmtId="0" fontId="78" fillId="0" borderId="1" xfId="107" applyFont="1" applyBorder="1" applyAlignment="1">
      <alignment horizontal="center" vertical="center" wrapText="1"/>
    </xf>
    <xf numFmtId="0" fontId="78" fillId="0" borderId="21" xfId="107" applyFont="1" applyBorder="1" applyAlignment="1">
      <alignment horizontal="center" vertical="center" wrapText="1"/>
    </xf>
    <xf numFmtId="0" fontId="78" fillId="0" borderId="4" xfId="107" applyFont="1" applyBorder="1" applyAlignment="1">
      <alignment horizontal="center" vertical="center" wrapText="1"/>
    </xf>
    <xf numFmtId="0" fontId="78" fillId="0" borderId="60" xfId="107" applyFont="1" applyBorder="1" applyAlignment="1">
      <alignment horizontal="center" vertical="center" wrapText="1"/>
    </xf>
    <xf numFmtId="0" fontId="75" fillId="0" borderId="18" xfId="107" applyFont="1" applyBorder="1" applyAlignment="1">
      <alignment horizontal="center" vertical="center" wrapText="1"/>
    </xf>
    <xf numFmtId="0" fontId="75" fillId="0" borderId="18" xfId="107" applyFont="1" applyBorder="1" applyAlignment="1">
      <alignment horizontal="distributed" vertical="center" wrapText="1"/>
    </xf>
    <xf numFmtId="0" fontId="75" fillId="0" borderId="15" xfId="107" applyFont="1" applyBorder="1" applyAlignment="1">
      <alignment horizontal="center" vertical="center" wrapText="1"/>
    </xf>
    <xf numFmtId="0" fontId="78" fillId="26" borderId="16" xfId="107" applyFont="1" applyFill="1" applyBorder="1" applyAlignment="1">
      <alignment horizontal="center" vertical="center" wrapText="1"/>
    </xf>
    <xf numFmtId="0" fontId="78" fillId="26" borderId="15" xfId="107" applyFont="1" applyFill="1" applyBorder="1" applyAlignment="1">
      <alignment horizontal="center" vertical="center" wrapText="1"/>
    </xf>
    <xf numFmtId="0" fontId="78" fillId="26" borderId="130" xfId="107" applyFont="1" applyFill="1" applyBorder="1" applyAlignment="1">
      <alignment horizontal="center" vertical="center" wrapText="1"/>
    </xf>
    <xf numFmtId="0" fontId="78" fillId="26" borderId="68" xfId="107" applyFont="1" applyFill="1" applyBorder="1" applyAlignment="1">
      <alignment horizontal="center" vertical="center" wrapText="1"/>
    </xf>
    <xf numFmtId="0" fontId="78" fillId="0" borderId="65" xfId="117" applyFont="1" applyBorder="1" applyAlignment="1">
      <alignment horizontal="center" vertical="center" wrapText="1"/>
    </xf>
    <xf numFmtId="0" fontId="78" fillId="0" borderId="57" xfId="117" applyFont="1" applyBorder="1" applyAlignment="1">
      <alignment horizontal="center" vertical="center" wrapText="1"/>
    </xf>
    <xf numFmtId="0" fontId="78" fillId="0" borderId="144" xfId="117" applyFont="1" applyBorder="1" applyAlignment="1">
      <alignment horizontal="center" vertical="center" wrapText="1"/>
    </xf>
    <xf numFmtId="0" fontId="78" fillId="0" borderId="24" xfId="119" applyFont="1" applyBorder="1" applyAlignment="1">
      <alignment horizontal="center" vertical="center" wrapText="1"/>
    </xf>
    <xf numFmtId="0" fontId="78" fillId="0" borderId="18" xfId="119" applyFont="1" applyBorder="1" applyAlignment="1">
      <alignment horizontal="center" vertical="center" wrapText="1"/>
    </xf>
    <xf numFmtId="0" fontId="78" fillId="0" borderId="24" xfId="126" applyFont="1" applyBorder="1" applyAlignment="1">
      <alignment horizontal="center" vertical="center" wrapText="1"/>
    </xf>
    <xf numFmtId="0" fontId="78" fillId="0" borderId="18" xfId="126" applyFont="1" applyBorder="1" applyAlignment="1">
      <alignment horizontal="center" vertical="center" wrapText="1"/>
    </xf>
    <xf numFmtId="49" fontId="78" fillId="0" borderId="16" xfId="119" applyNumberFormat="1" applyFont="1" applyBorder="1" applyAlignment="1">
      <alignment horizontal="center" vertical="center" wrapText="1"/>
    </xf>
    <xf numFmtId="0" fontId="78" fillId="0" borderId="55" xfId="119" applyFont="1" applyBorder="1" applyAlignment="1">
      <alignment horizontal="center" vertical="center" wrapText="1"/>
    </xf>
    <xf numFmtId="0" fontId="78" fillId="0" borderId="56" xfId="119" applyFont="1" applyBorder="1" applyAlignment="1">
      <alignment horizontal="center" vertical="center" wrapText="1"/>
    </xf>
    <xf numFmtId="0" fontId="78" fillId="0" borderId="30" xfId="119" applyFont="1" applyBorder="1" applyAlignment="1">
      <alignment horizontal="center" vertical="center" wrapText="1"/>
    </xf>
    <xf numFmtId="0" fontId="78" fillId="0" borderId="15" xfId="126" applyFont="1" applyBorder="1" applyAlignment="1">
      <alignment horizontal="center" vertical="center" wrapText="1"/>
    </xf>
    <xf numFmtId="0" fontId="112" fillId="0" borderId="24" xfId="119" applyFont="1" applyBorder="1" applyAlignment="1">
      <alignment horizontal="center" vertical="center" wrapText="1"/>
    </xf>
    <xf numFmtId="0" fontId="112" fillId="0" borderId="18" xfId="119" applyFont="1" applyBorder="1" applyAlignment="1">
      <alignment horizontal="center" vertical="center" wrapText="1"/>
    </xf>
    <xf numFmtId="49" fontId="78" fillId="0" borderId="24" xfId="195" applyNumberFormat="1" applyFont="1" applyFill="1" applyBorder="1" applyAlignment="1">
      <alignment horizontal="center" vertical="center" wrapText="1"/>
    </xf>
    <xf numFmtId="49" fontId="78" fillId="0" borderId="18" xfId="195" applyNumberFormat="1" applyFont="1" applyFill="1" applyBorder="1" applyAlignment="1">
      <alignment horizontal="center" vertical="center" wrapText="1"/>
    </xf>
    <xf numFmtId="0" fontId="78" fillId="0" borderId="30" xfId="107" applyFont="1" applyBorder="1" applyAlignment="1">
      <alignment horizontal="center" vertical="center" wrapText="1"/>
    </xf>
    <xf numFmtId="0" fontId="78" fillId="0" borderId="148" xfId="107" applyFont="1" applyBorder="1" applyAlignment="1">
      <alignment horizontal="center" vertical="center"/>
    </xf>
    <xf numFmtId="0" fontId="78" fillId="0" borderId="148" xfId="126" applyFont="1" applyBorder="1">
      <alignment vertical="center"/>
    </xf>
    <xf numFmtId="0" fontId="78" fillId="0" borderId="26" xfId="119" applyFont="1" applyBorder="1" applyAlignment="1">
      <alignment horizontal="center" vertical="center" wrapText="1"/>
    </xf>
    <xf numFmtId="0" fontId="78" fillId="0" borderId="130" xfId="126" applyFont="1" applyBorder="1" applyAlignment="1">
      <alignment horizontal="center" vertical="center" wrapText="1"/>
    </xf>
    <xf numFmtId="0" fontId="78" fillId="0" borderId="17" xfId="126" applyFont="1" applyBorder="1" applyAlignment="1">
      <alignment horizontal="center" vertical="center" wrapText="1"/>
    </xf>
    <xf numFmtId="0" fontId="78" fillId="0" borderId="65" xfId="126" applyFont="1" applyBorder="1" applyAlignment="1">
      <alignment vertical="center" wrapText="1"/>
    </xf>
    <xf numFmtId="0" fontId="78" fillId="0" borderId="57" xfId="126" applyFont="1" applyBorder="1" applyAlignment="1">
      <alignment vertical="center" wrapText="1"/>
    </xf>
    <xf numFmtId="0" fontId="78" fillId="0" borderId="58" xfId="126" applyFont="1" applyBorder="1" applyAlignment="1">
      <alignment vertical="center" wrapText="1"/>
    </xf>
    <xf numFmtId="0" fontId="112" fillId="0" borderId="24" xfId="126" applyFont="1" applyBorder="1" applyAlignment="1">
      <alignment vertical="center" wrapText="1"/>
    </xf>
    <xf numFmtId="0" fontId="77" fillId="0" borderId="18" xfId="126" applyFont="1" applyBorder="1" applyAlignment="1">
      <alignment vertical="center" wrapText="1"/>
    </xf>
    <xf numFmtId="0" fontId="112" fillId="0" borderId="18" xfId="126" applyFont="1" applyBorder="1" applyAlignment="1">
      <alignment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5" xfId="126" applyFont="1" applyBorder="1" applyAlignment="1">
      <alignment vertical="center" wrapText="1"/>
    </xf>
    <xf numFmtId="0" fontId="77" fillId="0" borderId="16" xfId="126" applyFont="1" applyBorder="1" applyAlignment="1">
      <alignment vertical="center" wrapText="1"/>
    </xf>
    <xf numFmtId="0" fontId="112" fillId="0" borderId="65" xfId="126" applyFont="1" applyBorder="1" applyAlignment="1">
      <alignment horizontal="center" vertical="center" wrapText="1"/>
    </xf>
    <xf numFmtId="0" fontId="112" fillId="0" borderId="206" xfId="126" applyFont="1" applyBorder="1" applyAlignment="1">
      <alignment horizontal="center" vertical="center" wrapText="1"/>
    </xf>
    <xf numFmtId="0" fontId="112" fillId="0" borderId="33" xfId="126" applyFont="1" applyBorder="1" applyAlignment="1">
      <alignment horizontal="center" vertical="center" wrapText="1"/>
    </xf>
    <xf numFmtId="0" fontId="112" fillId="0" borderId="18" xfId="126" applyFont="1" applyBorder="1" applyAlignment="1">
      <alignment horizontal="center" vertical="center" wrapText="1"/>
    </xf>
    <xf numFmtId="0" fontId="77" fillId="0" borderId="18" xfId="126" applyFont="1" applyBorder="1" applyAlignment="1">
      <alignment horizontal="center" vertical="center" wrapText="1"/>
    </xf>
    <xf numFmtId="0" fontId="77" fillId="0" borderId="132" xfId="126" applyFont="1" applyBorder="1" applyAlignment="1">
      <alignment horizontal="center" vertical="center" wrapText="1"/>
    </xf>
    <xf numFmtId="0" fontId="77" fillId="0" borderId="206" xfId="126" applyFont="1" applyBorder="1" applyAlignment="1">
      <alignment horizontal="center" vertical="center" wrapText="1"/>
    </xf>
    <xf numFmtId="0" fontId="77" fillId="0" borderId="33" xfId="126" applyFont="1" applyBorder="1" applyAlignment="1">
      <alignment horizontal="center" vertical="center" wrapText="1"/>
    </xf>
    <xf numFmtId="0" fontId="112" fillId="0" borderId="30" xfId="126" applyFont="1" applyBorder="1" applyAlignment="1">
      <alignment horizontal="center" vertical="center" wrapText="1"/>
    </xf>
    <xf numFmtId="0" fontId="112" fillId="0" borderId="14" xfId="126" applyFont="1" applyBorder="1" applyAlignment="1">
      <alignment horizontal="center" vertical="center" wrapText="1"/>
    </xf>
    <xf numFmtId="0" fontId="112" fillId="0" borderId="15" xfId="126" applyFont="1" applyBorder="1" applyAlignment="1">
      <alignment horizontal="center" vertical="center" wrapText="1"/>
    </xf>
    <xf numFmtId="0" fontId="78" fillId="0" borderId="130" xfId="119" applyFont="1" applyBorder="1" applyAlignment="1">
      <alignment horizontal="center" vertical="center" wrapText="1"/>
    </xf>
    <xf numFmtId="0" fontId="78" fillId="0" borderId="17" xfId="119" applyFont="1" applyBorder="1" applyAlignment="1">
      <alignment horizontal="center" vertical="center" wrapText="1"/>
    </xf>
    <xf numFmtId="0" fontId="77" fillId="0" borderId="24" xfId="126" applyFont="1" applyBorder="1" applyAlignment="1">
      <alignment vertical="center" wrapText="1"/>
    </xf>
    <xf numFmtId="0" fontId="78" fillId="0" borderId="65" xfId="126" applyFont="1" applyBorder="1" applyAlignment="1">
      <alignment horizontal="center" vertical="center" wrapText="1"/>
    </xf>
    <xf numFmtId="0" fontId="78" fillId="0" borderId="57" xfId="126" applyFont="1" applyBorder="1" applyAlignment="1">
      <alignment horizontal="center" vertical="center" wrapText="1"/>
    </xf>
    <xf numFmtId="0" fontId="78" fillId="0" borderId="58" xfId="126" applyFont="1" applyBorder="1" applyAlignment="1">
      <alignment horizontal="center" vertical="center" wrapText="1"/>
    </xf>
    <xf numFmtId="0" fontId="78" fillId="0" borderId="24" xfId="126" applyFont="1" applyBorder="1" applyAlignment="1">
      <alignment vertical="center" wrapText="1"/>
    </xf>
    <xf numFmtId="0" fontId="78" fillId="0" borderId="18" xfId="126" applyFont="1" applyBorder="1">
      <alignment vertical="center"/>
    </xf>
    <xf numFmtId="0" fontId="78" fillId="0" borderId="144" xfId="126" applyFont="1" applyBorder="1" applyAlignment="1">
      <alignment vertical="center" wrapText="1"/>
    </xf>
    <xf numFmtId="0" fontId="78" fillId="0" borderId="18" xfId="126" applyFont="1" applyBorder="1" applyAlignment="1">
      <alignment vertical="center" wrapText="1"/>
    </xf>
    <xf numFmtId="0" fontId="78" fillId="0" borderId="34" xfId="107" applyFont="1" applyBorder="1" applyAlignment="1">
      <alignment horizontal="center" vertical="center"/>
    </xf>
    <xf numFmtId="0" fontId="78" fillId="0" borderId="34" xfId="126" applyFont="1" applyBorder="1">
      <alignment vertical="center"/>
    </xf>
    <xf numFmtId="0" fontId="78" fillId="0" borderId="218" xfId="119" applyFont="1" applyBorder="1" applyAlignment="1">
      <alignment horizontal="center" vertical="center" wrapText="1"/>
    </xf>
    <xf numFmtId="0" fontId="78" fillId="0" borderId="219" xfId="126" applyFont="1" applyBorder="1" applyAlignment="1">
      <alignment horizontal="center" vertical="center" wrapText="1"/>
    </xf>
    <xf numFmtId="0" fontId="78" fillId="0" borderId="23" xfId="126" applyFont="1" applyBorder="1" applyAlignment="1">
      <alignment horizontal="center" vertical="center" wrapText="1"/>
    </xf>
    <xf numFmtId="0" fontId="78" fillId="0" borderId="22" xfId="126" applyFont="1" applyBorder="1" applyAlignment="1">
      <alignment horizontal="center" vertical="center" wrapText="1"/>
    </xf>
    <xf numFmtId="0" fontId="78" fillId="0" borderId="30" xfId="126" applyFont="1" applyBorder="1" applyAlignment="1">
      <alignment horizontal="center" vertical="center" wrapText="1"/>
    </xf>
    <xf numFmtId="0" fontId="78" fillId="0" borderId="14" xfId="126" applyFont="1" applyBorder="1" applyAlignment="1">
      <alignment horizontal="center" vertical="center" wrapText="1"/>
    </xf>
    <xf numFmtId="0" fontId="78" fillId="0" borderId="27" xfId="107" applyFont="1" applyBorder="1" applyAlignment="1">
      <alignment horizontal="center" vertical="center"/>
    </xf>
    <xf numFmtId="0" fontId="78" fillId="0" borderId="27" xfId="107" applyFont="1" applyBorder="1" applyAlignment="1">
      <alignment horizontal="center" vertical="center" wrapText="1"/>
    </xf>
    <xf numFmtId="0" fontId="78" fillId="0" borderId="34" xfId="126" applyFont="1" applyBorder="1" applyAlignment="1">
      <alignment vertical="center" wrapText="1"/>
    </xf>
    <xf numFmtId="0" fontId="78" fillId="0" borderId="16" xfId="126" applyFont="1" applyBorder="1" applyAlignment="1">
      <alignment horizontal="center" vertical="center" wrapText="1"/>
    </xf>
    <xf numFmtId="0" fontId="78" fillId="0" borderId="15" xfId="126" applyFont="1" applyBorder="1" applyAlignment="1">
      <alignment vertical="center" wrapText="1"/>
    </xf>
    <xf numFmtId="0" fontId="78" fillId="0" borderId="147" xfId="107" applyFont="1" applyBorder="1" applyAlignment="1">
      <alignment horizontal="center" vertical="center"/>
    </xf>
    <xf numFmtId="0" fontId="78" fillId="0" borderId="155" xfId="119" applyFont="1" applyBorder="1" applyAlignment="1">
      <alignment horizontal="center" vertical="center" wrapText="1"/>
    </xf>
    <xf numFmtId="0" fontId="78" fillId="0" borderId="156" xfId="119" applyFont="1" applyBorder="1" applyAlignment="1">
      <alignment horizontal="center" vertical="center" wrapText="1"/>
    </xf>
    <xf numFmtId="0" fontId="78" fillId="0" borderId="220" xfId="119" applyFont="1" applyBorder="1" applyAlignment="1">
      <alignment horizontal="center" vertical="center" wrapText="1"/>
    </xf>
    <xf numFmtId="0" fontId="78" fillId="0" borderId="58" xfId="107" applyFont="1" applyBorder="1" applyAlignment="1">
      <alignment horizontal="center" vertical="center"/>
    </xf>
    <xf numFmtId="0" fontId="78" fillId="0" borderId="221" xfId="107" applyFont="1" applyBorder="1" applyAlignment="1">
      <alignment horizontal="center" vertical="center"/>
    </xf>
    <xf numFmtId="0" fontId="78" fillId="0" borderId="221" xfId="126" applyFont="1" applyBorder="1">
      <alignment vertical="center"/>
    </xf>
    <xf numFmtId="0" fontId="78" fillId="0" borderId="222" xfId="126" applyFont="1" applyBorder="1">
      <alignment vertical="center"/>
    </xf>
    <xf numFmtId="0" fontId="78" fillId="0" borderId="164" xfId="119" applyFont="1" applyBorder="1" applyAlignment="1">
      <alignment horizontal="center" vertical="center" wrapText="1"/>
    </xf>
    <xf numFmtId="0" fontId="78" fillId="0" borderId="0" xfId="126" applyFont="1" applyAlignment="1">
      <alignment horizontal="center" vertical="center" wrapText="1"/>
    </xf>
    <xf numFmtId="0" fontId="78" fillId="0" borderId="30" xfId="126" applyFont="1" applyBorder="1" applyAlignment="1">
      <alignment vertical="center" wrapText="1"/>
    </xf>
    <xf numFmtId="0" fontId="78" fillId="0" borderId="14" xfId="126" applyFont="1" applyBorder="1" applyAlignment="1">
      <alignment vertical="center" wrapText="1"/>
    </xf>
    <xf numFmtId="0" fontId="78" fillId="0" borderId="16" xfId="126" applyFont="1" applyBorder="1" applyAlignment="1">
      <alignment vertical="center" wrapText="1"/>
    </xf>
    <xf numFmtId="0" fontId="78" fillId="0" borderId="132" xfId="126" applyFont="1" applyBorder="1" applyAlignment="1">
      <alignment vertical="center" wrapText="1"/>
    </xf>
    <xf numFmtId="0" fontId="78" fillId="0" borderId="206" xfId="126" applyFont="1" applyBorder="1" applyAlignment="1">
      <alignment vertical="center" wrapText="1"/>
    </xf>
    <xf numFmtId="0" fontId="78" fillId="0" borderId="33" xfId="126" applyFont="1" applyBorder="1" applyAlignment="1">
      <alignment vertical="center" wrapText="1"/>
    </xf>
    <xf numFmtId="0" fontId="78" fillId="0" borderId="132" xfId="126" applyFont="1" applyBorder="1" applyAlignment="1">
      <alignment horizontal="center" vertical="center" wrapText="1"/>
    </xf>
    <xf numFmtId="0" fontId="78" fillId="0" borderId="206" xfId="126" applyFont="1" applyBorder="1" applyAlignment="1">
      <alignment horizontal="center" vertical="center" wrapText="1"/>
    </xf>
    <xf numFmtId="0" fontId="78" fillId="0" borderId="33" xfId="126" applyFont="1" applyBorder="1" applyAlignment="1">
      <alignment horizontal="center" vertical="center" wrapText="1"/>
    </xf>
    <xf numFmtId="0" fontId="78" fillId="0" borderId="0" xfId="119" applyFont="1" applyAlignment="1">
      <alignment horizontal="center" vertical="center" wrapText="1"/>
    </xf>
    <xf numFmtId="0" fontId="78" fillId="0" borderId="14" xfId="126" applyFont="1" applyBorder="1">
      <alignment vertical="center"/>
    </xf>
    <xf numFmtId="0" fontId="78" fillId="0" borderId="15" xfId="126" applyFont="1" applyBorder="1">
      <alignment vertical="center"/>
    </xf>
    <xf numFmtId="0" fontId="78" fillId="0" borderId="3" xfId="107" applyFont="1" applyBorder="1" applyAlignment="1">
      <alignment horizontal="center" vertical="center"/>
    </xf>
    <xf numFmtId="0" fontId="78" fillId="0" borderId="3" xfId="126" applyFont="1" applyBorder="1">
      <alignment vertical="center"/>
    </xf>
    <xf numFmtId="0" fontId="78" fillId="0" borderId="163" xfId="126" applyFont="1" applyBorder="1">
      <alignment vertical="center"/>
    </xf>
    <xf numFmtId="0" fontId="78" fillId="0" borderId="18" xfId="107" applyFont="1" applyBorder="1" applyAlignment="1">
      <alignment horizontal="center" vertical="center"/>
    </xf>
    <xf numFmtId="0" fontId="78" fillId="0" borderId="167" xfId="107" applyFont="1" applyBorder="1" applyAlignment="1">
      <alignment horizontal="center" vertical="center" wrapText="1"/>
    </xf>
    <xf numFmtId="0" fontId="78" fillId="0" borderId="25" xfId="107" applyFont="1" applyBorder="1" applyAlignment="1">
      <alignment horizontal="center" vertical="center" wrapText="1"/>
    </xf>
    <xf numFmtId="49" fontId="78" fillId="0" borderId="223" xfId="119" applyNumberFormat="1" applyFont="1" applyBorder="1" applyAlignment="1">
      <alignment horizontal="center" vertical="center" wrapText="1"/>
    </xf>
    <xf numFmtId="0" fontId="79" fillId="0" borderId="0" xfId="0" applyFont="1"/>
    <xf numFmtId="0" fontId="78" fillId="0" borderId="24" xfId="148" applyFont="1" applyBorder="1" applyAlignment="1">
      <alignment horizontal="center" vertical="center" wrapText="1"/>
    </xf>
    <xf numFmtId="0" fontId="78" fillId="0" borderId="18" xfId="148" applyFont="1" applyBorder="1" applyAlignment="1">
      <alignment horizontal="center" vertical="center" wrapText="1"/>
    </xf>
    <xf numFmtId="0" fontId="77" fillId="0" borderId="27" xfId="126" applyFont="1" applyBorder="1" applyAlignment="1">
      <alignment horizontal="center" vertical="center" wrapText="1"/>
    </xf>
    <xf numFmtId="0" fontId="78" fillId="0" borderId="132" xfId="148" applyFont="1" applyBorder="1" applyAlignment="1">
      <alignment horizontal="center" vertical="center" wrapText="1"/>
    </xf>
    <xf numFmtId="0" fontId="78" fillId="0" borderId="206" xfId="148" applyFont="1" applyBorder="1" applyAlignment="1">
      <alignment horizontal="center" vertical="center" wrapText="1"/>
    </xf>
    <xf numFmtId="0" fontId="78" fillId="0" borderId="218" xfId="107" applyFont="1" applyBorder="1" applyAlignment="1">
      <alignment horizontal="center" vertical="center" wrapText="1"/>
    </xf>
    <xf numFmtId="0" fontId="79" fillId="0" borderId="164" xfId="0" applyFont="1" applyBorder="1"/>
    <xf numFmtId="0" fontId="77" fillId="0" borderId="167" xfId="126" applyFont="1" applyBorder="1" applyAlignment="1">
      <alignment horizontal="center" vertical="center" wrapText="1"/>
    </xf>
    <xf numFmtId="0" fontId="78" fillId="0" borderId="155" xfId="107" applyFont="1" applyBorder="1" applyAlignment="1">
      <alignment horizontal="center" vertical="center" wrapText="1"/>
    </xf>
    <xf numFmtId="0" fontId="77" fillId="0" borderId="25" xfId="126" applyFont="1" applyBorder="1" applyAlignment="1">
      <alignment horizontal="center" vertical="center" wrapText="1"/>
    </xf>
    <xf numFmtId="0" fontId="78" fillId="0" borderId="223" xfId="107" applyFont="1" applyBorder="1" applyAlignment="1">
      <alignment horizontal="center" vertical="center" wrapText="1"/>
    </xf>
    <xf numFmtId="0" fontId="79" fillId="0" borderId="3" xfId="0" applyFont="1" applyBorder="1"/>
    <xf numFmtId="0" fontId="78" fillId="0" borderId="30" xfId="148" applyFont="1" applyBorder="1" applyAlignment="1">
      <alignment horizontal="center" vertical="center" wrapText="1"/>
    </xf>
    <xf numFmtId="0" fontId="77" fillId="0" borderId="14" xfId="126" applyFont="1" applyBorder="1" applyAlignment="1">
      <alignment horizontal="center" vertical="center" wrapText="1"/>
    </xf>
    <xf numFmtId="0" fontId="77" fillId="0" borderId="15" xfId="126" applyFont="1" applyBorder="1" applyAlignment="1">
      <alignment horizontal="center" vertical="center" wrapText="1"/>
    </xf>
    <xf numFmtId="0" fontId="78" fillId="0" borderId="59" xfId="124" applyFont="1" applyBorder="1">
      <alignment vertical="center"/>
    </xf>
    <xf numFmtId="0" fontId="78" fillId="0" borderId="223" xfId="126" applyFont="1" applyBorder="1" applyAlignment="1">
      <alignment horizontal="left" vertical="center" wrapText="1"/>
    </xf>
    <xf numFmtId="0" fontId="78" fillId="0" borderId="71" xfId="126" applyFont="1" applyBorder="1" applyAlignment="1">
      <alignment horizontal="left" vertical="center"/>
    </xf>
    <xf numFmtId="0" fontId="78" fillId="0" borderId="27" xfId="148" applyFont="1" applyBorder="1" applyAlignment="1">
      <alignment horizontal="center" vertical="center" wrapText="1"/>
    </xf>
    <xf numFmtId="0" fontId="78" fillId="0" borderId="34" xfId="107" applyFont="1" applyBorder="1" applyAlignment="1">
      <alignment horizontal="center" vertical="center" wrapText="1"/>
    </xf>
    <xf numFmtId="0" fontId="77" fillId="0" borderId="223" xfId="126" applyFont="1" applyBorder="1" applyAlignment="1">
      <alignment horizontal="center" vertical="center" wrapText="1"/>
    </xf>
    <xf numFmtId="0" fontId="78" fillId="0" borderId="65" xfId="148" applyFont="1" applyBorder="1" applyAlignment="1">
      <alignment horizontal="center" vertical="center" wrapText="1"/>
    </xf>
    <xf numFmtId="0" fontId="78" fillId="0" borderId="57" xfId="148" applyFont="1" applyBorder="1" applyAlignment="1">
      <alignment horizontal="center" vertical="center" wrapText="1"/>
    </xf>
    <xf numFmtId="0" fontId="78" fillId="0" borderId="144" xfId="148" applyFont="1" applyBorder="1" applyAlignment="1">
      <alignment horizontal="center" vertical="center" wrapText="1"/>
    </xf>
    <xf numFmtId="0" fontId="78" fillId="0" borderId="24" xfId="107" applyFont="1" applyBorder="1" applyAlignment="1">
      <alignment horizontal="center" vertical="center" wrapText="1"/>
    </xf>
    <xf numFmtId="0" fontId="78" fillId="0" borderId="26" xfId="107" applyFont="1" applyBorder="1" applyAlignment="1">
      <alignment horizontal="center" vertical="center" wrapText="1"/>
    </xf>
    <xf numFmtId="0" fontId="78" fillId="0" borderId="161" xfId="107" applyFont="1" applyBorder="1" applyAlignment="1">
      <alignment horizontal="center" vertical="center" wrapText="1"/>
    </xf>
    <xf numFmtId="0" fontId="78" fillId="0" borderId="55" xfId="107" applyFont="1" applyBorder="1" applyAlignment="1">
      <alignment horizontal="center" vertical="center" wrapText="1"/>
    </xf>
    <xf numFmtId="49" fontId="78" fillId="0" borderId="17" xfId="119" applyNumberFormat="1" applyFont="1" applyBorder="1" applyAlignment="1">
      <alignment horizontal="center" vertical="center" wrapText="1"/>
    </xf>
    <xf numFmtId="0" fontId="77" fillId="0" borderId="24" xfId="126" applyFont="1" applyBorder="1" applyAlignment="1">
      <alignment horizontal="center" vertical="center" wrapText="1"/>
    </xf>
    <xf numFmtId="0" fontId="78" fillId="0" borderId="65" xfId="107" applyFont="1" applyBorder="1" applyAlignment="1">
      <alignment horizontal="center" vertical="center" wrapText="1"/>
    </xf>
    <xf numFmtId="0" fontId="77" fillId="0" borderId="55" xfId="126" applyFont="1" applyBorder="1" applyAlignment="1">
      <alignment horizontal="center" vertical="center" wrapText="1"/>
    </xf>
    <xf numFmtId="0" fontId="75" fillId="0" borderId="16" xfId="153" applyFont="1" applyBorder="1" applyAlignment="1">
      <alignment horizontal="center" vertical="center" wrapText="1"/>
    </xf>
    <xf numFmtId="0" fontId="75" fillId="0" borderId="14" xfId="101" applyFont="1" applyBorder="1" applyAlignment="1">
      <alignment horizontal="center" vertical="center" wrapText="1"/>
    </xf>
    <xf numFmtId="0" fontId="75" fillId="0" borderId="0" xfId="139" applyFont="1" applyAlignment="1">
      <alignment horizontal="left" wrapText="1"/>
    </xf>
    <xf numFmtId="0" fontId="89" fillId="0" borderId="18" xfId="136" applyFont="1" applyBorder="1" applyAlignment="1">
      <alignment horizontal="center" vertical="center"/>
    </xf>
    <xf numFmtId="0" fontId="75" fillId="0" borderId="14" xfId="98" applyFont="1" applyBorder="1" applyAlignment="1">
      <alignment horizontal="center" vertical="center" wrapText="1"/>
    </xf>
    <xf numFmtId="0" fontId="75" fillId="0" borderId="16" xfId="101" applyFont="1" applyBorder="1" applyAlignment="1">
      <alignment horizontal="center" vertical="center" wrapText="1"/>
    </xf>
    <xf numFmtId="0" fontId="75" fillId="0" borderId="16" xfId="98" applyFont="1" applyBorder="1" applyAlignment="1">
      <alignment horizontal="center" vertical="center" wrapText="1"/>
    </xf>
    <xf numFmtId="0" fontId="75" fillId="0" borderId="16" xfId="136" applyFont="1" applyBorder="1" applyAlignment="1">
      <alignment horizontal="center" vertical="center" wrapText="1"/>
    </xf>
    <xf numFmtId="0" fontId="75" fillId="0" borderId="14" xfId="136" applyFont="1" applyBorder="1" applyAlignment="1">
      <alignment horizontal="center" vertical="center" wrapText="1"/>
    </xf>
    <xf numFmtId="0" fontId="75" fillId="0" borderId="15" xfId="136" applyFont="1" applyBorder="1" applyAlignment="1">
      <alignment horizontal="center" vertical="center" wrapText="1"/>
    </xf>
    <xf numFmtId="0" fontId="75" fillId="0" borderId="18" xfId="136" applyFont="1" applyBorder="1" applyAlignment="1">
      <alignment horizontal="center" vertical="center"/>
    </xf>
    <xf numFmtId="0" fontId="75" fillId="0" borderId="130" xfId="136" applyFont="1" applyBorder="1" applyAlignment="1">
      <alignment horizontal="center" vertical="center"/>
    </xf>
    <xf numFmtId="0" fontId="75" fillId="0" borderId="20" xfId="136" applyFont="1" applyBorder="1" applyAlignment="1">
      <alignment horizontal="center" vertical="center"/>
    </xf>
    <xf numFmtId="0" fontId="75" fillId="0" borderId="68" xfId="136" applyFont="1" applyBorder="1" applyAlignment="1">
      <alignment horizontal="center" vertical="center"/>
    </xf>
    <xf numFmtId="0" fontId="75" fillId="0" borderId="14" xfId="102" applyFont="1" applyBorder="1" applyAlignment="1">
      <alignment horizontal="center" vertical="center" wrapText="1"/>
    </xf>
    <xf numFmtId="0" fontId="75" fillId="0" borderId="16" xfId="102" applyFont="1" applyBorder="1" applyAlignment="1">
      <alignment horizontal="center" vertical="center" wrapText="1"/>
    </xf>
    <xf numFmtId="0" fontId="89" fillId="0" borderId="130" xfId="136" applyFont="1" applyBorder="1" applyAlignment="1">
      <alignment horizontal="center" vertical="center"/>
    </xf>
    <xf numFmtId="0" fontId="89" fillId="0" borderId="20" xfId="136" applyFont="1" applyBorder="1" applyAlignment="1">
      <alignment horizontal="center" vertical="center"/>
    </xf>
    <xf numFmtId="0" fontId="89" fillId="0" borderId="68" xfId="136" applyFont="1" applyBorder="1" applyAlignment="1">
      <alignment horizontal="center" vertical="center"/>
    </xf>
    <xf numFmtId="0" fontId="75" fillId="0" borderId="16" xfId="139" applyFont="1" applyBorder="1" applyAlignment="1">
      <alignment horizontal="center" vertical="center" wrapText="1"/>
    </xf>
    <xf numFmtId="0" fontId="75" fillId="0" borderId="14" xfId="139" applyFont="1" applyBorder="1" applyAlignment="1">
      <alignment horizontal="center" vertical="center" wrapText="1"/>
    </xf>
    <xf numFmtId="0" fontId="33" fillId="0" borderId="16" xfId="153" applyFont="1" applyBorder="1" applyAlignment="1">
      <alignment horizontal="center" vertical="center" wrapText="1"/>
    </xf>
    <xf numFmtId="0" fontId="33" fillId="0" borderId="14" xfId="99" applyFont="1" applyBorder="1" applyAlignment="1">
      <alignment horizontal="center" vertical="center" wrapText="1"/>
    </xf>
    <xf numFmtId="0" fontId="81" fillId="0" borderId="16" xfId="139" applyFont="1" applyBorder="1" applyAlignment="1">
      <alignment horizontal="distributed" vertical="center" wrapText="1"/>
    </xf>
    <xf numFmtId="0" fontId="81" fillId="0" borderId="14" xfId="139" applyFont="1" applyBorder="1" applyAlignment="1">
      <alignment horizontal="distributed" vertical="center" wrapText="1"/>
    </xf>
    <xf numFmtId="0" fontId="74" fillId="0" borderId="15" xfId="140" applyFont="1" applyBorder="1" applyAlignment="1">
      <alignment horizontal="distributed" vertical="center" wrapText="1"/>
    </xf>
    <xf numFmtId="0" fontId="81" fillId="0" borderId="130" xfId="153" applyFont="1" applyBorder="1" applyAlignment="1">
      <alignment horizontal="center" vertical="center" wrapText="1"/>
    </xf>
    <xf numFmtId="0" fontId="81" fillId="0" borderId="20" xfId="153" applyFont="1" applyBorder="1" applyAlignment="1">
      <alignment horizontal="center" vertical="center" wrapText="1"/>
    </xf>
    <xf numFmtId="0" fontId="81" fillId="0" borderId="68" xfId="153" applyFont="1" applyBorder="1" applyAlignment="1">
      <alignment horizontal="center" vertical="center" wrapText="1"/>
    </xf>
    <xf numFmtId="0" fontId="81" fillId="0" borderId="130" xfId="99" applyFont="1" applyBorder="1" applyAlignment="1">
      <alignment horizontal="center" vertical="center" wrapText="1"/>
    </xf>
    <xf numFmtId="0" fontId="74" fillId="0" borderId="20" xfId="0" applyFont="1" applyBorder="1" applyAlignment="1">
      <alignment horizontal="center" vertical="center" wrapText="1"/>
    </xf>
    <xf numFmtId="0" fontId="74" fillId="0" borderId="68" xfId="0" applyFont="1" applyBorder="1" applyAlignment="1">
      <alignment horizontal="center" vertical="center" wrapText="1"/>
    </xf>
    <xf numFmtId="0" fontId="81" fillId="0" borderId="16" xfId="99" applyFont="1" applyBorder="1" applyAlignment="1">
      <alignment horizontal="center" vertical="center" wrapText="1"/>
    </xf>
    <xf numFmtId="0" fontId="74" fillId="0" borderId="15" xfId="0" applyFont="1" applyBorder="1" applyAlignment="1">
      <alignment horizontal="center" vertical="center" wrapText="1"/>
    </xf>
    <xf numFmtId="0" fontId="81" fillId="0" borderId="16" xfId="139" applyFont="1" applyBorder="1" applyAlignment="1">
      <alignment horizontal="center" vertical="center" wrapText="1"/>
    </xf>
    <xf numFmtId="0" fontId="81" fillId="0" borderId="14" xfId="139" applyFont="1" applyBorder="1" applyAlignment="1">
      <alignment horizontal="center" vertical="center" wrapText="1"/>
    </xf>
    <xf numFmtId="0" fontId="81" fillId="0" borderId="15" xfId="139" applyFont="1" applyBorder="1" applyAlignment="1">
      <alignment horizontal="center" vertical="center" wrapText="1"/>
    </xf>
    <xf numFmtId="0" fontId="131" fillId="0" borderId="16" xfId="99" applyFont="1" applyBorder="1" applyAlignment="1">
      <alignment horizontal="center" vertical="center" wrapText="1"/>
    </xf>
    <xf numFmtId="0" fontId="124" fillId="0" borderId="14" xfId="99" applyFont="1" applyBorder="1" applyAlignment="1">
      <alignment horizontal="center" vertical="center" wrapText="1"/>
    </xf>
    <xf numFmtId="0" fontId="124" fillId="0" borderId="15" xfId="99" applyFont="1" applyBorder="1" applyAlignment="1">
      <alignment horizontal="center" vertical="center" wrapText="1"/>
    </xf>
    <xf numFmtId="0" fontId="81" fillId="0" borderId="0" xfId="139" applyFont="1" applyAlignment="1">
      <alignment horizontal="left" wrapText="1"/>
    </xf>
    <xf numFmtId="0" fontId="74" fillId="0" borderId="0" xfId="140" applyFont="1" applyAlignment="1">
      <alignment horizontal="left" wrapText="1"/>
    </xf>
    <xf numFmtId="182" fontId="81" fillId="0" borderId="205" xfId="153" applyNumberFormat="1" applyFont="1" applyBorder="1" applyAlignment="1" applyProtection="1">
      <alignment vertical="center"/>
      <protection locked="0"/>
    </xf>
    <xf numFmtId="182" fontId="81" fillId="0" borderId="204" xfId="153" applyNumberFormat="1" applyFont="1" applyBorder="1" applyAlignment="1" applyProtection="1">
      <alignment vertical="center"/>
      <protection locked="0"/>
    </xf>
    <xf numFmtId="182" fontId="81" fillId="0" borderId="224" xfId="153" applyNumberFormat="1" applyFont="1" applyBorder="1" applyAlignment="1" applyProtection="1">
      <alignment vertical="center"/>
      <protection locked="0"/>
    </xf>
    <xf numFmtId="182" fontId="81" fillId="0" borderId="225" xfId="153" applyNumberFormat="1" applyFont="1" applyBorder="1" applyAlignment="1" applyProtection="1">
      <alignment vertical="center"/>
      <protection locked="0"/>
    </xf>
    <xf numFmtId="182" fontId="81" fillId="0" borderId="226" xfId="153" applyNumberFormat="1" applyFont="1" applyBorder="1" applyAlignment="1" applyProtection="1">
      <alignment vertical="center"/>
      <protection locked="0"/>
    </xf>
    <xf numFmtId="182" fontId="81" fillId="0" borderId="227" xfId="153" applyNumberFormat="1" applyFont="1" applyBorder="1" applyAlignment="1" applyProtection="1">
      <alignment vertical="center"/>
      <protection locked="0"/>
    </xf>
    <xf numFmtId="182" fontId="81" fillId="0" borderId="228" xfId="153" applyNumberFormat="1" applyFont="1" applyBorder="1" applyAlignment="1" applyProtection="1">
      <alignment vertical="center"/>
      <protection locked="0"/>
    </xf>
    <xf numFmtId="182" fontId="81" fillId="0" borderId="229" xfId="153" applyNumberFormat="1" applyFont="1" applyBorder="1" applyAlignment="1" applyProtection="1">
      <alignment vertical="center"/>
      <protection locked="0"/>
    </xf>
    <xf numFmtId="182" fontId="81" fillId="0" borderId="185" xfId="153" applyNumberFormat="1" applyFont="1" applyBorder="1" applyAlignment="1" applyProtection="1">
      <alignment vertical="center"/>
      <protection locked="0"/>
    </xf>
    <xf numFmtId="0" fontId="81" fillId="0" borderId="130" xfId="136" applyFont="1" applyBorder="1" applyAlignment="1">
      <alignment horizontal="center" vertical="center"/>
    </xf>
    <xf numFmtId="0" fontId="81" fillId="0" borderId="20" xfId="136" applyFont="1" applyBorder="1" applyAlignment="1">
      <alignment horizontal="center" vertical="center"/>
    </xf>
    <xf numFmtId="0" fontId="81" fillId="0" borderId="16" xfId="136" applyFont="1" applyBorder="1" applyAlignment="1">
      <alignment horizontal="center" vertical="center" wrapText="1"/>
    </xf>
    <xf numFmtId="0" fontId="81" fillId="0" borderId="14" xfId="136" applyFont="1" applyBorder="1" applyAlignment="1">
      <alignment horizontal="center" vertical="center" wrapText="1"/>
    </xf>
    <xf numFmtId="0" fontId="81" fillId="0" borderId="15" xfId="136" applyFont="1" applyBorder="1" applyAlignment="1">
      <alignment horizontal="center" vertical="center" wrapText="1"/>
    </xf>
    <xf numFmtId="0" fontId="81" fillId="0" borderId="18" xfId="136" applyFont="1" applyBorder="1" applyAlignment="1">
      <alignment horizontal="center" vertical="center"/>
    </xf>
    <xf numFmtId="0" fontId="81" fillId="0" borderId="16" xfId="153" applyFont="1" applyBorder="1" applyAlignment="1">
      <alignment horizontal="center" vertical="center" wrapText="1"/>
    </xf>
    <xf numFmtId="0" fontId="81" fillId="0" borderId="14" xfId="99" applyFont="1" applyBorder="1" applyAlignment="1">
      <alignment horizontal="center" vertical="center" wrapText="1"/>
    </xf>
    <xf numFmtId="0" fontId="81" fillId="0" borderId="18" xfId="99" applyFont="1" applyBorder="1" applyAlignment="1">
      <alignment horizontal="center" vertical="center" wrapText="1"/>
    </xf>
    <xf numFmtId="0" fontId="74" fillId="0" borderId="18" xfId="0" applyFont="1" applyBorder="1" applyAlignment="1">
      <alignment horizontal="center" vertical="center" wrapText="1"/>
    </xf>
    <xf numFmtId="0" fontId="79" fillId="0" borderId="0" xfId="140" applyFont="1" applyAlignment="1">
      <alignment horizontal="left" wrapText="1"/>
    </xf>
    <xf numFmtId="0" fontId="87" fillId="0" borderId="0" xfId="139" quotePrefix="1" applyFont="1" applyAlignment="1">
      <alignment horizontal="left" wrapText="1"/>
    </xf>
    <xf numFmtId="0" fontId="111" fillId="0" borderId="0" xfId="139" applyFont="1" applyAlignment="1">
      <alignment horizontal="left" wrapText="1"/>
    </xf>
    <xf numFmtId="0" fontId="75" fillId="0" borderId="130" xfId="153" applyFont="1" applyBorder="1" applyAlignment="1">
      <alignment horizontal="center" vertical="center" wrapText="1"/>
    </xf>
    <xf numFmtId="0" fontId="79" fillId="0" borderId="68" xfId="140" applyFont="1" applyBorder="1" applyAlignment="1">
      <alignment vertical="center" wrapText="1"/>
    </xf>
    <xf numFmtId="0" fontId="79" fillId="0" borderId="15" xfId="140" applyFont="1" applyBorder="1" applyAlignment="1">
      <alignment vertical="center" wrapText="1"/>
    </xf>
    <xf numFmtId="0" fontId="75" fillId="0" borderId="16" xfId="133" applyFont="1" applyBorder="1" applyAlignment="1">
      <alignment horizontal="center" vertical="center"/>
    </xf>
    <xf numFmtId="0" fontId="75" fillId="0" borderId="14" xfId="158" applyFont="1" applyBorder="1" applyAlignment="1">
      <alignment horizontal="center" vertical="center"/>
    </xf>
    <xf numFmtId="0" fontId="75" fillId="0" borderId="15" xfId="158" applyFont="1" applyBorder="1" applyAlignment="1">
      <alignment horizontal="center" vertical="center"/>
    </xf>
    <xf numFmtId="0" fontId="75" fillId="0" borderId="16" xfId="158" applyFont="1" applyBorder="1" applyAlignment="1">
      <alignment horizontal="distributed" vertical="center"/>
    </xf>
    <xf numFmtId="0" fontId="68" fillId="0" borderId="14" xfId="158" applyFont="1" applyBorder="1"/>
    <xf numFmtId="0" fontId="68" fillId="0" borderId="15" xfId="158" applyFont="1" applyBorder="1"/>
    <xf numFmtId="0" fontId="75" fillId="0" borderId="130" xfId="158" applyFont="1" applyBorder="1" applyAlignment="1">
      <alignment horizontal="center"/>
    </xf>
    <xf numFmtId="0" fontId="68" fillId="0" borderId="20" xfId="158" applyFont="1" applyBorder="1" applyAlignment="1">
      <alignment horizontal="center"/>
    </xf>
    <xf numFmtId="0" fontId="68" fillId="0" borderId="68" xfId="158" applyFont="1" applyBorder="1" applyAlignment="1">
      <alignment horizontal="center"/>
    </xf>
    <xf numFmtId="0" fontId="75" fillId="0" borderId="20" xfId="158" applyFont="1" applyBorder="1" applyAlignment="1">
      <alignment horizontal="center"/>
    </xf>
    <xf numFmtId="0" fontId="75" fillId="0" borderId="68" xfId="158" applyFont="1" applyBorder="1" applyAlignment="1">
      <alignment horizontal="center"/>
    </xf>
    <xf numFmtId="0" fontId="109" fillId="0" borderId="18" xfId="136" applyFont="1" applyBorder="1" applyAlignment="1">
      <alignment horizontal="center" vertical="center" wrapText="1"/>
    </xf>
    <xf numFmtId="0" fontId="75" fillId="0" borderId="130" xfId="155" applyFont="1" applyBorder="1" applyAlignment="1">
      <alignment horizontal="center" vertical="center"/>
    </xf>
    <xf numFmtId="0" fontId="75" fillId="0" borderId="17" xfId="158" applyFont="1" applyBorder="1" applyAlignment="1">
      <alignment horizontal="center"/>
    </xf>
    <xf numFmtId="0" fontId="75" fillId="0" borderId="17" xfId="158" applyFont="1" applyBorder="1" applyAlignment="1">
      <alignment horizontal="center" vertical="center"/>
    </xf>
    <xf numFmtId="0" fontId="75" fillId="0" borderId="1" xfId="158" applyFont="1" applyBorder="1" applyAlignment="1">
      <alignment horizontal="center" vertical="center"/>
    </xf>
    <xf numFmtId="0" fontId="75" fillId="0" borderId="21" xfId="158" applyFont="1" applyBorder="1" applyAlignment="1">
      <alignment horizontal="center" vertical="center"/>
    </xf>
    <xf numFmtId="0" fontId="75" fillId="0" borderId="23" xfId="158" applyFont="1" applyBorder="1" applyAlignment="1">
      <alignment horizontal="center" vertical="center"/>
    </xf>
    <xf numFmtId="0" fontId="75" fillId="0" borderId="19" xfId="158" applyFont="1" applyBorder="1" applyAlignment="1">
      <alignment horizontal="center" vertical="center"/>
    </xf>
    <xf numFmtId="0" fontId="75" fillId="0" borderId="22" xfId="158" applyFont="1" applyBorder="1" applyAlignment="1">
      <alignment horizontal="center" vertical="center"/>
    </xf>
    <xf numFmtId="0" fontId="109" fillId="0" borderId="16" xfId="136" applyFont="1" applyBorder="1" applyAlignment="1">
      <alignment horizontal="center" vertical="center" wrapText="1"/>
    </xf>
    <xf numFmtId="0" fontId="109" fillId="0" borderId="14" xfId="136" applyFont="1" applyBorder="1" applyAlignment="1">
      <alignment horizontal="center" vertical="center" wrapText="1"/>
    </xf>
    <xf numFmtId="0" fontId="109" fillId="0" borderId="15" xfId="136" applyFont="1" applyBorder="1" applyAlignment="1">
      <alignment horizontal="center" vertical="center" wrapText="1"/>
    </xf>
    <xf numFmtId="0" fontId="75" fillId="0" borderId="16" xfId="155" applyFont="1" applyBorder="1" applyAlignment="1">
      <alignment horizontal="center" vertical="center"/>
    </xf>
    <xf numFmtId="0" fontId="75" fillId="0" borderId="14" xfId="155" applyFont="1" applyBorder="1" applyAlignment="1">
      <alignment horizontal="center" vertical="center"/>
    </xf>
    <xf numFmtId="0" fontId="75" fillId="0" borderId="15" xfId="155" applyFont="1" applyBorder="1" applyAlignment="1">
      <alignment horizontal="center" vertical="center"/>
    </xf>
    <xf numFmtId="0" fontId="75" fillId="0" borderId="16" xfId="136" applyFont="1" applyBorder="1" applyAlignment="1">
      <alignment horizontal="center" vertical="center"/>
    </xf>
    <xf numFmtId="0" fontId="75" fillId="0" borderId="14" xfId="136" applyFont="1" applyBorder="1" applyAlignment="1">
      <alignment horizontal="center" vertical="center"/>
    </xf>
    <xf numFmtId="0" fontId="75" fillId="0" borderId="15" xfId="136" applyFont="1" applyBorder="1" applyAlignment="1">
      <alignment horizontal="center" vertical="center"/>
    </xf>
    <xf numFmtId="0" fontId="75" fillId="0" borderId="130" xfId="153" applyFont="1" applyBorder="1" applyAlignment="1">
      <alignment horizontal="center" vertical="center"/>
    </xf>
    <xf numFmtId="0" fontId="75" fillId="0" borderId="20" xfId="153" applyFont="1" applyBorder="1" applyAlignment="1">
      <alignment horizontal="center" vertical="center"/>
    </xf>
    <xf numFmtId="0" fontId="75" fillId="0" borderId="68" xfId="153" applyFont="1" applyBorder="1" applyAlignment="1">
      <alignment horizontal="center" vertical="center"/>
    </xf>
    <xf numFmtId="0" fontId="75" fillId="0" borderId="130" xfId="158" applyFont="1" applyBorder="1" applyAlignment="1">
      <alignment horizontal="center" vertical="center"/>
    </xf>
    <xf numFmtId="0" fontId="75" fillId="0" borderId="20" xfId="158" applyFont="1" applyBorder="1" applyAlignment="1">
      <alignment horizontal="center" vertical="center"/>
    </xf>
    <xf numFmtId="0" fontId="75" fillId="0" borderId="68" xfId="158" applyFont="1" applyBorder="1" applyAlignment="1">
      <alignment horizontal="center" vertical="center"/>
    </xf>
    <xf numFmtId="0" fontId="75" fillId="0" borderId="14" xfId="153" applyFont="1" applyBorder="1" applyAlignment="1">
      <alignment horizontal="center" vertical="center" wrapText="1"/>
    </xf>
    <xf numFmtId="0" fontId="75" fillId="0" borderId="14" xfId="153" applyFont="1" applyBorder="1" applyAlignment="1">
      <alignment horizontal="center" vertical="center"/>
    </xf>
    <xf numFmtId="0" fontId="75" fillId="0" borderId="16" xfId="153" applyFont="1" applyBorder="1" applyAlignment="1">
      <alignment horizontal="center" vertical="center"/>
    </xf>
    <xf numFmtId="0" fontId="75" fillId="0" borderId="0" xfId="158" applyFont="1" applyAlignment="1">
      <alignment vertical="center" wrapText="1"/>
    </xf>
    <xf numFmtId="0" fontId="75" fillId="0" borderId="0" xfId="158" applyFont="1" applyAlignment="1">
      <alignment horizontal="left" vertical="center" wrapText="1"/>
    </xf>
    <xf numFmtId="0" fontId="75" fillId="0" borderId="17" xfId="153" applyFont="1" applyBorder="1" applyAlignment="1">
      <alignment horizontal="center" vertical="center"/>
    </xf>
    <xf numFmtId="0" fontId="75" fillId="0" borderId="1" xfId="153" applyFont="1" applyBorder="1" applyAlignment="1">
      <alignment horizontal="center" vertical="center"/>
    </xf>
    <xf numFmtId="0" fontId="75" fillId="0" borderId="20" xfId="158" applyFont="1" applyBorder="1" applyAlignment="1">
      <alignment horizontal="center" wrapText="1"/>
    </xf>
    <xf numFmtId="0" fontId="75" fillId="0" borderId="68" xfId="158" applyFont="1" applyBorder="1" applyAlignment="1">
      <alignment horizontal="center" wrapText="1"/>
    </xf>
    <xf numFmtId="0" fontId="75" fillId="0" borderId="1" xfId="158" applyFont="1" applyBorder="1" applyAlignment="1">
      <alignment horizontal="center"/>
    </xf>
    <xf numFmtId="0" fontId="75" fillId="0" borderId="21" xfId="158" applyFont="1" applyBorder="1" applyAlignment="1">
      <alignment horizontal="center"/>
    </xf>
    <xf numFmtId="0" fontId="75" fillId="0" borderId="130" xfId="158" applyFont="1" applyBorder="1" applyAlignment="1">
      <alignment horizontal="center" wrapText="1"/>
    </xf>
    <xf numFmtId="0" fontId="68" fillId="0" borderId="20" xfId="0" applyFont="1" applyBorder="1"/>
    <xf numFmtId="0" fontId="68" fillId="0" borderId="68" xfId="0" applyFont="1" applyBorder="1"/>
    <xf numFmtId="0" fontId="75" fillId="0" borderId="16" xfId="158" applyFont="1" applyBorder="1" applyAlignment="1">
      <alignment horizontal="center" vertical="center" wrapText="1"/>
    </xf>
    <xf numFmtId="0" fontId="75" fillId="0" borderId="14" xfId="158" applyFont="1" applyBorder="1" applyAlignment="1">
      <alignment horizontal="center" vertical="center" wrapText="1"/>
    </xf>
    <xf numFmtId="0" fontId="75" fillId="0" borderId="0" xfId="158" applyFont="1" applyAlignment="1">
      <alignment wrapText="1"/>
    </xf>
    <xf numFmtId="0" fontId="75" fillId="0" borderId="0" xfId="158" applyFont="1"/>
    <xf numFmtId="0" fontId="75" fillId="0" borderId="0" xfId="158" applyFont="1" applyAlignment="1">
      <alignment horizontal="left"/>
    </xf>
    <xf numFmtId="0" fontId="75" fillId="0" borderId="14" xfId="158" quotePrefix="1" applyFont="1" applyBorder="1" applyAlignment="1">
      <alignment horizontal="center" vertical="center" wrapText="1"/>
    </xf>
    <xf numFmtId="0" fontId="75" fillId="0" borderId="15" xfId="158" quotePrefix="1" applyFont="1" applyBorder="1" applyAlignment="1">
      <alignment horizontal="center" vertical="center" wrapText="1"/>
    </xf>
    <xf numFmtId="0" fontId="75" fillId="0" borderId="17" xfId="158" applyFont="1" applyBorder="1" applyAlignment="1">
      <alignment horizontal="center" vertical="center" wrapText="1"/>
    </xf>
    <xf numFmtId="0" fontId="75" fillId="0" borderId="1" xfId="158" applyFont="1" applyBorder="1" applyAlignment="1">
      <alignment horizontal="center" vertical="center" wrapText="1"/>
    </xf>
    <xf numFmtId="0" fontId="75" fillId="0" borderId="21" xfId="158" applyFont="1" applyBorder="1" applyAlignment="1">
      <alignment horizontal="center" vertical="center" wrapText="1"/>
    </xf>
    <xf numFmtId="0" fontId="75" fillId="0" borderId="130" xfId="158" applyFont="1" applyBorder="1" applyAlignment="1">
      <alignment horizontal="center" vertical="center" wrapText="1"/>
    </xf>
    <xf numFmtId="0" fontId="75" fillId="0" borderId="20" xfId="158" applyFont="1" applyBorder="1" applyAlignment="1">
      <alignment horizontal="center" vertical="center" wrapText="1"/>
    </xf>
    <xf numFmtId="0" fontId="75" fillId="0" borderId="68" xfId="158" applyFont="1" applyBorder="1" applyAlignment="1">
      <alignment horizontal="center" vertical="center" wrapText="1"/>
    </xf>
    <xf numFmtId="0" fontId="75" fillId="0" borderId="18" xfId="158" applyFont="1" applyBorder="1" applyAlignment="1">
      <alignment horizontal="center" wrapText="1"/>
    </xf>
    <xf numFmtId="0" fontId="68" fillId="0" borderId="14" xfId="158" applyFont="1" applyBorder="1" applyAlignment="1">
      <alignment horizontal="center" vertical="center"/>
    </xf>
    <xf numFmtId="0" fontId="68" fillId="0" borderId="15" xfId="158" applyFont="1" applyBorder="1" applyAlignment="1">
      <alignment horizontal="center" vertical="center"/>
    </xf>
    <xf numFmtId="0" fontId="75" fillId="0" borderId="14" xfId="158" applyFont="1" applyBorder="1" applyAlignment="1">
      <alignment vertical="center"/>
    </xf>
    <xf numFmtId="0" fontId="75" fillId="0" borderId="15" xfId="158" applyFont="1" applyBorder="1" applyAlignment="1">
      <alignment vertical="center"/>
    </xf>
    <xf numFmtId="0" fontId="75" fillId="0" borderId="18" xfId="158" applyFont="1" applyBorder="1" applyAlignment="1">
      <alignment horizontal="center" vertical="center"/>
    </xf>
    <xf numFmtId="0" fontId="78" fillId="0" borderId="130" xfId="141" applyFont="1" applyBorder="1" applyAlignment="1">
      <alignment horizontal="left" vertical="center"/>
    </xf>
    <xf numFmtId="0" fontId="77" fillId="0" borderId="20" xfId="147" applyFont="1" applyBorder="1" applyAlignment="1">
      <alignment horizontal="left" vertical="center"/>
    </xf>
    <xf numFmtId="0" fontId="77" fillId="0" borderId="68" xfId="147" applyFont="1" applyBorder="1" applyAlignment="1">
      <alignment horizontal="left" vertical="center"/>
    </xf>
    <xf numFmtId="0" fontId="75" fillId="0" borderId="18" xfId="162" applyFont="1" applyBorder="1" applyAlignment="1">
      <alignment horizontal="center" vertical="center" wrapText="1"/>
    </xf>
    <xf numFmtId="0" fontId="75" fillId="0" borderId="18" xfId="141" applyFont="1" applyBorder="1" applyAlignment="1">
      <alignment horizontal="center" vertical="center"/>
    </xf>
    <xf numFmtId="0" fontId="75" fillId="0" borderId="130" xfId="141" applyFont="1" applyBorder="1" applyAlignment="1">
      <alignment horizontal="left" vertical="center"/>
    </xf>
    <xf numFmtId="0" fontId="68" fillId="0" borderId="20" xfId="147" applyFont="1" applyBorder="1" applyAlignment="1">
      <alignment horizontal="left" vertical="center"/>
    </xf>
    <xf numFmtId="0" fontId="68" fillId="0" borderId="68" xfId="147" applyFont="1" applyBorder="1" applyAlignment="1">
      <alignment horizontal="left" vertical="center"/>
    </xf>
    <xf numFmtId="0" fontId="75" fillId="0" borderId="18" xfId="141" applyFont="1" applyBorder="1" applyAlignment="1">
      <alignment horizontal="center" vertical="distributed" wrapText="1"/>
    </xf>
    <xf numFmtId="49" fontId="82" fillId="0" borderId="18" xfId="124" applyNumberFormat="1" applyFont="1" applyBorder="1" applyAlignment="1">
      <alignment horizontal="center" vertical="center" wrapText="1"/>
    </xf>
    <xf numFmtId="0" fontId="82" fillId="0" borderId="18" xfId="96" applyFont="1" applyBorder="1" applyAlignment="1">
      <alignment horizontal="center" vertical="center" wrapText="1"/>
    </xf>
    <xf numFmtId="0" fontId="85" fillId="0" borderId="18" xfId="124" applyFont="1" applyBorder="1" applyAlignment="1">
      <alignment horizontal="center" vertical="center" wrapText="1"/>
    </xf>
    <xf numFmtId="0" fontId="38" fillId="0" borderId="55" xfId="0" applyFont="1" applyBorder="1" applyAlignment="1">
      <alignment horizontal="center" vertical="center" wrapText="1"/>
    </xf>
    <xf numFmtId="0" fontId="38" fillId="0" borderId="56" xfId="0" applyFont="1" applyBorder="1" applyAlignment="1">
      <alignment horizontal="center" vertical="center" wrapText="1"/>
    </xf>
    <xf numFmtId="0" fontId="117"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26" borderId="27" xfId="0" applyFont="1" applyFill="1" applyBorder="1" applyAlignment="1">
      <alignment horizontal="left" vertical="center" wrapText="1"/>
    </xf>
    <xf numFmtId="0" fontId="13" fillId="26" borderId="18" xfId="0" applyFont="1" applyFill="1" applyBorder="1" applyAlignment="1">
      <alignment horizontal="left" vertical="center" wrapText="1"/>
    </xf>
    <xf numFmtId="0" fontId="38" fillId="0" borderId="24" xfId="0" applyFont="1" applyBorder="1" applyAlignment="1">
      <alignment horizontal="center" vertical="center" wrapText="1"/>
    </xf>
    <xf numFmtId="0" fontId="38" fillId="0" borderId="18" xfId="0" applyFont="1" applyBorder="1" applyAlignment="1">
      <alignment horizontal="center" vertical="center" wrapText="1"/>
    </xf>
    <xf numFmtId="0" fontId="13" fillId="26" borderId="15" xfId="0" applyFont="1" applyFill="1" applyBorder="1" applyAlignment="1">
      <alignment horizontal="left" vertical="center" wrapText="1"/>
    </xf>
    <xf numFmtId="0" fontId="13" fillId="0" borderId="76"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181" xfId="0" applyFont="1" applyBorder="1" applyAlignment="1">
      <alignment horizontal="center" vertical="center" wrapText="1"/>
    </xf>
    <xf numFmtId="0" fontId="13" fillId="26" borderId="16" xfId="0" applyFont="1" applyFill="1" applyBorder="1" applyAlignment="1">
      <alignment horizontal="left" vertical="center" wrapText="1"/>
    </xf>
    <xf numFmtId="0" fontId="117" fillId="0" borderId="76" xfId="0" applyFont="1" applyBorder="1" applyAlignment="1">
      <alignment horizontal="center" vertical="center" wrapText="1"/>
    </xf>
    <xf numFmtId="0" fontId="38" fillId="0" borderId="65" xfId="0" applyFont="1" applyBorder="1" applyAlignment="1">
      <alignment horizontal="center" vertical="center" wrapText="1"/>
    </xf>
    <xf numFmtId="0" fontId="38" fillId="0" borderId="57" xfId="0" applyFont="1" applyBorder="1" applyAlignment="1">
      <alignment horizontal="center" vertical="center" wrapText="1"/>
    </xf>
    <xf numFmtId="0" fontId="38" fillId="0" borderId="58" xfId="0" applyFont="1" applyBorder="1" applyAlignment="1">
      <alignment horizontal="center" vertical="center" wrapText="1"/>
    </xf>
    <xf numFmtId="49" fontId="13" fillId="26" borderId="27" xfId="194" applyNumberFormat="1" applyFont="1" applyFill="1" applyBorder="1" applyAlignment="1" applyProtection="1">
      <alignment horizontal="left" vertical="center" wrapText="1"/>
    </xf>
    <xf numFmtId="183" fontId="116" fillId="0" borderId="24" xfId="194" applyNumberFormat="1" applyFont="1" applyFill="1" applyBorder="1" applyAlignment="1" applyProtection="1">
      <alignment horizontal="center" vertical="center" wrapText="1"/>
    </xf>
    <xf numFmtId="49" fontId="13" fillId="0" borderId="76" xfId="180" applyNumberFormat="1" applyFont="1" applyFill="1" applyBorder="1" applyAlignment="1" applyProtection="1">
      <alignment horizontal="center" vertical="center" wrapText="1"/>
    </xf>
    <xf numFmtId="49" fontId="13" fillId="0" borderId="32" xfId="180" applyNumberFormat="1" applyFont="1" applyFill="1" applyBorder="1" applyAlignment="1" applyProtection="1">
      <alignment horizontal="center" vertical="center" wrapText="1"/>
    </xf>
    <xf numFmtId="49" fontId="13" fillId="0" borderId="181" xfId="180" applyNumberFormat="1" applyFont="1" applyFill="1" applyBorder="1" applyAlignment="1" applyProtection="1">
      <alignment horizontal="center" vertical="center" wrapText="1"/>
    </xf>
    <xf numFmtId="49" fontId="13" fillId="26" borderId="18" xfId="180" applyNumberFormat="1" applyFont="1" applyFill="1" applyBorder="1" applyAlignment="1" applyProtection="1">
      <alignment horizontal="left" vertical="center" wrapText="1"/>
    </xf>
    <xf numFmtId="49" fontId="117" fillId="0" borderId="76" xfId="194" applyNumberFormat="1" applyFont="1" applyFill="1" applyBorder="1" applyAlignment="1" applyProtection="1">
      <alignment horizontal="center" vertical="center" wrapText="1"/>
    </xf>
    <xf numFmtId="49" fontId="13" fillId="0" borderId="32" xfId="194" applyNumberFormat="1" applyFont="1" applyFill="1" applyBorder="1" applyAlignment="1" applyProtection="1">
      <alignment horizontal="center" vertical="center" wrapText="1"/>
    </xf>
    <xf numFmtId="49" fontId="13" fillId="0" borderId="181" xfId="194" applyNumberFormat="1" applyFont="1" applyFill="1" applyBorder="1" applyAlignment="1" applyProtection="1">
      <alignment horizontal="center" vertical="center" wrapText="1"/>
    </xf>
    <xf numFmtId="49" fontId="13" fillId="26" borderId="18" xfId="194" applyNumberFormat="1" applyFont="1" applyFill="1" applyBorder="1" applyAlignment="1" applyProtection="1">
      <alignment vertical="center" wrapText="1"/>
    </xf>
    <xf numFmtId="49" fontId="13" fillId="0" borderId="76" xfId="194" applyNumberFormat="1" applyFont="1" applyFill="1" applyBorder="1" applyAlignment="1" applyProtection="1">
      <alignment horizontal="center" vertical="center" wrapText="1"/>
    </xf>
    <xf numFmtId="49" fontId="13" fillId="26" borderId="18" xfId="194" applyNumberFormat="1" applyFont="1" applyFill="1" applyBorder="1" applyAlignment="1" applyProtection="1">
      <alignment horizontal="left" vertical="center" wrapText="1"/>
    </xf>
    <xf numFmtId="49" fontId="13" fillId="0" borderId="91" xfId="194" applyNumberFormat="1" applyFont="1" applyFill="1" applyBorder="1" applyAlignment="1" applyProtection="1">
      <alignment horizontal="center" vertical="center" wrapText="1"/>
    </xf>
    <xf numFmtId="0" fontId="116" fillId="27" borderId="24" xfId="124" applyFont="1" applyFill="1" applyBorder="1" applyAlignment="1">
      <alignment horizontal="center" vertical="center" wrapText="1"/>
    </xf>
    <xf numFmtId="0" fontId="116" fillId="27" borderId="18" xfId="124" applyFont="1" applyFill="1" applyBorder="1" applyAlignment="1">
      <alignment horizontal="center" vertical="center" wrapText="1"/>
    </xf>
    <xf numFmtId="183" fontId="116" fillId="0" borderId="55" xfId="194" applyNumberFormat="1" applyFont="1" applyFill="1" applyBorder="1" applyAlignment="1" applyProtection="1">
      <alignment horizontal="center" vertical="center" wrapText="1"/>
    </xf>
    <xf numFmtId="0" fontId="38" fillId="0" borderId="132" xfId="124" applyFont="1" applyBorder="1" applyAlignment="1">
      <alignment horizontal="center" vertical="center" wrapText="1"/>
    </xf>
    <xf numFmtId="0" fontId="38" fillId="0" borderId="206" xfId="124" applyFont="1" applyBorder="1" applyAlignment="1">
      <alignment horizontal="center" vertical="center" wrapText="1"/>
    </xf>
    <xf numFmtId="0" fontId="38" fillId="0" borderId="33" xfId="124" applyFont="1" applyBorder="1" applyAlignment="1">
      <alignment horizontal="center" vertical="center" wrapText="1"/>
    </xf>
    <xf numFmtId="0" fontId="38" fillId="0" borderId="24" xfId="124" applyFont="1" applyBorder="1" applyAlignment="1">
      <alignment horizontal="center" vertical="center" wrapText="1"/>
    </xf>
    <xf numFmtId="0" fontId="38" fillId="0" borderId="18" xfId="124" applyFont="1" applyBorder="1" applyAlignment="1">
      <alignment horizontal="center" vertical="center" wrapText="1"/>
    </xf>
    <xf numFmtId="0" fontId="82" fillId="0" borderId="132" xfId="124" applyFont="1" applyBorder="1" applyAlignment="1">
      <alignment horizontal="center" vertical="center" wrapText="1"/>
    </xf>
    <xf numFmtId="0" fontId="82" fillId="0" borderId="206" xfId="124" applyFont="1" applyBorder="1" applyAlignment="1">
      <alignment horizontal="center" vertical="center" wrapText="1"/>
    </xf>
    <xf numFmtId="0" fontId="82" fillId="0" borderId="33" xfId="124" applyFont="1" applyBorder="1" applyAlignment="1">
      <alignment horizontal="center" vertical="center" wrapText="1"/>
    </xf>
    <xf numFmtId="0" fontId="82" fillId="0" borderId="24" xfId="124" applyFont="1" applyBorder="1" applyAlignment="1">
      <alignment horizontal="center" vertical="center" wrapText="1"/>
    </xf>
    <xf numFmtId="0" fontId="82" fillId="0" borderId="18" xfId="124" applyFont="1" applyBorder="1" applyAlignment="1">
      <alignment horizontal="center" vertical="center" wrapText="1"/>
    </xf>
    <xf numFmtId="49" fontId="74" fillId="26" borderId="18" xfId="180" applyNumberFormat="1" applyFont="1" applyFill="1" applyBorder="1" applyAlignment="1" applyProtection="1">
      <alignment horizontal="left" vertical="center" wrapText="1"/>
    </xf>
    <xf numFmtId="49" fontId="74" fillId="26" borderId="18" xfId="194" applyNumberFormat="1" applyFont="1" applyFill="1" applyBorder="1" applyAlignment="1" applyProtection="1">
      <alignment horizontal="left" vertical="center" wrapText="1"/>
    </xf>
    <xf numFmtId="0" fontId="74" fillId="0" borderId="27" xfId="0" applyFont="1" applyBorder="1" applyAlignment="1">
      <alignment horizontal="center" wrapText="1"/>
    </xf>
    <xf numFmtId="49" fontId="74" fillId="0" borderId="76" xfId="180" applyNumberFormat="1" applyFont="1" applyFill="1" applyBorder="1" applyAlignment="1" applyProtection="1">
      <alignment horizontal="center" vertical="center" wrapText="1"/>
    </xf>
    <xf numFmtId="49" fontId="74" fillId="0" borderId="32" xfId="180" applyNumberFormat="1" applyFont="1" applyFill="1" applyBorder="1" applyAlignment="1" applyProtection="1">
      <alignment horizontal="center" vertical="center" wrapText="1"/>
    </xf>
    <xf numFmtId="49" fontId="74" fillId="0" borderId="181" xfId="180" applyNumberFormat="1" applyFont="1" applyFill="1" applyBorder="1" applyAlignment="1" applyProtection="1">
      <alignment horizontal="center" vertical="center" wrapText="1"/>
    </xf>
    <xf numFmtId="49" fontId="82" fillId="0" borderId="24" xfId="194" applyNumberFormat="1" applyFont="1" applyFill="1" applyBorder="1" applyAlignment="1" applyProtection="1">
      <alignment horizontal="center" vertical="center" wrapText="1"/>
    </xf>
    <xf numFmtId="49" fontId="82" fillId="0" borderId="18" xfId="194" applyNumberFormat="1" applyFont="1" applyFill="1" applyBorder="1" applyAlignment="1" applyProtection="1">
      <alignment horizontal="center" vertical="center" wrapText="1"/>
    </xf>
    <xf numFmtId="49" fontId="82" fillId="0" borderId="55" xfId="194" applyNumberFormat="1" applyFont="1" applyFill="1" applyBorder="1" applyAlignment="1" applyProtection="1">
      <alignment horizontal="center" vertical="center" wrapText="1"/>
    </xf>
    <xf numFmtId="0" fontId="82" fillId="27" borderId="24" xfId="124" applyFont="1" applyFill="1" applyBorder="1" applyAlignment="1">
      <alignment horizontal="center" vertical="center" wrapText="1"/>
    </xf>
    <xf numFmtId="0" fontId="82" fillId="27" borderId="18" xfId="124" applyFont="1" applyFill="1" applyBorder="1" applyAlignment="1">
      <alignment horizontal="center" vertical="center" wrapText="1"/>
    </xf>
    <xf numFmtId="183" fontId="75" fillId="0" borderId="65" xfId="194" applyNumberFormat="1" applyFont="1" applyFill="1" applyBorder="1" applyAlignment="1" applyProtection="1">
      <alignment horizontal="center" vertical="center"/>
    </xf>
    <xf numFmtId="183" fontId="75" fillId="0" borderId="57" xfId="194" applyNumberFormat="1" applyFont="1" applyFill="1" applyBorder="1" applyAlignment="1" applyProtection="1">
      <alignment horizontal="center" vertical="center"/>
    </xf>
    <xf numFmtId="183" fontId="75" fillId="0" borderId="58" xfId="194" applyNumberFormat="1" applyFont="1" applyFill="1" applyBorder="1" applyAlignment="1" applyProtection="1">
      <alignment horizontal="center" vertical="center"/>
    </xf>
    <xf numFmtId="183" fontId="75" fillId="0" borderId="30" xfId="194" applyNumberFormat="1" applyFont="1" applyFill="1" applyBorder="1" applyAlignment="1" applyProtection="1">
      <alignment horizontal="center" vertical="center" wrapText="1"/>
    </xf>
    <xf numFmtId="183" fontId="75" fillId="0" borderId="15" xfId="194" applyNumberFormat="1" applyFont="1" applyFill="1" applyBorder="1" applyAlignment="1" applyProtection="1">
      <alignment horizontal="center" vertical="center" wrapText="1"/>
    </xf>
    <xf numFmtId="0" fontId="75" fillId="27" borderId="30" xfId="124" applyFont="1" applyFill="1" applyBorder="1" applyAlignment="1">
      <alignment horizontal="center" vertical="center"/>
    </xf>
    <xf numFmtId="0" fontId="75" fillId="27" borderId="15" xfId="124" applyFont="1" applyFill="1" applyBorder="1" applyAlignment="1">
      <alignment horizontal="center" vertical="center"/>
    </xf>
    <xf numFmtId="183" fontId="75" fillId="0" borderId="230" xfId="194" applyNumberFormat="1" applyFont="1" applyFill="1" applyBorder="1" applyAlignment="1" applyProtection="1">
      <alignment horizontal="center" vertical="center" wrapText="1"/>
    </xf>
    <xf numFmtId="183" fontId="75" fillId="0" borderId="74" xfId="194" applyNumberFormat="1" applyFont="1" applyFill="1" applyBorder="1" applyAlignment="1" applyProtection="1">
      <alignment horizontal="center" vertical="center" wrapText="1"/>
    </xf>
    <xf numFmtId="0" fontId="75" fillId="0" borderId="3" xfId="124" applyFont="1" applyBorder="1" applyAlignment="1">
      <alignment horizontal="left" vertical="center" wrapText="1"/>
    </xf>
    <xf numFmtId="0" fontId="75" fillId="0" borderId="164" xfId="93" applyFont="1" applyBorder="1" applyAlignment="1">
      <alignment vertical="center" wrapText="1"/>
    </xf>
    <xf numFmtId="0" fontId="75" fillId="0" borderId="16" xfId="98" applyFont="1" applyBorder="1" applyAlignment="1">
      <alignment horizontal="center" wrapText="1"/>
    </xf>
    <xf numFmtId="0" fontId="75" fillId="0" borderId="15" xfId="98" applyFont="1" applyBorder="1" applyAlignment="1">
      <alignment horizontal="center" wrapText="1"/>
    </xf>
    <xf numFmtId="180" fontId="75" fillId="0" borderId="205" xfId="180" applyNumberFormat="1" applyFont="1" applyFill="1" applyBorder="1" applyAlignment="1">
      <alignment horizontal="right" vertical="center"/>
    </xf>
    <xf numFmtId="0" fontId="68" fillId="0" borderId="204" xfId="0" applyFont="1" applyBorder="1" applyAlignment="1">
      <alignment horizontal="right" vertical="center"/>
    </xf>
    <xf numFmtId="0" fontId="68" fillId="0" borderId="224" xfId="0" applyFont="1" applyBorder="1" applyAlignment="1">
      <alignment horizontal="right" vertical="center"/>
    </xf>
    <xf numFmtId="0" fontId="68" fillId="0" borderId="225" xfId="0" applyFont="1" applyBorder="1" applyAlignment="1">
      <alignment horizontal="right" vertical="center"/>
    </xf>
    <xf numFmtId="0" fontId="68" fillId="0" borderId="226" xfId="0" applyFont="1" applyBorder="1" applyAlignment="1">
      <alignment horizontal="right" vertical="center"/>
    </xf>
    <xf numFmtId="0" fontId="68" fillId="0" borderId="227" xfId="0" applyFont="1" applyBorder="1" applyAlignment="1">
      <alignment horizontal="right" vertical="center"/>
    </xf>
    <xf numFmtId="0" fontId="68" fillId="0" borderId="228" xfId="0" applyFont="1" applyBorder="1" applyAlignment="1">
      <alignment horizontal="right" vertical="center"/>
    </xf>
    <xf numFmtId="0" fontId="68" fillId="0" borderId="229" xfId="0" applyFont="1" applyBorder="1" applyAlignment="1">
      <alignment horizontal="right" vertical="center"/>
    </xf>
    <xf numFmtId="0" fontId="68" fillId="0" borderId="185" xfId="0" applyFont="1" applyBorder="1" applyAlignment="1">
      <alignment horizontal="right" vertical="center"/>
    </xf>
    <xf numFmtId="180" fontId="75" fillId="0" borderId="145" xfId="180" applyNumberFormat="1" applyFont="1" applyFill="1" applyBorder="1" applyAlignment="1">
      <alignment horizontal="right" vertical="center"/>
    </xf>
    <xf numFmtId="0" fontId="68" fillId="0" borderId="231" xfId="0" applyFont="1" applyBorder="1" applyAlignment="1">
      <alignment horizontal="right" vertical="center"/>
    </xf>
    <xf numFmtId="0" fontId="68" fillId="0" borderId="157" xfId="0" applyFont="1" applyBorder="1" applyAlignment="1">
      <alignment horizontal="right" vertical="center"/>
    </xf>
    <xf numFmtId="0" fontId="68" fillId="0" borderId="0" xfId="93" applyFont="1" applyAlignment="1">
      <alignment horizontal="left" vertical="center"/>
    </xf>
    <xf numFmtId="0" fontId="105" fillId="0" borderId="132" xfId="93" applyFont="1" applyBorder="1" applyAlignment="1">
      <alignment horizontal="center" vertical="center" wrapText="1"/>
    </xf>
    <xf numFmtId="0" fontId="105" fillId="0" borderId="255" xfId="93" applyFont="1" applyBorder="1" applyAlignment="1">
      <alignment horizontal="center" vertical="center" wrapText="1"/>
    </xf>
    <xf numFmtId="0" fontId="105" fillId="0" borderId="66" xfId="93" applyFont="1" applyBorder="1" applyAlignment="1">
      <alignment horizontal="center" vertical="center" wrapText="1"/>
    </xf>
    <xf numFmtId="0" fontId="76" fillId="0" borderId="0" xfId="52" applyFont="1" applyAlignment="1">
      <alignment horizontal="left" vertical="top" wrapText="1"/>
    </xf>
    <xf numFmtId="0" fontId="145" fillId="43" borderId="18" xfId="397" applyFont="1" applyFill="1" applyBorder="1" applyAlignment="1">
      <alignment horizontal="center" vertical="center"/>
    </xf>
    <xf numFmtId="0" fontId="145" fillId="43" borderId="130" xfId="397" applyFont="1" applyFill="1" applyBorder="1" applyAlignment="1">
      <alignment horizontal="center" vertical="center" wrapText="1"/>
    </xf>
    <xf numFmtId="0" fontId="145" fillId="43" borderId="68" xfId="397" applyFont="1" applyFill="1" applyBorder="1" applyAlignment="1">
      <alignment horizontal="center" vertical="center"/>
    </xf>
    <xf numFmtId="0" fontId="145" fillId="43" borderId="130" xfId="397" applyFont="1" applyFill="1" applyBorder="1" applyAlignment="1">
      <alignment horizontal="center" vertical="center"/>
    </xf>
    <xf numFmtId="0" fontId="38" fillId="43" borderId="18" xfId="43" applyFont="1" applyFill="1" applyBorder="1" applyAlignment="1">
      <alignment horizontal="center" vertical="center" wrapText="1"/>
    </xf>
    <xf numFmtId="0" fontId="38" fillId="43" borderId="18" xfId="43" applyFont="1" applyFill="1" applyBorder="1" applyAlignment="1">
      <alignment horizontal="center" vertical="center"/>
    </xf>
    <xf numFmtId="0" fontId="38" fillId="43" borderId="18" xfId="397" applyFont="1" applyFill="1" applyBorder="1" applyAlignment="1">
      <alignment horizontal="center" vertical="center"/>
    </xf>
    <xf numFmtId="0" fontId="143" fillId="43" borderId="65" xfId="397" applyFont="1" applyFill="1" applyBorder="1" applyAlignment="1">
      <alignment horizontal="center" vertical="center"/>
    </xf>
    <xf numFmtId="0" fontId="143" fillId="43" borderId="57" xfId="397" applyFont="1" applyFill="1" applyBorder="1" applyAlignment="1">
      <alignment horizontal="center" vertical="center"/>
    </xf>
    <xf numFmtId="0" fontId="143" fillId="43" borderId="24" xfId="397" applyFont="1" applyFill="1" applyBorder="1" applyAlignment="1">
      <alignment horizontal="center" vertical="center"/>
    </xf>
    <xf numFmtId="0" fontId="143" fillId="43" borderId="330" xfId="397" applyFont="1" applyFill="1" applyBorder="1" applyAlignment="1">
      <alignment horizontal="center" vertical="center"/>
    </xf>
    <xf numFmtId="0" fontId="82" fillId="43" borderId="161" xfId="43" applyFont="1" applyFill="1" applyBorder="1" applyAlignment="1">
      <alignment horizontal="center" vertical="center" wrapText="1"/>
    </xf>
    <xf numFmtId="0" fontId="82" fillId="43" borderId="68" xfId="43" applyFont="1" applyFill="1" applyBorder="1" applyAlignment="1">
      <alignment horizontal="center" vertical="center" wrapText="1"/>
    </xf>
    <xf numFmtId="0" fontId="82" fillId="43" borderId="24" xfId="397" applyFont="1" applyFill="1" applyBorder="1" applyAlignment="1">
      <alignment horizontal="center" vertical="center"/>
    </xf>
    <xf numFmtId="0" fontId="82" fillId="43" borderId="55" xfId="397" applyFont="1" applyFill="1" applyBorder="1" applyAlignment="1">
      <alignment horizontal="center" vertical="center"/>
    </xf>
    <xf numFmtId="0" fontId="143" fillId="43" borderId="18" xfId="397" applyFont="1" applyFill="1" applyBorder="1" applyAlignment="1">
      <alignment horizontal="center" vertical="center"/>
    </xf>
    <xf numFmtId="0" fontId="143" fillId="43" borderId="331" xfId="397" applyFont="1" applyFill="1" applyBorder="1" applyAlignment="1">
      <alignment horizontal="center" vertical="center"/>
    </xf>
    <xf numFmtId="0" fontId="82" fillId="43" borderId="18" xfId="397" applyFont="1" applyFill="1" applyBorder="1" applyAlignment="1">
      <alignment horizontal="center" vertical="center"/>
    </xf>
    <xf numFmtId="0" fontId="82" fillId="43" borderId="56" xfId="397" applyFont="1" applyFill="1" applyBorder="1" applyAlignment="1">
      <alignment horizontal="center" vertical="center"/>
    </xf>
    <xf numFmtId="0" fontId="82" fillId="47" borderId="368" xfId="397" applyFont="1" applyFill="1" applyBorder="1" applyAlignment="1">
      <alignment horizontal="center" vertical="center"/>
    </xf>
    <xf numFmtId="0" fontId="82" fillId="47" borderId="355" xfId="397" applyFont="1" applyFill="1" applyBorder="1" applyAlignment="1">
      <alignment horizontal="center" vertical="center"/>
    </xf>
    <xf numFmtId="0" fontId="82" fillId="47" borderId="356" xfId="397" applyFont="1" applyFill="1" applyBorder="1" applyAlignment="1">
      <alignment horizontal="center" vertical="center"/>
    </xf>
    <xf numFmtId="0" fontId="74" fillId="47" borderId="369" xfId="43" applyFont="1" applyFill="1" applyBorder="1" applyAlignment="1">
      <alignment horizontal="center" vertical="center" wrapText="1"/>
    </xf>
    <xf numFmtId="0" fontId="74" fillId="47" borderId="332" xfId="43" applyFont="1" applyFill="1" applyBorder="1" applyAlignment="1">
      <alignment horizontal="center" vertical="center" wrapText="1"/>
    </xf>
    <xf numFmtId="0" fontId="143" fillId="47" borderId="333" xfId="397" applyFont="1" applyFill="1" applyBorder="1" applyAlignment="1">
      <alignment horizontal="center" vertical="center"/>
    </xf>
    <xf numFmtId="0" fontId="143" fillId="47" borderId="334" xfId="397" applyFont="1" applyFill="1" applyBorder="1" applyAlignment="1">
      <alignment horizontal="center" vertical="center"/>
    </xf>
    <xf numFmtId="0" fontId="143" fillId="47" borderId="335" xfId="397" applyFont="1" applyFill="1" applyBorder="1" applyAlignment="1">
      <alignment horizontal="center" vertical="center"/>
    </xf>
    <xf numFmtId="0" fontId="143" fillId="47" borderId="336" xfId="397" applyFont="1" applyFill="1" applyBorder="1" applyAlignment="1">
      <alignment horizontal="center" vertical="center"/>
    </xf>
    <xf numFmtId="0" fontId="143" fillId="47" borderId="337" xfId="397" applyFont="1" applyFill="1" applyBorder="1" applyAlignment="1">
      <alignment horizontal="center" vertical="center"/>
    </xf>
    <xf numFmtId="0" fontId="143" fillId="47" borderId="338" xfId="397" applyFont="1" applyFill="1" applyBorder="1" applyAlignment="1">
      <alignment horizontal="center" vertical="center"/>
    </xf>
    <xf numFmtId="0" fontId="143" fillId="47" borderId="370" xfId="397" applyFont="1" applyFill="1" applyBorder="1" applyAlignment="1">
      <alignment horizontal="center" vertical="center"/>
    </xf>
    <xf numFmtId="0" fontId="143" fillId="47" borderId="371" xfId="397" applyFont="1" applyFill="1" applyBorder="1" applyAlignment="1">
      <alignment horizontal="center" vertical="center"/>
    </xf>
    <xf numFmtId="0" fontId="143" fillId="47" borderId="358" xfId="397" applyFont="1" applyFill="1" applyBorder="1" applyAlignment="1">
      <alignment horizontal="center" vertical="center"/>
    </xf>
    <xf numFmtId="0" fontId="143" fillId="47" borderId="332" xfId="397" applyFont="1" applyFill="1" applyBorder="1" applyAlignment="1">
      <alignment horizontal="center" vertical="center"/>
    </xf>
    <xf numFmtId="223" fontId="143" fillId="0" borderId="203" xfId="397" applyNumberFormat="1" applyFont="1" applyBorder="1" applyAlignment="1">
      <alignment horizontal="center" vertical="center"/>
    </xf>
    <xf numFmtId="223" fontId="143" fillId="0" borderId="341" xfId="397" applyNumberFormat="1" applyFont="1" applyBorder="1" applyAlignment="1">
      <alignment horizontal="center" vertical="center"/>
    </xf>
    <xf numFmtId="223" fontId="143" fillId="0" borderId="342" xfId="397" applyNumberFormat="1" applyFont="1" applyBorder="1" applyAlignment="1">
      <alignment horizontal="center" vertical="center"/>
    </xf>
    <xf numFmtId="193" fontId="74" fillId="47" borderId="369" xfId="43" applyNumberFormat="1" applyFont="1" applyFill="1" applyBorder="1" applyAlignment="1">
      <alignment horizontal="center" vertical="center" wrapText="1"/>
    </xf>
    <xf numFmtId="193" fontId="74" fillId="47" borderId="372" xfId="43" applyNumberFormat="1" applyFont="1" applyFill="1" applyBorder="1" applyAlignment="1">
      <alignment horizontal="center" vertical="center" wrapText="1"/>
    </xf>
    <xf numFmtId="0" fontId="82" fillId="43" borderId="161" xfId="397" applyFont="1" applyFill="1" applyBorder="1" applyAlignment="1">
      <alignment horizontal="center" vertical="center"/>
    </xf>
    <xf numFmtId="223" fontId="143" fillId="0" borderId="348" xfId="397" applyNumberFormat="1" applyFont="1" applyBorder="1" applyAlignment="1">
      <alignment horizontal="center" vertical="center"/>
    </xf>
    <xf numFmtId="223" fontId="143" fillId="0" borderId="349" xfId="397" applyNumberFormat="1" applyFont="1" applyBorder="1" applyAlignment="1">
      <alignment horizontal="center" vertical="center"/>
    </xf>
    <xf numFmtId="223" fontId="143" fillId="0" borderId="350" xfId="397" applyNumberFormat="1" applyFont="1" applyBorder="1" applyAlignment="1">
      <alignment horizontal="center" vertical="center"/>
    </xf>
    <xf numFmtId="223" fontId="143" fillId="0" borderId="225" xfId="397" applyNumberFormat="1" applyFont="1" applyBorder="1" applyAlignment="1">
      <alignment horizontal="center" vertical="center"/>
    </xf>
    <xf numFmtId="223" fontId="143" fillId="0" borderId="226" xfId="397" applyNumberFormat="1" applyFont="1" applyBorder="1" applyAlignment="1">
      <alignment horizontal="center" vertical="center"/>
    </xf>
    <xf numFmtId="223" fontId="143" fillId="0" borderId="227" xfId="397" applyNumberFormat="1" applyFont="1" applyBorder="1" applyAlignment="1">
      <alignment horizontal="center" vertical="center"/>
    </xf>
    <xf numFmtId="223" fontId="143" fillId="0" borderId="351" xfId="397" applyNumberFormat="1" applyFont="1" applyBorder="1" applyAlignment="1">
      <alignment horizontal="center" vertical="center"/>
    </xf>
    <xf numFmtId="223" fontId="143" fillId="0" borderId="352" xfId="397" applyNumberFormat="1" applyFont="1" applyBorder="1" applyAlignment="1">
      <alignment horizontal="center" vertical="center"/>
    </xf>
    <xf numFmtId="223" fontId="143" fillId="0" borderId="353" xfId="397" applyNumberFormat="1" applyFont="1" applyBorder="1" applyAlignment="1">
      <alignment horizontal="center" vertical="center"/>
    </xf>
    <xf numFmtId="0" fontId="143" fillId="43" borderId="26" xfId="397" applyFont="1" applyFill="1" applyBorder="1" applyAlignment="1">
      <alignment horizontal="center" vertical="center"/>
    </xf>
    <xf numFmtId="0" fontId="143" fillId="43" borderId="167" xfId="397" applyFont="1" applyFill="1" applyBorder="1" applyAlignment="1">
      <alignment horizontal="center" vertical="center"/>
    </xf>
    <xf numFmtId="0" fontId="143" fillId="43" borderId="161" xfId="397" applyFont="1" applyFill="1" applyBorder="1" applyAlignment="1">
      <alignment horizontal="center" vertical="center"/>
    </xf>
    <xf numFmtId="0" fontId="82" fillId="43" borderId="345" xfId="43" applyFont="1" applyFill="1" applyBorder="1" applyAlignment="1">
      <alignment horizontal="center" vertical="center" wrapText="1"/>
    </xf>
    <xf numFmtId="0" fontId="82" fillId="43" borderId="346" xfId="43" applyFont="1" applyFill="1" applyBorder="1" applyAlignment="1">
      <alignment horizontal="center" vertical="center" wrapText="1"/>
    </xf>
    <xf numFmtId="0" fontId="143" fillId="43" borderId="130" xfId="397" applyFont="1" applyFill="1" applyBorder="1" applyAlignment="1">
      <alignment horizontal="center" vertical="center"/>
    </xf>
    <xf numFmtId="0" fontId="82" fillId="43" borderId="68" xfId="397" applyFont="1" applyFill="1" applyBorder="1" applyAlignment="1">
      <alignment horizontal="center" vertical="center"/>
    </xf>
    <xf numFmtId="0" fontId="143" fillId="50" borderId="155" xfId="69" applyFont="1" applyFill="1" applyBorder="1" applyAlignment="1">
      <alignment horizontal="center" vertical="center"/>
    </xf>
    <xf numFmtId="0" fontId="143" fillId="50" borderId="167" xfId="69" applyFont="1" applyFill="1" applyBorder="1" applyAlignment="1">
      <alignment horizontal="center" vertical="center"/>
    </xf>
    <xf numFmtId="0" fontId="143" fillId="50" borderId="25" xfId="69" applyFont="1" applyFill="1" applyBorder="1" applyAlignment="1">
      <alignment horizontal="center" vertical="center"/>
    </xf>
    <xf numFmtId="0" fontId="145" fillId="43" borderId="155" xfId="397" applyFont="1" applyFill="1" applyBorder="1" applyAlignment="1">
      <alignment horizontal="center" vertical="center"/>
    </xf>
    <xf numFmtId="0" fontId="145" fillId="43" borderId="161" xfId="397" applyFont="1" applyFill="1" applyBorder="1" applyAlignment="1">
      <alignment horizontal="center" vertical="center"/>
    </xf>
    <xf numFmtId="0" fontId="145" fillId="43" borderId="354" xfId="43" applyFont="1" applyFill="1" applyBorder="1" applyAlignment="1">
      <alignment horizontal="center" vertical="center" wrapText="1"/>
    </xf>
    <xf numFmtId="0" fontId="145" fillId="43" borderId="357" xfId="43" applyFont="1" applyFill="1" applyBorder="1" applyAlignment="1">
      <alignment horizontal="center" vertical="center" wrapText="1"/>
    </xf>
    <xf numFmtId="0" fontId="145" fillId="43" borderId="355" xfId="397" applyFont="1" applyFill="1" applyBorder="1" applyAlignment="1">
      <alignment horizontal="center" vertical="center"/>
    </xf>
    <xf numFmtId="0" fontId="145" fillId="43" borderId="356" xfId="397" applyFont="1" applyFill="1" applyBorder="1" applyAlignment="1">
      <alignment horizontal="center" vertical="center"/>
    </xf>
    <xf numFmtId="0" fontId="151" fillId="51" borderId="156" xfId="43" applyFont="1" applyFill="1" applyBorder="1" applyAlignment="1">
      <alignment horizontal="center" vertical="center"/>
    </xf>
    <xf numFmtId="0" fontId="143" fillId="51" borderId="20" xfId="43" applyFont="1" applyFill="1" applyBorder="1" applyAlignment="1">
      <alignment horizontal="center" vertical="center"/>
    </xf>
    <xf numFmtId="0" fontId="143" fillId="51" borderId="211" xfId="43" applyFont="1" applyFill="1" applyBorder="1" applyAlignment="1">
      <alignment horizontal="center" vertical="center"/>
    </xf>
    <xf numFmtId="0" fontId="145" fillId="43" borderId="220" xfId="397" applyFont="1" applyFill="1" applyBorder="1" applyAlignment="1">
      <alignment horizontal="center" vertical="center"/>
    </xf>
    <xf numFmtId="0" fontId="145" fillId="43" borderId="21" xfId="397" applyFont="1" applyFill="1" applyBorder="1" applyAlignment="1">
      <alignment horizontal="center" vertical="center"/>
    </xf>
    <xf numFmtId="0" fontId="145" fillId="43" borderId="359" xfId="397" applyFont="1" applyFill="1" applyBorder="1" applyAlignment="1">
      <alignment horizontal="center" vertical="center"/>
    </xf>
    <xf numFmtId="0" fontId="145" fillId="43" borderId="3" xfId="397" applyFont="1" applyFill="1" applyBorder="1" applyAlignment="1">
      <alignment horizontal="center" vertical="center"/>
    </xf>
    <xf numFmtId="0" fontId="145" fillId="43" borderId="364" xfId="43" applyFont="1" applyFill="1" applyBorder="1" applyAlignment="1">
      <alignment horizontal="center" vertical="center" wrapText="1"/>
    </xf>
    <xf numFmtId="0" fontId="145" fillId="43" borderId="365" xfId="43" applyFont="1" applyFill="1" applyBorder="1" applyAlignment="1">
      <alignment horizontal="center" vertical="center" wrapText="1"/>
    </xf>
    <xf numFmtId="0" fontId="145" fillId="43" borderId="24" xfId="397" applyFont="1" applyFill="1" applyBorder="1" applyAlignment="1">
      <alignment horizontal="center" vertical="center"/>
    </xf>
    <xf numFmtId="0" fontId="145" fillId="43" borderId="55" xfId="397" applyFont="1" applyFill="1" applyBorder="1" applyAlignment="1">
      <alignment horizontal="center" vertical="center"/>
    </xf>
    <xf numFmtId="0" fontId="145" fillId="43" borderId="366" xfId="397" applyFont="1" applyFill="1" applyBorder="1" applyAlignment="1">
      <alignment horizontal="center" vertical="center"/>
    </xf>
    <xf numFmtId="0" fontId="145" fillId="43" borderId="19" xfId="397" applyFont="1" applyFill="1" applyBorder="1" applyAlignment="1">
      <alignment horizontal="center" vertical="center"/>
    </xf>
    <xf numFmtId="0" fontId="145" fillId="0" borderId="147" xfId="397" applyFont="1" applyBorder="1" applyAlignment="1">
      <alignment horizontal="center" vertical="center"/>
    </xf>
    <xf numFmtId="0" fontId="145" fillId="0" borderId="165" xfId="397" applyFont="1" applyBorder="1" applyAlignment="1">
      <alignment horizontal="center" vertical="center"/>
    </xf>
    <xf numFmtId="226" fontId="143" fillId="0" borderId="205" xfId="397" applyNumberFormat="1" applyFont="1" applyBorder="1" applyAlignment="1">
      <alignment horizontal="center" vertical="center"/>
    </xf>
    <xf numFmtId="226" fontId="143" fillId="0" borderId="224" xfId="397" applyNumberFormat="1" applyFont="1" applyBorder="1" applyAlignment="1">
      <alignment horizontal="center" vertical="center"/>
    </xf>
    <xf numFmtId="226" fontId="143" fillId="0" borderId="351" xfId="397" applyNumberFormat="1" applyFont="1" applyBorder="1" applyAlignment="1">
      <alignment horizontal="center" vertical="center"/>
    </xf>
    <xf numFmtId="226" fontId="143" fillId="0" borderId="353" xfId="397" applyNumberFormat="1" applyFont="1" applyBorder="1" applyAlignment="1">
      <alignment horizontal="center" vertical="center"/>
    </xf>
    <xf numFmtId="0" fontId="143" fillId="0" borderId="33" xfId="397" applyFont="1" applyBorder="1" applyAlignment="1">
      <alignment horizontal="center" vertical="center"/>
    </xf>
    <xf numFmtId="0" fontId="143" fillId="0" borderId="223" xfId="397" applyFont="1" applyBorder="1" applyAlignment="1">
      <alignment horizontal="center" vertical="center"/>
    </xf>
    <xf numFmtId="0" fontId="151" fillId="51" borderId="57" xfId="43" applyFont="1" applyFill="1" applyBorder="1" applyAlignment="1">
      <alignment horizontal="center" vertical="center"/>
    </xf>
    <xf numFmtId="0" fontId="143" fillId="51" borderId="18" xfId="43" applyFont="1" applyFill="1" applyBorder="1" applyAlignment="1">
      <alignment horizontal="center" vertical="center"/>
    </xf>
    <xf numFmtId="0" fontId="143" fillId="51" borderId="56" xfId="43" applyFont="1" applyFill="1" applyBorder="1" applyAlignment="1">
      <alignment horizontal="center" vertical="center"/>
    </xf>
    <xf numFmtId="0" fontId="77" fillId="0" borderId="32" xfId="0" applyFont="1" applyBorder="1"/>
    <xf numFmtId="0" fontId="77" fillId="0" borderId="181" xfId="0" applyFont="1" applyBorder="1"/>
    <xf numFmtId="0" fontId="78" fillId="0" borderId="130" xfId="0" applyFont="1" applyBorder="1" applyAlignment="1">
      <alignment horizontal="center"/>
    </xf>
    <xf numFmtId="0" fontId="78" fillId="0" borderId="20" xfId="0" applyFont="1" applyBorder="1" applyAlignment="1">
      <alignment horizontal="center"/>
    </xf>
    <xf numFmtId="0" fontId="78" fillId="0" borderId="68" xfId="0" applyFont="1" applyBorder="1" applyAlignment="1">
      <alignment horizontal="center"/>
    </xf>
    <xf numFmtId="0" fontId="78" fillId="0" borderId="18" xfId="0" applyFont="1" applyBorder="1"/>
    <xf numFmtId="0" fontId="78" fillId="0" borderId="0" xfId="0" applyFont="1"/>
    <xf numFmtId="0" fontId="78" fillId="0" borderId="18" xfId="0" applyFont="1" applyBorder="1" applyAlignment="1">
      <alignment horizontal="center"/>
    </xf>
    <xf numFmtId="0" fontId="78" fillId="0" borderId="16" xfId="0" applyFont="1" applyBorder="1" applyAlignment="1">
      <alignment horizontal="center"/>
    </xf>
    <xf numFmtId="0" fontId="82" fillId="0" borderId="18" xfId="165" applyFont="1" applyBorder="1" applyAlignment="1">
      <alignment horizontal="center" vertical="center"/>
    </xf>
    <xf numFmtId="0" fontId="82" fillId="0" borderId="16"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15" xfId="0" applyFont="1" applyBorder="1" applyAlignment="1">
      <alignment horizontal="center" vertical="center" wrapText="1"/>
    </xf>
    <xf numFmtId="0" fontId="85" fillId="0" borderId="130" xfId="0" applyFont="1" applyBorder="1" applyAlignment="1">
      <alignment horizontal="left" vertical="center" wrapText="1"/>
    </xf>
    <xf numFmtId="0" fontId="82" fillId="0" borderId="20" xfId="0" applyFont="1" applyBorder="1" applyAlignment="1">
      <alignment horizontal="left" vertical="center" wrapText="1"/>
    </xf>
    <xf numFmtId="0" fontId="82" fillId="0" borderId="68" xfId="0" applyFont="1" applyBorder="1" applyAlignment="1">
      <alignment horizontal="left" vertical="center" wrapText="1"/>
    </xf>
    <xf numFmtId="0" fontId="82" fillId="0" borderId="130" xfId="165" applyFont="1" applyBorder="1" applyAlignment="1">
      <alignment horizontal="center" vertical="center" wrapText="1"/>
    </xf>
    <xf numFmtId="0" fontId="82" fillId="0" borderId="20" xfId="165" applyFont="1" applyBorder="1" applyAlignment="1">
      <alignment horizontal="center" vertical="center" wrapText="1"/>
    </xf>
    <xf numFmtId="0" fontId="82" fillId="0" borderId="68" xfId="165" applyFont="1" applyBorder="1" applyAlignment="1">
      <alignment horizontal="center" vertical="center" wrapText="1"/>
    </xf>
    <xf numFmtId="0" fontId="82" fillId="0" borderId="16" xfId="165" applyFont="1" applyBorder="1" applyAlignment="1">
      <alignment horizontal="center" vertical="center"/>
    </xf>
    <xf numFmtId="0" fontId="82" fillId="0" borderId="15" xfId="165" applyFont="1" applyBorder="1" applyAlignment="1">
      <alignment horizontal="center" vertical="center"/>
    </xf>
    <xf numFmtId="0" fontId="85" fillId="0" borderId="16"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20" xfId="0" applyFont="1" applyBorder="1" applyAlignment="1">
      <alignment horizontal="left" vertical="center" wrapText="1"/>
    </xf>
    <xf numFmtId="0" fontId="85" fillId="0" borderId="68" xfId="0" applyFont="1" applyBorder="1" applyAlignment="1">
      <alignment horizontal="left" vertical="center" wrapText="1"/>
    </xf>
    <xf numFmtId="0" fontId="85" fillId="0" borderId="130" xfId="0" applyFont="1" applyBorder="1" applyAlignment="1">
      <alignment horizontal="left" vertical="top"/>
    </xf>
    <xf numFmtId="0" fontId="85" fillId="0" borderId="20" xfId="0" applyFont="1" applyBorder="1" applyAlignment="1">
      <alignment horizontal="left" vertical="top"/>
    </xf>
    <xf numFmtId="0" fontId="85" fillId="0" borderId="68" xfId="0" applyFont="1" applyBorder="1" applyAlignment="1">
      <alignment horizontal="left" vertical="top"/>
    </xf>
    <xf numFmtId="0" fontId="78" fillId="0" borderId="130" xfId="124" applyFont="1" applyBorder="1" applyAlignment="1">
      <alignment horizontal="left" vertical="center"/>
    </xf>
    <xf numFmtId="0" fontId="78" fillId="0" borderId="68" xfId="124" applyFont="1" applyBorder="1" applyAlignment="1">
      <alignment horizontal="left" vertical="center"/>
    </xf>
    <xf numFmtId="0" fontId="78" fillId="0" borderId="23" xfId="107" applyFont="1" applyBorder="1" applyAlignment="1">
      <alignment horizontal="center" vertical="center" wrapText="1"/>
    </xf>
    <xf numFmtId="0" fontId="78" fillId="0" borderId="22" xfId="107" applyFont="1" applyBorder="1" applyAlignment="1">
      <alignment horizontal="center" vertical="center" wrapText="1"/>
    </xf>
    <xf numFmtId="0" fontId="78" fillId="0" borderId="16" xfId="107" applyFont="1" applyBorder="1" applyAlignment="1">
      <alignment horizontal="left" vertical="center" wrapText="1"/>
    </xf>
    <xf numFmtId="0" fontId="78" fillId="0" borderId="14" xfId="107" applyFont="1" applyBorder="1" applyAlignment="1">
      <alignment horizontal="left" vertical="center" wrapText="1"/>
    </xf>
    <xf numFmtId="0" fontId="78" fillId="0" borderId="15" xfId="107" applyFont="1" applyBorder="1" applyAlignment="1">
      <alignment horizontal="left" vertical="center" wrapText="1"/>
    </xf>
    <xf numFmtId="0" fontId="78" fillId="0" borderId="16" xfId="148" applyFont="1" applyBorder="1" applyAlignment="1">
      <alignment horizontal="left" vertical="center" wrapText="1"/>
    </xf>
    <xf numFmtId="0" fontId="78" fillId="0" borderId="14" xfId="148" applyFont="1" applyBorder="1" applyAlignment="1">
      <alignment horizontal="left" vertical="center" wrapText="1"/>
    </xf>
    <xf numFmtId="0" fontId="78" fillId="0" borderId="15" xfId="148" applyFont="1" applyBorder="1" applyAlignment="1">
      <alignment horizontal="left" vertical="center" wrapText="1"/>
    </xf>
    <xf numFmtId="0" fontId="78" fillId="0" borderId="130" xfId="124" applyFont="1" applyBorder="1" applyAlignment="1">
      <alignment horizontal="center" vertical="center"/>
    </xf>
    <xf numFmtId="0" fontId="78" fillId="0" borderId="68" xfId="124" applyFont="1" applyBorder="1" applyAlignment="1">
      <alignment horizontal="center" vertical="center"/>
    </xf>
    <xf numFmtId="0" fontId="78" fillId="0" borderId="0" xfId="131" applyFont="1" applyAlignment="1">
      <alignment horizontal="left" vertical="top" wrapText="1"/>
    </xf>
    <xf numFmtId="0" fontId="81" fillId="0" borderId="0" xfId="0" applyFont="1" applyAlignment="1">
      <alignment horizontal="left" vertical="top" wrapText="1"/>
    </xf>
    <xf numFmtId="0" fontId="75" fillId="0" borderId="130" xfId="111" applyFont="1" applyBorder="1" applyAlignment="1">
      <alignment horizontal="left" vertical="center" wrapText="1"/>
    </xf>
    <xf numFmtId="0" fontId="75" fillId="0" borderId="20" xfId="111" applyFont="1" applyBorder="1" applyAlignment="1">
      <alignment horizontal="left" vertical="center" wrapText="1"/>
    </xf>
    <xf numFmtId="0" fontId="75" fillId="0" borderId="18" xfId="149" applyFont="1" applyBorder="1" applyAlignment="1">
      <alignment horizontal="center" vertical="center" wrapText="1"/>
    </xf>
    <xf numFmtId="0" fontId="75" fillId="0" borderId="16" xfId="149" applyFont="1" applyBorder="1" applyAlignment="1">
      <alignment horizontal="center" vertical="center" wrapText="1"/>
    </xf>
    <xf numFmtId="0" fontId="75" fillId="0" borderId="15" xfId="149" applyFont="1" applyBorder="1" applyAlignment="1">
      <alignment horizontal="center" vertical="center" wrapText="1"/>
    </xf>
    <xf numFmtId="0" fontId="75" fillId="0" borderId="17" xfId="111" applyFont="1" applyBorder="1" applyAlignment="1">
      <alignment horizontal="center" vertical="center" wrapText="1"/>
    </xf>
    <xf numFmtId="0" fontId="75" fillId="0" borderId="1" xfId="111" applyFont="1" applyBorder="1" applyAlignment="1">
      <alignment horizontal="center" vertical="center" wrapText="1"/>
    </xf>
    <xf numFmtId="49" fontId="75" fillId="0" borderId="23" xfId="111" applyNumberFormat="1" applyFont="1" applyBorder="1" applyAlignment="1">
      <alignment horizontal="center" vertical="center" wrapText="1"/>
    </xf>
    <xf numFmtId="49" fontId="75" fillId="0" borderId="19" xfId="111" applyNumberFormat="1" applyFont="1" applyBorder="1" applyAlignment="1">
      <alignment horizontal="center" vertical="center" wrapText="1"/>
    </xf>
    <xf numFmtId="0" fontId="75" fillId="0" borderId="16" xfId="111" applyFont="1" applyBorder="1" applyAlignment="1">
      <alignment horizontal="left" vertical="center" wrapText="1"/>
    </xf>
    <xf numFmtId="0" fontId="75" fillId="0" borderId="14" xfId="111" applyFont="1" applyBorder="1" applyAlignment="1">
      <alignment horizontal="left" vertical="center" wrapText="1"/>
    </xf>
    <xf numFmtId="0" fontId="75" fillId="0" borderId="15" xfId="111" applyFont="1" applyBorder="1" applyAlignment="1">
      <alignment horizontal="left" vertical="center" wrapText="1"/>
    </xf>
    <xf numFmtId="0" fontId="75" fillId="0" borderId="16" xfId="149" applyFont="1" applyBorder="1" applyAlignment="1">
      <alignment horizontal="left" vertical="center" wrapText="1"/>
    </xf>
    <xf numFmtId="0" fontId="75" fillId="0" borderId="14" xfId="149" applyFont="1" applyBorder="1" applyAlignment="1">
      <alignment horizontal="left" vertical="center" wrapText="1"/>
    </xf>
    <xf numFmtId="0" fontId="75" fillId="0" borderId="15" xfId="149" applyFont="1" applyBorder="1" applyAlignment="1">
      <alignment horizontal="left" vertical="center" wrapText="1"/>
    </xf>
    <xf numFmtId="0" fontId="75" fillId="0" borderId="0" xfId="0" applyFont="1" applyAlignment="1">
      <alignment horizontal="left" vertical="top" wrapText="1"/>
    </xf>
    <xf numFmtId="0" fontId="78" fillId="26" borderId="20" xfId="107" applyFont="1" applyFill="1" applyBorder="1" applyAlignment="1">
      <alignment horizontal="center" vertical="center" wrapText="1"/>
    </xf>
    <xf numFmtId="0" fontId="75" fillId="0" borderId="130" xfId="107" applyFont="1" applyBorder="1" applyAlignment="1">
      <alignment horizontal="center" vertical="center" wrapText="1"/>
    </xf>
    <xf numFmtId="0" fontId="75" fillId="0" borderId="16" xfId="148" applyFont="1" applyBorder="1" applyAlignment="1">
      <alignment horizontal="center" vertical="center" wrapText="1"/>
    </xf>
    <xf numFmtId="0" fontId="75" fillId="0" borderId="15" xfId="148" applyFont="1" applyBorder="1" applyAlignment="1">
      <alignment horizontal="center" vertical="center" wrapText="1"/>
    </xf>
    <xf numFmtId="0" fontId="75" fillId="0" borderId="17" xfId="107" applyFont="1" applyBorder="1" applyAlignment="1">
      <alignment horizontal="center" vertical="center" wrapText="1"/>
    </xf>
    <xf numFmtId="0" fontId="75" fillId="0" borderId="1" xfId="107" applyFont="1" applyBorder="1" applyAlignment="1">
      <alignment horizontal="center" vertical="center" wrapText="1"/>
    </xf>
    <xf numFmtId="0" fontId="75" fillId="0" borderId="21" xfId="107" applyFont="1" applyBorder="1" applyAlignment="1">
      <alignment horizontal="center" vertical="center" wrapText="1"/>
    </xf>
    <xf numFmtId="0" fontId="75" fillId="0" borderId="23" xfId="107" applyFont="1" applyBorder="1" applyAlignment="1">
      <alignment horizontal="center" vertical="center" wrapText="1"/>
    </xf>
    <xf numFmtId="0" fontId="75" fillId="0" borderId="19" xfId="107" applyFont="1" applyBorder="1" applyAlignment="1">
      <alignment horizontal="center" vertical="center" wrapText="1"/>
    </xf>
    <xf numFmtId="0" fontId="75" fillId="0" borderId="22" xfId="107" applyFont="1" applyBorder="1" applyAlignment="1">
      <alignment horizontal="center" vertical="center" wrapText="1"/>
    </xf>
    <xf numFmtId="0" fontId="75" fillId="0" borderId="68" xfId="107" applyFont="1" applyBorder="1" applyAlignment="1">
      <alignment horizontal="center" vertical="center" wrapText="1"/>
    </xf>
    <xf numFmtId="0" fontId="78" fillId="37" borderId="130" xfId="107" applyFont="1" applyFill="1" applyBorder="1" applyAlignment="1">
      <alignment horizontal="center" vertical="center" wrapText="1"/>
    </xf>
    <xf numFmtId="0" fontId="78" fillId="37" borderId="68" xfId="107" applyFont="1" applyFill="1" applyBorder="1" applyAlignment="1">
      <alignment horizontal="center" vertical="center" wrapText="1"/>
    </xf>
    <xf numFmtId="0" fontId="77" fillId="0" borderId="130" xfId="0" quotePrefix="1" applyFont="1" applyBorder="1" applyAlignment="1">
      <alignment horizontal="center"/>
    </xf>
    <xf numFmtId="0" fontId="77" fillId="0" borderId="20" xfId="0" quotePrefix="1" applyFont="1" applyBorder="1" applyAlignment="1">
      <alignment horizontal="center"/>
    </xf>
    <xf numFmtId="0" fontId="77" fillId="0" borderId="68" xfId="0" quotePrefix="1" applyFont="1" applyBorder="1" applyAlignment="1">
      <alignment horizontal="center"/>
    </xf>
    <xf numFmtId="0" fontId="81" fillId="0" borderId="18" xfId="148" applyFont="1" applyBorder="1" applyAlignment="1">
      <alignment horizontal="center" vertical="center" wrapText="1"/>
    </xf>
    <xf numFmtId="0" fontId="81" fillId="0" borderId="130" xfId="61" applyFont="1" applyBorder="1" applyAlignment="1">
      <alignment horizontal="center" vertical="center" wrapText="1"/>
    </xf>
    <xf numFmtId="0" fontId="81" fillId="0" borderId="20" xfId="61" applyFont="1" applyBorder="1" applyAlignment="1">
      <alignment horizontal="center" vertical="center" wrapText="1"/>
    </xf>
    <xf numFmtId="182" fontId="81" fillId="0" borderId="18" xfId="107" applyNumberFormat="1" applyFont="1" applyBorder="1" applyAlignment="1" applyProtection="1">
      <alignment horizontal="center" vertical="center" wrapText="1"/>
      <protection locked="0"/>
    </xf>
    <xf numFmtId="182" fontId="81" fillId="0" borderId="16" xfId="107" applyNumberFormat="1" applyFont="1" applyBorder="1" applyAlignment="1" applyProtection="1">
      <alignment horizontal="center" vertical="center" wrapText="1"/>
      <protection locked="0"/>
    </xf>
    <xf numFmtId="0" fontId="81" fillId="0" borderId="16" xfId="148" applyFont="1" applyBorder="1" applyAlignment="1">
      <alignment horizontal="center" vertical="center" wrapText="1"/>
    </xf>
    <xf numFmtId="0" fontId="81" fillId="0" borderId="14" xfId="148" applyFont="1" applyBorder="1" applyAlignment="1">
      <alignment horizontal="center" vertical="center" wrapText="1"/>
    </xf>
    <xf numFmtId="197" fontId="74" fillId="0" borderId="16" xfId="107" applyNumberFormat="1" applyFont="1" applyBorder="1" applyAlignment="1">
      <alignment horizontal="left" vertical="center" wrapText="1"/>
    </xf>
    <xf numFmtId="197" fontId="74" fillId="0" borderId="14" xfId="107" applyNumberFormat="1" applyFont="1" applyBorder="1" applyAlignment="1">
      <alignment horizontal="left" vertical="center" wrapText="1"/>
    </xf>
    <xf numFmtId="197" fontId="74" fillId="0" borderId="15" xfId="107" applyNumberFormat="1" applyFont="1" applyBorder="1" applyAlignment="1">
      <alignment horizontal="left" vertical="center" wrapText="1"/>
    </xf>
    <xf numFmtId="197" fontId="74" fillId="0" borderId="130" xfId="107" applyNumberFormat="1" applyFont="1" applyBorder="1" applyAlignment="1">
      <alignment horizontal="left" vertical="center" wrapText="1"/>
    </xf>
    <xf numFmtId="197" fontId="74" fillId="0" borderId="68" xfId="107" applyNumberFormat="1" applyFont="1" applyBorder="1" applyAlignment="1">
      <alignment horizontal="left" vertical="center" wrapText="1"/>
    </xf>
    <xf numFmtId="197" fontId="82" fillId="0" borderId="16" xfId="107" applyNumberFormat="1" applyFont="1" applyBorder="1" applyAlignment="1">
      <alignment horizontal="center" vertical="center" wrapText="1"/>
    </xf>
    <xf numFmtId="197" fontId="82" fillId="0" borderId="15" xfId="107" applyNumberFormat="1" applyFont="1" applyBorder="1" applyAlignment="1">
      <alignment horizontal="center" vertical="center" wrapText="1"/>
    </xf>
    <xf numFmtId="197" fontId="82" fillId="0" borderId="130" xfId="107" applyNumberFormat="1" applyFont="1" applyBorder="1" applyAlignment="1">
      <alignment horizontal="center" vertical="center" wrapText="1"/>
    </xf>
    <xf numFmtId="197" fontId="82" fillId="0" borderId="20" xfId="107" applyNumberFormat="1" applyFont="1" applyBorder="1" applyAlignment="1">
      <alignment horizontal="center" vertical="center" wrapText="1"/>
    </xf>
    <xf numFmtId="197" fontId="82" fillId="0" borderId="68" xfId="107" applyNumberFormat="1" applyFont="1" applyBorder="1" applyAlignment="1">
      <alignment horizontal="center" vertical="center" wrapText="1"/>
    </xf>
    <xf numFmtId="197" fontId="85" fillId="0" borderId="130" xfId="107" applyNumberFormat="1" applyFont="1" applyBorder="1" applyAlignment="1">
      <alignment horizontal="center" vertical="center" wrapText="1"/>
    </xf>
    <xf numFmtId="197" fontId="85" fillId="0" borderId="20" xfId="107" applyNumberFormat="1" applyFont="1" applyBorder="1" applyAlignment="1">
      <alignment horizontal="center" vertical="center" wrapText="1"/>
    </xf>
    <xf numFmtId="197" fontId="85" fillId="0" borderId="68" xfId="107" applyNumberFormat="1" applyFont="1" applyBorder="1" applyAlignment="1">
      <alignment horizontal="center" vertical="center" wrapText="1"/>
    </xf>
    <xf numFmtId="197" fontId="82" fillId="0" borderId="17" xfId="107" applyNumberFormat="1" applyFont="1" applyBorder="1" applyAlignment="1">
      <alignment horizontal="center" vertical="center" wrapText="1"/>
    </xf>
    <xf numFmtId="197" fontId="82" fillId="0" borderId="21" xfId="107" applyNumberFormat="1" applyFont="1" applyBorder="1" applyAlignment="1">
      <alignment horizontal="center" vertical="center" wrapText="1"/>
    </xf>
    <xf numFmtId="197" fontId="82" fillId="0" borderId="23" xfId="107" applyNumberFormat="1" applyFont="1" applyBorder="1" applyAlignment="1">
      <alignment horizontal="center" vertical="center" wrapText="1"/>
    </xf>
    <xf numFmtId="197" fontId="82" fillId="0" borderId="22" xfId="107" applyNumberFormat="1" applyFont="1" applyBorder="1" applyAlignment="1">
      <alignment horizontal="center" vertical="center" wrapText="1"/>
    </xf>
    <xf numFmtId="49" fontId="82" fillId="0" borderId="130" xfId="107" applyNumberFormat="1" applyFont="1" applyBorder="1" applyAlignment="1">
      <alignment horizontal="center" vertical="center" wrapText="1"/>
    </xf>
    <xf numFmtId="49" fontId="82" fillId="0" borderId="68" xfId="107" applyNumberFormat="1" applyFont="1" applyBorder="1" applyAlignment="1">
      <alignment horizontal="center" vertical="center" wrapText="1"/>
    </xf>
    <xf numFmtId="0" fontId="100" fillId="0" borderId="18" xfId="107" applyFont="1" applyBorder="1" applyAlignment="1">
      <alignment horizontal="center" vertical="center"/>
    </xf>
    <xf numFmtId="0" fontId="75" fillId="0" borderId="144" xfId="93" applyFont="1" applyBorder="1" applyAlignment="1">
      <alignment horizontal="left" vertical="center" wrapText="1"/>
    </xf>
    <xf numFmtId="0" fontId="75" fillId="0" borderId="206" xfId="93" applyFont="1" applyBorder="1" applyAlignment="1">
      <alignment horizontal="left" vertical="center" wrapText="1"/>
    </xf>
    <xf numFmtId="0" fontId="75" fillId="0" borderId="66" xfId="93" applyFont="1" applyBorder="1" applyAlignment="1">
      <alignment horizontal="left" vertical="center" wrapText="1"/>
    </xf>
    <xf numFmtId="0" fontId="75" fillId="0" borderId="144" xfId="93" applyFont="1" applyBorder="1" applyAlignment="1">
      <alignment horizontal="left" vertical="center"/>
    </xf>
    <xf numFmtId="0" fontId="75" fillId="0" borderId="206" xfId="93" applyFont="1" applyBorder="1" applyAlignment="1">
      <alignment horizontal="left" vertical="center"/>
    </xf>
    <xf numFmtId="0" fontId="75" fillId="0" borderId="66" xfId="93" applyFont="1" applyBorder="1" applyAlignment="1">
      <alignment horizontal="left" vertical="center"/>
    </xf>
    <xf numFmtId="0" fontId="82" fillId="0" borderId="19" xfId="93" applyFont="1" applyBorder="1" applyAlignment="1">
      <alignment horizontal="center" vertical="center" wrapText="1"/>
    </xf>
    <xf numFmtId="0" fontId="96" fillId="0" borderId="19" xfId="106" applyFont="1" applyBorder="1" applyAlignment="1">
      <alignment horizontal="center" vertical="center"/>
    </xf>
    <xf numFmtId="0" fontId="75" fillId="0" borderId="0" xfId="98" applyFont="1" applyAlignment="1">
      <alignment horizontal="left" vertical="center" wrapText="1"/>
    </xf>
    <xf numFmtId="0" fontId="75" fillId="0" borderId="16" xfId="98" applyFont="1" applyBorder="1" applyAlignment="1">
      <alignment horizontal="left" vertical="center" wrapText="1"/>
    </xf>
    <xf numFmtId="0" fontId="75" fillId="0" borderId="14" xfId="98" applyFont="1" applyBorder="1" applyAlignment="1">
      <alignment horizontal="left" vertical="center" wrapText="1"/>
    </xf>
    <xf numFmtId="0" fontId="75" fillId="0" borderId="15" xfId="98" applyFont="1" applyBorder="1" applyAlignment="1">
      <alignment horizontal="left" vertical="center" wrapText="1"/>
    </xf>
    <xf numFmtId="0" fontId="75" fillId="0" borderId="16" xfId="98" applyFont="1" applyBorder="1" applyAlignment="1">
      <alignment horizontal="left" vertical="center"/>
    </xf>
    <xf numFmtId="0" fontId="75" fillId="0" borderId="14" xfId="98" applyFont="1" applyBorder="1" applyAlignment="1">
      <alignment horizontal="left" vertical="center"/>
    </xf>
    <xf numFmtId="0" fontId="75" fillId="0" borderId="15" xfId="98" applyFont="1" applyBorder="1" applyAlignment="1">
      <alignment horizontal="left" vertical="center"/>
    </xf>
    <xf numFmtId="0" fontId="75" fillId="0" borderId="132" xfId="98" applyFont="1" applyBorder="1" applyAlignment="1">
      <alignment horizontal="center" vertical="center"/>
    </xf>
    <xf numFmtId="0" fontId="75" fillId="0" borderId="66" xfId="98" applyFont="1" applyBorder="1" applyAlignment="1">
      <alignment horizontal="center" vertical="center"/>
    </xf>
    <xf numFmtId="0" fontId="82" fillId="0" borderId="22" xfId="124" applyFont="1" applyBorder="1" applyAlignment="1">
      <alignment horizontal="center" vertical="center" wrapText="1"/>
    </xf>
    <xf numFmtId="0" fontId="82" fillId="0" borderId="68" xfId="124" applyFont="1" applyBorder="1" applyAlignment="1">
      <alignment horizontal="center" vertical="center" wrapText="1"/>
    </xf>
    <xf numFmtId="0" fontId="75" fillId="0" borderId="65" xfId="107" applyFont="1" applyBorder="1" applyAlignment="1">
      <alignment horizontal="center" vertical="center" wrapText="1"/>
    </xf>
    <xf numFmtId="0" fontId="75" fillId="0" borderId="57" xfId="107" applyFont="1" applyBorder="1" applyAlignment="1">
      <alignment horizontal="center" vertical="center" wrapText="1"/>
    </xf>
    <xf numFmtId="0" fontId="75" fillId="0" borderId="59" xfId="107" applyFont="1" applyBorder="1" applyAlignment="1">
      <alignment horizontal="center" vertical="center" wrapText="1"/>
    </xf>
    <xf numFmtId="0" fontId="75" fillId="0" borderId="232" xfId="107" applyFont="1" applyBorder="1" applyAlignment="1">
      <alignment horizontal="center" vertical="center" wrapText="1"/>
    </xf>
    <xf numFmtId="0" fontId="75" fillId="0" borderId="55" xfId="92" applyFont="1" applyBorder="1" applyAlignment="1">
      <alignment horizontal="center" vertical="center"/>
    </xf>
    <xf numFmtId="0" fontId="75" fillId="0" borderId="56" xfId="92" applyFont="1" applyBorder="1" applyAlignment="1">
      <alignment horizontal="center" vertical="center"/>
    </xf>
    <xf numFmtId="0" fontId="75" fillId="0" borderId="24" xfId="107" applyFont="1" applyBorder="1" applyAlignment="1">
      <alignment horizontal="center" vertical="center" wrapText="1"/>
    </xf>
    <xf numFmtId="0" fontId="75" fillId="0" borderId="24" xfId="92" applyFont="1" applyBorder="1" applyAlignment="1">
      <alignment horizontal="center" vertical="center"/>
    </xf>
    <xf numFmtId="0" fontId="75" fillId="0" borderId="18" xfId="92" applyFont="1" applyBorder="1" applyAlignment="1">
      <alignment horizontal="center" vertical="center"/>
    </xf>
    <xf numFmtId="197" fontId="75" fillId="0" borderId="59" xfId="107" applyNumberFormat="1" applyFont="1" applyBorder="1" applyAlignment="1">
      <alignment horizontal="center" vertical="center" wrapText="1"/>
    </xf>
    <xf numFmtId="197" fontId="75" fillId="0" borderId="232" xfId="107" applyNumberFormat="1" applyFont="1" applyBorder="1" applyAlignment="1">
      <alignment horizontal="center" vertical="center" wrapText="1"/>
    </xf>
    <xf numFmtId="0" fontId="75" fillId="0" borderId="65" xfId="92" applyFont="1" applyBorder="1" applyAlignment="1">
      <alignment horizontal="center" vertical="center"/>
    </xf>
    <xf numFmtId="0" fontId="75" fillId="0" borderId="57" xfId="92" applyFont="1" applyBorder="1" applyAlignment="1">
      <alignment horizontal="center" vertical="center"/>
    </xf>
    <xf numFmtId="0" fontId="85" fillId="0" borderId="155" xfId="124" applyFont="1" applyBorder="1" applyAlignment="1">
      <alignment horizontal="center" vertical="center" wrapText="1"/>
    </xf>
    <xf numFmtId="0" fontId="85" fillId="0" borderId="25" xfId="124" applyFont="1" applyBorder="1" applyAlignment="1">
      <alignment horizontal="center" vertical="center" wrapText="1"/>
    </xf>
    <xf numFmtId="49" fontId="74" fillId="0" borderId="33" xfId="124" applyNumberFormat="1" applyFont="1" applyBorder="1" applyAlignment="1">
      <alignment horizontal="center" wrapText="1"/>
    </xf>
    <xf numFmtId="49" fontId="74" fillId="0" borderId="34" xfId="124" applyNumberFormat="1" applyFont="1" applyBorder="1" applyAlignment="1">
      <alignment horizontal="center" wrapText="1"/>
    </xf>
    <xf numFmtId="0" fontId="74" fillId="0" borderId="0" xfId="124" applyFont="1" applyAlignment="1">
      <alignment horizontal="left" vertical="center" wrapText="1"/>
    </xf>
    <xf numFmtId="49" fontId="74" fillId="0" borderId="258" xfId="124" applyNumberFormat="1" applyFont="1" applyBorder="1" applyAlignment="1">
      <alignment horizontal="center" wrapText="1"/>
    </xf>
    <xf numFmtId="49" fontId="74" fillId="0" borderId="259" xfId="124" applyNumberFormat="1" applyFont="1" applyBorder="1" applyAlignment="1">
      <alignment horizontal="center" wrapText="1"/>
    </xf>
    <xf numFmtId="49" fontId="74" fillId="0" borderId="260" xfId="124" applyNumberFormat="1" applyFont="1" applyBorder="1" applyAlignment="1">
      <alignment horizontal="center" wrapText="1"/>
    </xf>
    <xf numFmtId="197" fontId="117" fillId="0" borderId="18" xfId="157" applyNumberFormat="1" applyFont="1" applyBorder="1" applyAlignment="1">
      <alignment horizontal="left" vertical="center" wrapText="1"/>
    </xf>
  </cellXfs>
  <cellStyles count="401">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3" xr:uid="{00000000-0005-0000-0000-00002001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4" xr:uid="{00000000-0005-0000-0000-000021010000}"/>
    <cellStyle name="一般 18" xfId="285" xr:uid="{00000000-0005-0000-0000-000022010000}"/>
    <cellStyle name="一般 19" xfId="286"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0" xfId="397" xr:uid="{0F8E82D4-23D8-4921-8EBA-25E12871882D}"/>
    <cellStyle name="一般 21" xfId="399" xr:uid="{5D045CEF-0DEE-4E8B-9F91-33D9068D0E24}"/>
    <cellStyle name="一般 27" xfId="287"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8" xr:uid="{00000000-0005-0000-0000-000025010000}"/>
    <cellStyle name="一般 4" xfId="74" xr:uid="{00000000-0005-0000-0000-00004A000000}"/>
    <cellStyle name="一般 4 2" xfId="75" xr:uid="{00000000-0005-0000-0000-00004B000000}"/>
    <cellStyle name="一般 4 3" xfId="76" xr:uid="{00000000-0005-0000-0000-00004C000000}"/>
    <cellStyle name="一般 4 3 2" xfId="289"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6"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產險1217" xfId="163" xr:uid="{00000000-0005-0000-0000-0000A4000000}"/>
    <cellStyle name="一般_檢查報表-產險980120(不含與RBC相關) 2" xfId="164" xr:uid="{00000000-0005-0000-0000-0000A5000000}"/>
    <cellStyle name="一般_檢查報表-壽險1217(修)" xfId="165" xr:uid="{00000000-0005-0000-0000-0000A6000000}"/>
    <cellStyle name="千分位" xfId="166" builtinId="3"/>
    <cellStyle name="千分位 10" xfId="257" xr:uid="{00000000-0005-0000-0000-0000A8000000}"/>
    <cellStyle name="千分位 11" xfId="290" xr:uid="{00000000-0005-0000-0000-000039010000}"/>
    <cellStyle name="千分位 12" xfId="398" xr:uid="{FDB64BB3-3831-461B-83D7-7BD7E74E5D06}"/>
    <cellStyle name="千分位 13" xfId="400" xr:uid="{132C53CD-C3C2-4203-9FE9-C0D0B803F51A}"/>
    <cellStyle name="千分位 2" xfId="167" xr:uid="{00000000-0005-0000-0000-0000A9000000}"/>
    <cellStyle name="千分位 2 2" xfId="168" xr:uid="{00000000-0005-0000-0000-0000AA000000}"/>
    <cellStyle name="千分位 2 2 2" xfId="259" xr:uid="{00000000-0005-0000-0000-0000AB000000}"/>
    <cellStyle name="千分位 2 2 2 2" xfId="294" xr:uid="{00000000-0005-0000-0000-00003D010000}"/>
    <cellStyle name="千分位 2 2 2 2 2" xfId="295" xr:uid="{00000000-0005-0000-0000-00003E010000}"/>
    <cellStyle name="千分位 2 2 2 3" xfId="296" xr:uid="{00000000-0005-0000-0000-00003F010000}"/>
    <cellStyle name="千分位 2 2 2 4" xfId="293" xr:uid="{00000000-0005-0000-0000-00003C010000}"/>
    <cellStyle name="千分位 2 2 3" xfId="297" xr:uid="{00000000-0005-0000-0000-000040010000}"/>
    <cellStyle name="千分位 2 2 3 2" xfId="298" xr:uid="{00000000-0005-0000-0000-000041010000}"/>
    <cellStyle name="千分位 2 2 3 3" xfId="299" xr:uid="{00000000-0005-0000-0000-000042010000}"/>
    <cellStyle name="千分位 2 2 4" xfId="300" xr:uid="{00000000-0005-0000-0000-000043010000}"/>
    <cellStyle name="千分位 2 2 5" xfId="301" xr:uid="{00000000-0005-0000-0000-000044010000}"/>
    <cellStyle name="千分位 2 2 6" xfId="292" xr:uid="{00000000-0005-0000-0000-00003B010000}"/>
    <cellStyle name="千分位 2 3" xfId="169" xr:uid="{00000000-0005-0000-0000-0000AC000000}"/>
    <cellStyle name="千分位 2 3 2" xfId="170" xr:uid="{00000000-0005-0000-0000-0000AD000000}"/>
    <cellStyle name="千分位 2 3 2 2" xfId="261" xr:uid="{00000000-0005-0000-0000-0000AE000000}"/>
    <cellStyle name="千分位 2 3 2 2 2" xfId="305" xr:uid="{00000000-0005-0000-0000-000048010000}"/>
    <cellStyle name="千分位 2 3 2 2 3" xfId="306" xr:uid="{00000000-0005-0000-0000-000049010000}"/>
    <cellStyle name="千分位 2 3 2 2 4" xfId="304" xr:uid="{00000000-0005-0000-0000-000047010000}"/>
    <cellStyle name="千分位 2 3 2 3" xfId="307" xr:uid="{00000000-0005-0000-0000-00004A010000}"/>
    <cellStyle name="千分位 2 3 2 3 2" xfId="308" xr:uid="{00000000-0005-0000-0000-00004B010000}"/>
    <cellStyle name="千分位 2 3 2 4" xfId="309" xr:uid="{00000000-0005-0000-0000-00004C010000}"/>
    <cellStyle name="千分位 2 3 2 5" xfId="310" xr:uid="{00000000-0005-0000-0000-00004D010000}"/>
    <cellStyle name="千分位 2 3 2 6" xfId="303" xr:uid="{00000000-0005-0000-0000-000046010000}"/>
    <cellStyle name="千分位 2 3 3" xfId="171" xr:uid="{00000000-0005-0000-0000-0000AF000000}"/>
    <cellStyle name="千分位 2 3 3 2" xfId="262" xr:uid="{00000000-0005-0000-0000-0000B0000000}"/>
    <cellStyle name="千分位 2 3 3 2 2" xfId="313" xr:uid="{00000000-0005-0000-0000-000050010000}"/>
    <cellStyle name="千分位 2 3 3 2 3" xfId="312" xr:uid="{00000000-0005-0000-0000-00004F010000}"/>
    <cellStyle name="千分位 2 3 3 3" xfId="314" xr:uid="{00000000-0005-0000-0000-000051010000}"/>
    <cellStyle name="千分位 2 3 3 4" xfId="311" xr:uid="{00000000-0005-0000-0000-00004E010000}"/>
    <cellStyle name="千分位 2 3 4" xfId="260" xr:uid="{00000000-0005-0000-0000-0000B1000000}"/>
    <cellStyle name="千分位 2 3 4 2" xfId="316" xr:uid="{00000000-0005-0000-0000-000053010000}"/>
    <cellStyle name="千分位 2 3 4 3" xfId="317" xr:uid="{00000000-0005-0000-0000-000054010000}"/>
    <cellStyle name="千分位 2 3 4 4" xfId="315" xr:uid="{00000000-0005-0000-0000-000052010000}"/>
    <cellStyle name="千分位 2 3 5" xfId="318" xr:uid="{00000000-0005-0000-0000-000055010000}"/>
    <cellStyle name="千分位 2 3 6" xfId="319" xr:uid="{00000000-0005-0000-0000-000056010000}"/>
    <cellStyle name="千分位 2 3 7" xfId="302" xr:uid="{00000000-0005-0000-0000-000045010000}"/>
    <cellStyle name="千分位 2 4" xfId="172" xr:uid="{00000000-0005-0000-0000-0000B2000000}"/>
    <cellStyle name="千分位 2 4 2" xfId="173" xr:uid="{00000000-0005-0000-0000-0000B3000000}"/>
    <cellStyle name="千分位 2 4 2 2" xfId="264" xr:uid="{00000000-0005-0000-0000-0000B4000000}"/>
    <cellStyle name="千分位 2 4 2 2 2" xfId="323" xr:uid="{00000000-0005-0000-0000-00005A010000}"/>
    <cellStyle name="千分位 2 4 2 2 3" xfId="324" xr:uid="{00000000-0005-0000-0000-00005B010000}"/>
    <cellStyle name="千分位 2 4 2 2 4" xfId="322" xr:uid="{00000000-0005-0000-0000-000059010000}"/>
    <cellStyle name="千分位 2 4 2 3" xfId="325" xr:uid="{00000000-0005-0000-0000-00005C010000}"/>
    <cellStyle name="千分位 2 4 2 3 2" xfId="326" xr:uid="{00000000-0005-0000-0000-00005D010000}"/>
    <cellStyle name="千分位 2 4 2 4" xfId="327" xr:uid="{00000000-0005-0000-0000-00005E010000}"/>
    <cellStyle name="千分位 2 4 2 5" xfId="328" xr:uid="{00000000-0005-0000-0000-00005F010000}"/>
    <cellStyle name="千分位 2 4 2 6" xfId="321" xr:uid="{00000000-0005-0000-0000-000058010000}"/>
    <cellStyle name="千分位 2 4 3" xfId="174" xr:uid="{00000000-0005-0000-0000-0000B5000000}"/>
    <cellStyle name="千分位 2 4 3 2" xfId="265" xr:uid="{00000000-0005-0000-0000-0000B6000000}"/>
    <cellStyle name="千分位 2 4 3 2 2" xfId="331" xr:uid="{00000000-0005-0000-0000-000062010000}"/>
    <cellStyle name="千分位 2 4 3 2 3" xfId="330" xr:uid="{00000000-0005-0000-0000-000061010000}"/>
    <cellStyle name="千分位 2 4 3 3" xfId="332" xr:uid="{00000000-0005-0000-0000-000063010000}"/>
    <cellStyle name="千分位 2 4 3 4" xfId="329" xr:uid="{00000000-0005-0000-0000-000060010000}"/>
    <cellStyle name="千分位 2 4 4" xfId="263" xr:uid="{00000000-0005-0000-0000-0000B7000000}"/>
    <cellStyle name="千分位 2 4 4 2" xfId="334" xr:uid="{00000000-0005-0000-0000-000065010000}"/>
    <cellStyle name="千分位 2 4 4 3" xfId="335" xr:uid="{00000000-0005-0000-0000-000066010000}"/>
    <cellStyle name="千分位 2 4 4 4" xfId="333" xr:uid="{00000000-0005-0000-0000-000064010000}"/>
    <cellStyle name="千分位 2 4 5" xfId="336" xr:uid="{00000000-0005-0000-0000-000067010000}"/>
    <cellStyle name="千分位 2 4 6" xfId="337" xr:uid="{00000000-0005-0000-0000-000068010000}"/>
    <cellStyle name="千分位 2 4 7" xfId="320" xr:uid="{00000000-0005-0000-0000-000057010000}"/>
    <cellStyle name="千分位 2 5" xfId="175" xr:uid="{00000000-0005-0000-0000-0000B8000000}"/>
    <cellStyle name="千分位 2 5 2" xfId="266" xr:uid="{00000000-0005-0000-0000-0000B9000000}"/>
    <cellStyle name="千分位 2 5 2 2" xfId="340" xr:uid="{00000000-0005-0000-0000-00006B010000}"/>
    <cellStyle name="千分位 2 5 2 3" xfId="339" xr:uid="{00000000-0005-0000-0000-00006A010000}"/>
    <cellStyle name="千分位 2 5 3" xfId="341" xr:uid="{00000000-0005-0000-0000-00006C010000}"/>
    <cellStyle name="千分位 2 5 4" xfId="338" xr:uid="{00000000-0005-0000-0000-000069010000}"/>
    <cellStyle name="千分位 2 6" xfId="176" xr:uid="{00000000-0005-0000-0000-0000BA000000}"/>
    <cellStyle name="千分位 2 6 2" xfId="267" xr:uid="{00000000-0005-0000-0000-0000BB000000}"/>
    <cellStyle name="千分位 2 6 2 2" xfId="343" xr:uid="{00000000-0005-0000-0000-00006E010000}"/>
    <cellStyle name="千分位 2 6 3" xfId="344" xr:uid="{00000000-0005-0000-0000-00006F010000}"/>
    <cellStyle name="千分位 2 6 4" xfId="342" xr:uid="{00000000-0005-0000-0000-00006D010000}"/>
    <cellStyle name="千分位 2 7" xfId="177" xr:uid="{00000000-0005-0000-0000-0000BC000000}"/>
    <cellStyle name="千分位 2 7 2" xfId="268" xr:uid="{00000000-0005-0000-0000-0000BD000000}"/>
    <cellStyle name="千分位 2 7 3" xfId="345" xr:uid="{00000000-0005-0000-0000-000070010000}"/>
    <cellStyle name="千分位 2 8" xfId="258" xr:uid="{00000000-0005-0000-0000-0000BE000000}"/>
    <cellStyle name="千分位 2 8 2" xfId="346" xr:uid="{00000000-0005-0000-0000-000071010000}"/>
    <cellStyle name="千分位 2 9" xfId="291" xr:uid="{00000000-0005-0000-0000-00003A010000}"/>
    <cellStyle name="千分位 3" xfId="178" xr:uid="{00000000-0005-0000-0000-0000BF000000}"/>
    <cellStyle name="千分位 3 2" xfId="179" xr:uid="{00000000-0005-0000-0000-0000C0000000}"/>
    <cellStyle name="千分位 3 2 2" xfId="270" xr:uid="{00000000-0005-0000-0000-0000C1000000}"/>
    <cellStyle name="千分位 3 2 2 2" xfId="349" xr:uid="{00000000-0005-0000-0000-000074010000}"/>
    <cellStyle name="千分位 3 2 2 3" xfId="348" xr:uid="{00000000-0005-0000-0000-000073010000}"/>
    <cellStyle name="千分位 3 2 3" xfId="350" xr:uid="{00000000-0005-0000-0000-000075010000}"/>
    <cellStyle name="千分位 3 2 4" xfId="347" xr:uid="{00000000-0005-0000-0000-000072010000}"/>
    <cellStyle name="千分位 3 3" xfId="180" xr:uid="{00000000-0005-0000-0000-0000C2000000}"/>
    <cellStyle name="千分位 3 3 2" xfId="271" xr:uid="{00000000-0005-0000-0000-0000C3000000}"/>
    <cellStyle name="千分位 3 3 2 2" xfId="352" xr:uid="{00000000-0005-0000-0000-000077010000}"/>
    <cellStyle name="千分位 3 3 2 3" xfId="353" xr:uid="{00000000-0005-0000-0000-000078010000}"/>
    <cellStyle name="千分位 3 3 2 4" xfId="351" xr:uid="{00000000-0005-0000-0000-000076010000}"/>
    <cellStyle name="千分位 3 4" xfId="269" xr:uid="{00000000-0005-0000-0000-0000C4000000}"/>
    <cellStyle name="千分位 4" xfId="181" xr:uid="{00000000-0005-0000-0000-0000C5000000}"/>
    <cellStyle name="千分位 4 2" xfId="272" xr:uid="{00000000-0005-0000-0000-0000C6000000}"/>
    <cellStyle name="千分位 4 2 2" xfId="355" xr:uid="{00000000-0005-0000-0000-00007A010000}"/>
    <cellStyle name="千分位 4 3" xfId="356" xr:uid="{00000000-0005-0000-0000-00007B010000}"/>
    <cellStyle name="千分位 4 4" xfId="354" xr:uid="{00000000-0005-0000-0000-000079010000}"/>
    <cellStyle name="千分位 5" xfId="182" xr:uid="{00000000-0005-0000-0000-0000C7000000}"/>
    <cellStyle name="千分位 5 2" xfId="358" xr:uid="{00000000-0005-0000-0000-00007D010000}"/>
    <cellStyle name="千分位 5 3" xfId="357" xr:uid="{00000000-0005-0000-0000-00007C010000}"/>
    <cellStyle name="千分位 6" xfId="183" xr:uid="{00000000-0005-0000-0000-0000C8000000}"/>
    <cellStyle name="千分位 6 2" xfId="273" xr:uid="{00000000-0005-0000-0000-0000C9000000}"/>
    <cellStyle name="千分位 6 3" xfId="359" xr:uid="{00000000-0005-0000-0000-00007E010000}"/>
    <cellStyle name="千分位 7" xfId="184" xr:uid="{00000000-0005-0000-0000-0000CA000000}"/>
    <cellStyle name="千分位 7 2" xfId="274" xr:uid="{00000000-0005-0000-0000-0000CB000000}"/>
    <cellStyle name="千分位 8" xfId="185" xr:uid="{00000000-0005-0000-0000-0000CC000000}"/>
    <cellStyle name="千分位 8 2" xfId="186" xr:uid="{00000000-0005-0000-0000-0000CD000000}"/>
    <cellStyle name="千分位 8 2 2" xfId="276" xr:uid="{00000000-0005-0000-0000-0000CE000000}"/>
    <cellStyle name="千分位 8 3" xfId="275" xr:uid="{00000000-0005-0000-0000-0000CF000000}"/>
    <cellStyle name="千分位 9" xfId="256" xr:uid="{00000000-0005-0000-0000-0000D0000000}"/>
    <cellStyle name="千分位 9 2" xfId="282" xr:uid="{00000000-0005-0000-0000-0000D1000000}"/>
    <cellStyle name="千分位[0] 2" xfId="187" xr:uid="{00000000-0005-0000-0000-0000D2000000}"/>
    <cellStyle name="千分位[0] 2 2" xfId="188" xr:uid="{00000000-0005-0000-0000-0000D3000000}"/>
    <cellStyle name="千分位[0] 2 2 2" xfId="278" xr:uid="{00000000-0005-0000-0000-0000D4000000}"/>
    <cellStyle name="千分位[0] 2 2 2 2" xfId="364" xr:uid="{00000000-0005-0000-0000-000083010000}"/>
    <cellStyle name="千分位[0] 2 2 2 2 2" xfId="365" xr:uid="{00000000-0005-0000-0000-000084010000}"/>
    <cellStyle name="千分位[0] 2 2 2 3" xfId="366" xr:uid="{00000000-0005-0000-0000-000085010000}"/>
    <cellStyle name="千分位[0] 2 2 2 4" xfId="363" xr:uid="{00000000-0005-0000-0000-000082010000}"/>
    <cellStyle name="千分位[0] 2 2 3" xfId="367" xr:uid="{00000000-0005-0000-0000-000086010000}"/>
    <cellStyle name="千分位[0] 2 2 3 2" xfId="368" xr:uid="{00000000-0005-0000-0000-000087010000}"/>
    <cellStyle name="千分位[0] 2 2 3 3" xfId="369" xr:uid="{00000000-0005-0000-0000-000088010000}"/>
    <cellStyle name="千分位[0] 2 2 4" xfId="370" xr:uid="{00000000-0005-0000-0000-000089010000}"/>
    <cellStyle name="千分位[0] 2 2 5" xfId="371" xr:uid="{00000000-0005-0000-0000-00008A010000}"/>
    <cellStyle name="千分位[0] 2 2 6" xfId="362" xr:uid="{00000000-0005-0000-0000-000081010000}"/>
    <cellStyle name="千分位[0] 2 3" xfId="189" xr:uid="{00000000-0005-0000-0000-0000D5000000}"/>
    <cellStyle name="千分位[0] 2 3 2" xfId="279" xr:uid="{00000000-0005-0000-0000-0000D6000000}"/>
    <cellStyle name="千分位[0] 2 3 2 2" xfId="373" xr:uid="{00000000-0005-0000-0000-00008C010000}"/>
    <cellStyle name="千分位[0] 2 3 2 2 2" xfId="374" xr:uid="{00000000-0005-0000-0000-00008D010000}"/>
    <cellStyle name="千分位[0] 2 3 2 3" xfId="375" xr:uid="{00000000-0005-0000-0000-00008E010000}"/>
    <cellStyle name="千分位[0] 2 3 2 4" xfId="372" xr:uid="{00000000-0005-0000-0000-00008B010000}"/>
    <cellStyle name="千分位[0] 2 4" xfId="277" xr:uid="{00000000-0005-0000-0000-0000D7000000}"/>
    <cellStyle name="千分位[0] 2 4 2" xfId="377" xr:uid="{00000000-0005-0000-0000-000090010000}"/>
    <cellStyle name="千分位[0] 2 4 2 2" xfId="378" xr:uid="{00000000-0005-0000-0000-000091010000}"/>
    <cellStyle name="千分位[0] 2 4 3" xfId="379" xr:uid="{00000000-0005-0000-0000-000092010000}"/>
    <cellStyle name="千分位[0] 2 4 4" xfId="376" xr:uid="{00000000-0005-0000-0000-00008F010000}"/>
    <cellStyle name="千分位[0] 2 5" xfId="380" xr:uid="{00000000-0005-0000-0000-000093010000}"/>
    <cellStyle name="千分位[0] 2 5 2" xfId="381" xr:uid="{00000000-0005-0000-0000-000094010000}"/>
    <cellStyle name="千分位[0] 2 5 3" xfId="382" xr:uid="{00000000-0005-0000-0000-000095010000}"/>
    <cellStyle name="千分位[0] 2 6" xfId="383" xr:uid="{00000000-0005-0000-0000-000096010000}"/>
    <cellStyle name="千分位[0] 2 7" xfId="384" xr:uid="{00000000-0005-0000-0000-000097010000}"/>
    <cellStyle name="千分位[0] 2 8" xfId="361" xr:uid="{00000000-0005-0000-0000-000080010000}"/>
    <cellStyle name="千分位[0] 3" xfId="385" xr:uid="{00000000-0005-0000-0000-000098010000}"/>
    <cellStyle name="千分位[0] 3 2" xfId="386" xr:uid="{00000000-0005-0000-0000-000099010000}"/>
    <cellStyle name="千分位[0] 4" xfId="387" xr:uid="{00000000-0005-0000-0000-00009A010000}"/>
    <cellStyle name="千分位[0] 4 2" xfId="388" xr:uid="{00000000-0005-0000-0000-00009B010000}"/>
    <cellStyle name="千分位[0] 5" xfId="389" xr:uid="{00000000-0005-0000-0000-00009C010000}"/>
    <cellStyle name="千分位[0] 6" xfId="360" xr:uid="{00000000-0005-0000-0000-00007F010000}"/>
    <cellStyle name="千分位[0]_921002保險業月報yaotung" xfId="190" xr:uid="{00000000-0005-0000-0000-0000D8000000}"/>
    <cellStyle name="千分位[0]_再保險公司年度檢表-RBC-公布版" xfId="191" xr:uid="{00000000-0005-0000-0000-0000D9000000}"/>
    <cellStyle name="千分位[0]_新產險檢查報表(含頁碼)(910204)" xfId="192" xr:uid="{00000000-0005-0000-0000-0000DA000000}"/>
    <cellStyle name="千分位[0]_新產險檢查報表(含頁碼)(910204) 2" xfId="280" xr:uid="{00000000-0005-0000-0000-0000DB000000}"/>
    <cellStyle name="千分位[0]_檢查報表_再(不含C0調整)_連結修正951227" xfId="193" xr:uid="{00000000-0005-0000-0000-0000DC000000}"/>
    <cellStyle name="千分位_94RBC報表修改-壽險(2修 )" xfId="194" xr:uid="{00000000-0005-0000-0000-0000DD000000}"/>
    <cellStyle name="千分位_95年度RBC衍生性商品報表1214 " xfId="195" xr:uid="{00000000-0005-0000-0000-0000DE000000}"/>
    <cellStyle name="千分位_檢查報表_再(不含C0調整)_連結修正951227" xfId="196" xr:uid="{00000000-0005-0000-0000-0000DF000000}"/>
    <cellStyle name="中等" xfId="197" builtinId="28" customBuiltin="1"/>
    <cellStyle name="合計" xfId="198" builtinId="25" customBuiltin="1"/>
    <cellStyle name="好" xfId="199" builtinId="26" customBuiltin="1"/>
    <cellStyle name="好_40911201 12~1月明細" xfId="200" xr:uid="{00000000-0005-0000-0000-0000E3000000}"/>
    <cellStyle name="好_RBC相關報表-產險" xfId="201" xr:uid="{00000000-0005-0000-0000-0000E4000000}"/>
    <cellStyle name="好_RBC相關報表-壽險(100.11.10)" xfId="202" xr:uid="{00000000-0005-0000-0000-0000E5000000}"/>
    <cellStyle name="好_RBC相關暨修訂報表-產險0811" xfId="203" xr:uid="{00000000-0005-0000-0000-0000E6000000}"/>
    <cellStyle name="好_半年報檢查報表-業務類強制車險-產險" xfId="204" xr:uid="{00000000-0005-0000-0000-0000E7000000}"/>
    <cellStyle name="好_再保險資產表_100年適用11.21" xfId="205" xr:uid="{00000000-0005-0000-0000-0000E8000000}"/>
    <cellStyle name="好_年報檢查報表-業務類強制車險-產險-修正1129" xfId="206" xr:uid="{00000000-0005-0000-0000-0000E9000000}"/>
    <cellStyle name="好_非RBC相關報表-產險" xfId="207" xr:uid="{00000000-0005-0000-0000-0000EA000000}"/>
    <cellStyle name="好_非RBC相關報表-產險(0512)" xfId="208" xr:uid="{00000000-0005-0000-0000-0000EB000000}"/>
    <cellStyle name="百分比" xfId="209" builtinId="5"/>
    <cellStyle name="百分比 2" xfId="210" xr:uid="{00000000-0005-0000-0000-0000ED000000}"/>
    <cellStyle name="百分比 2 2" xfId="211" xr:uid="{00000000-0005-0000-0000-0000EE000000}"/>
    <cellStyle name="百分比 2 2 2" xfId="212" xr:uid="{00000000-0005-0000-0000-0000EF000000}"/>
    <cellStyle name="百分比 2 3" xfId="213" xr:uid="{00000000-0005-0000-0000-0000F0000000}"/>
    <cellStyle name="百分比 2 4" xfId="214" xr:uid="{00000000-0005-0000-0000-0000F1000000}"/>
    <cellStyle name="百分比 2 4 2" xfId="390" xr:uid="{00000000-0005-0000-0000-0000A1010000}"/>
    <cellStyle name="百分比 2 6" xfId="391" xr:uid="{00000000-0005-0000-0000-0000A2010000}"/>
    <cellStyle name="百分比 3" xfId="215" xr:uid="{00000000-0005-0000-0000-0000F2000000}"/>
    <cellStyle name="百分比 4" xfId="216" xr:uid="{00000000-0005-0000-0000-0000F3000000}"/>
    <cellStyle name="百分比 5" xfId="217" xr:uid="{00000000-0005-0000-0000-0000F4000000}"/>
    <cellStyle name="百分比 6" xfId="218" xr:uid="{00000000-0005-0000-0000-0000F5000000}"/>
    <cellStyle name="百分比 7" xfId="219" xr:uid="{00000000-0005-0000-0000-0000F6000000}"/>
    <cellStyle name="計算方式" xfId="220" builtinId="22" customBuiltin="1"/>
    <cellStyle name="桁区切り 2" xfId="221" xr:uid="{00000000-0005-0000-0000-0000F8000000}"/>
    <cellStyle name="貨幣[0]" xfId="222" xr:uid="{00000000-0005-0000-0000-0000F9000000}"/>
    <cellStyle name="貨幣[0] 2" xfId="281" xr:uid="{00000000-0005-0000-0000-0000FA000000}"/>
    <cellStyle name="貨幣[0] 2 2" xfId="393" xr:uid="{00000000-0005-0000-0000-0000A4010000}"/>
    <cellStyle name="貨幣[0] 2 2 2" xfId="394" xr:uid="{00000000-0005-0000-0000-0000A5010000}"/>
    <cellStyle name="貨幣[0] 2 3" xfId="395" xr:uid="{00000000-0005-0000-0000-0000A6010000}"/>
    <cellStyle name="貨幣[0] 2 4" xfId="392" xr:uid="{00000000-0005-0000-0000-0000A3010000}"/>
    <cellStyle name="連結的儲存格" xfId="223" builtinId="24" customBuiltin="1"/>
    <cellStyle name="備註" xfId="224" builtinId="10" customBuiltin="1"/>
    <cellStyle name="超連結 2" xfId="225" xr:uid="{00000000-0005-0000-0000-0000FD000000}"/>
    <cellStyle name="說明文字" xfId="226" builtinId="53" customBuiltin="1"/>
    <cellStyle name="輔色1" xfId="227" builtinId="29" customBuiltin="1"/>
    <cellStyle name="輔色2" xfId="228" builtinId="33" customBuiltin="1"/>
    <cellStyle name="輔色3" xfId="229" builtinId="37" customBuiltin="1"/>
    <cellStyle name="輔色4" xfId="230" builtinId="41" customBuiltin="1"/>
    <cellStyle name="輔色5" xfId="231" builtinId="45" customBuiltin="1"/>
    <cellStyle name="輔色6" xfId="232" builtinId="49" customBuiltin="1"/>
    <cellStyle name="標準_01 Per Risk Info 20080229" xfId="233" xr:uid="{00000000-0005-0000-0000-000005010000}"/>
    <cellStyle name="標題" xfId="234" builtinId="15" customBuiltin="1"/>
    <cellStyle name="標題 1" xfId="235" builtinId="16" customBuiltin="1"/>
    <cellStyle name="標題 2" xfId="236" builtinId="17" customBuiltin="1"/>
    <cellStyle name="標題 3" xfId="237" builtinId="18" customBuiltin="1"/>
    <cellStyle name="標題 4" xfId="238" builtinId="19" customBuiltin="1"/>
    <cellStyle name="輸入" xfId="239" builtinId="20" customBuiltin="1"/>
    <cellStyle name="輸出" xfId="240" builtinId="21" customBuiltin="1"/>
    <cellStyle name="檢查儲存格" xfId="241" builtinId="23" customBuiltin="1"/>
    <cellStyle name="壞" xfId="242" builtinId="27" customBuiltin="1"/>
    <cellStyle name="壞_40911201 12~1月明細" xfId="243" xr:uid="{00000000-0005-0000-0000-00000F010000}"/>
    <cellStyle name="壞_RBC相關報表-產險" xfId="244" xr:uid="{00000000-0005-0000-0000-000010010000}"/>
    <cellStyle name="壞_RBC相關報表-壽險(100.11.10)" xfId="245" xr:uid="{00000000-0005-0000-0000-000011010000}"/>
    <cellStyle name="壞_RBC相關暨修訂報表-產險0811" xfId="246" xr:uid="{00000000-0005-0000-0000-000012010000}"/>
    <cellStyle name="壞_火險合約" xfId="247" xr:uid="{00000000-0005-0000-0000-000013010000}"/>
    <cellStyle name="壞_火險臨分" xfId="248" xr:uid="{00000000-0005-0000-0000-000014010000}"/>
    <cellStyle name="壞_半年報檢查報表-業務類強制車險-產險" xfId="249" xr:uid="{00000000-0005-0000-0000-000015010000}"/>
    <cellStyle name="壞_再保險資產表_100年適用11.21" xfId="250" xr:uid="{00000000-0005-0000-0000-000016010000}"/>
    <cellStyle name="壞_年報檢查報表-業務類強制車險-產險-修正1129" xfId="251" xr:uid="{00000000-0005-0000-0000-000017010000}"/>
    <cellStyle name="壞_非RBC相關報表-產險" xfId="252" xr:uid="{00000000-0005-0000-0000-000018010000}"/>
    <cellStyle name="壞_非RBC相關報表-產險(0512)" xfId="253" xr:uid="{00000000-0005-0000-0000-000019010000}"/>
    <cellStyle name="壞_莫拉克颱風 (臨分業務)" xfId="254" xr:uid="{00000000-0005-0000-0000-00001A010000}"/>
    <cellStyle name="警告文字" xfId="255" builtinId="11" customBuiltin="1"/>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E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券商"/>
      <sheetName val="OAcc-DB"/>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Pool List"/>
      <sheetName val="控管"/>
      <sheetName val="Index"/>
      <sheetName val="LSHK_Cash"/>
      <sheetName val="Facility"/>
      <sheetName val="LSHK_WK_FORECAST"/>
      <sheetName val="Datascreen"/>
      <sheetName val="Summary of Facts"/>
      <sheetName val="Info."/>
      <sheetName val="辦公設備"/>
      <sheetName val="model"/>
      <sheetName val="Seriatim File 2"/>
      <sheetName val="Lists"/>
      <sheetName val="Core3學員名單"/>
      <sheetName val="Division Commentary"/>
      <sheetName val="費用預算說明"/>
      <sheetName val="Black-Scholes"/>
      <sheetName val="Calc"/>
      <sheetName val="FundMapping"/>
      <sheetName val="一銀證券亞洲國外債分類"/>
      <sheetName val="SD OS Inventory"/>
      <sheetName val="MM120主要供應商分析"/>
      <sheetName val="database"/>
      <sheetName val="Feb 2001"/>
      <sheetName val="T1"/>
      <sheetName val="T2"/>
      <sheetName val="T3"/>
      <sheetName val="1999SALE"/>
      <sheetName val="動態日報-子公司"/>
      <sheetName val="130.0211 天津"/>
      <sheetName val="130.0216 律維"/>
      <sheetName val="130.0212 蘇州精密"/>
      <sheetName val="Basic Information"/>
      <sheetName val="費用"/>
      <sheetName val="資本支出"/>
      <sheetName val="人力"/>
      <sheetName val="Macro1"/>
      <sheetName val="編製說明"/>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BasicData"/>
      <sheetName val="分群碼"/>
      <sheetName val="外銷GOBOBVI 1-12 "/>
      <sheetName val="wire"/>
      <sheetName val="Lead"/>
      <sheetName val="M_Data"/>
      <sheetName val="Assum."/>
      <sheetName val="Distribution"/>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信託戶名"/>
      <sheetName val="日常1"/>
      <sheetName val="9909ML95"/>
      <sheetName val="Depn Summary"/>
      <sheetName val="gvl"/>
      <sheetName val="df_ผลรวม"/>
      <sheetName val="df_รหัส"/>
      <sheetName val="df_วัน"/>
      <sheetName val="PL"/>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6">
          <cell r="E6">
            <v>300982</v>
          </cell>
        </row>
      </sheetData>
      <sheetData sheetId="563"/>
      <sheetData sheetId="564"/>
      <sheetData sheetId="565"/>
      <sheetData sheetId="566">
        <row r="6">
          <cell r="E6">
            <v>300982</v>
          </cell>
        </row>
      </sheetData>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sheetData sheetId="718"/>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sheetData sheetId="768">
        <row r="6">
          <cell r="E6">
            <v>300982</v>
          </cell>
        </row>
      </sheetData>
      <sheetData sheetId="769">
        <row r="6">
          <cell r="E6">
            <v>300982</v>
          </cell>
        </row>
      </sheetData>
      <sheetData sheetId="770"/>
      <sheetData sheetId="771">
        <row r="6">
          <cell r="E6">
            <v>300982</v>
          </cell>
        </row>
      </sheetData>
      <sheetData sheetId="772"/>
      <sheetData sheetId="773"/>
      <sheetData sheetId="774">
        <row r="6">
          <cell r="E6">
            <v>300982</v>
          </cell>
        </row>
      </sheetData>
      <sheetData sheetId="775"/>
      <sheetData sheetId="776"/>
      <sheetData sheetId="777"/>
      <sheetData sheetId="778"/>
      <sheetData sheetId="779"/>
      <sheetData sheetId="780"/>
      <sheetData sheetId="781"/>
      <sheetData sheetId="782"/>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9.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election activeCell="B4" sqref="B4"/>
    </sheetView>
  </sheetViews>
  <sheetFormatPr defaultColWidth="9" defaultRowHeight="16.5"/>
  <cols>
    <col min="1" max="1" width="50.625" style="3" customWidth="1"/>
    <col min="2" max="2" width="59.25" style="3" customWidth="1"/>
    <col min="3" max="16384" width="9" style="3"/>
  </cols>
  <sheetData>
    <row r="1" spans="1:8" ht="159" customHeight="1">
      <c r="A1" s="1" t="s">
        <v>232</v>
      </c>
      <c r="B1" s="2"/>
      <c r="H1" s="12"/>
    </row>
    <row r="2" spans="1:8" ht="70.150000000000006" customHeight="1">
      <c r="A2" s="2803" t="s">
        <v>573</v>
      </c>
      <c r="B2" s="2803"/>
      <c r="H2" s="12"/>
    </row>
    <row r="3" spans="1:8" ht="60.6" customHeight="1">
      <c r="A3" s="2804" t="s">
        <v>2551</v>
      </c>
      <c r="B3" s="2805"/>
    </row>
    <row r="4" spans="1:8" ht="60.6" customHeight="1">
      <c r="A4" s="4" t="s">
        <v>233</v>
      </c>
      <c r="B4" s="2"/>
    </row>
    <row r="5" spans="1:8" ht="149.44999999999999" customHeight="1">
      <c r="A5" s="5" t="s">
        <v>574</v>
      </c>
      <c r="B5" s="2"/>
    </row>
    <row r="9" spans="1:8" ht="21">
      <c r="E9" s="6"/>
    </row>
  </sheetData>
  <mergeCells count="2">
    <mergeCell ref="A2:B2"/>
    <mergeCell ref="A3:B3"/>
  </mergeCells>
  <phoneticPr fontId="32"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pageSetUpPr fitToPage="1"/>
  </sheetPr>
  <dimension ref="A1:K118"/>
  <sheetViews>
    <sheetView view="pageBreakPreview" topLeftCell="A34" zoomScaleNormal="100" zoomScaleSheetLayoutView="100" workbookViewId="0">
      <selection activeCell="A57" sqref="A57"/>
    </sheetView>
  </sheetViews>
  <sheetFormatPr defaultColWidth="15.625" defaultRowHeight="0" customHeight="1" zeroHeight="1"/>
  <cols>
    <col min="1" max="1" width="5.625" style="62" customWidth="1"/>
    <col min="2" max="2" width="45.625" style="62" customWidth="1"/>
    <col min="3" max="9" width="20.625" style="62" customWidth="1"/>
    <col min="10" max="16384" width="15.625" style="62"/>
  </cols>
  <sheetData>
    <row r="1" spans="1:11" ht="16.5">
      <c r="A1" s="2186" t="str">
        <f>+封面!A3&amp;" "&amp;封面!A2</f>
        <v xml:space="preserve"> 中央再保險股份有限公司 年度檢查報表</v>
      </c>
      <c r="C1" s="61"/>
      <c r="D1" s="61"/>
      <c r="E1" s="61"/>
      <c r="F1" s="61"/>
      <c r="G1" s="61"/>
      <c r="H1" s="61"/>
      <c r="I1" s="1659"/>
      <c r="J1" s="1659"/>
      <c r="K1" s="1659"/>
    </row>
    <row r="2" spans="1:11" ht="16.5">
      <c r="A2" s="1589" t="s">
        <v>3436</v>
      </c>
      <c r="B2" s="1590"/>
      <c r="C2" s="1590"/>
      <c r="D2" s="1590"/>
      <c r="E2" s="1590"/>
      <c r="F2" s="1590"/>
      <c r="G2" s="1660"/>
      <c r="I2" s="1661" t="s">
        <v>4430</v>
      </c>
      <c r="J2" s="1659"/>
      <c r="K2" s="1659"/>
    </row>
    <row r="3" spans="1:11" ht="33">
      <c r="A3" s="2877" t="s">
        <v>3565</v>
      </c>
      <c r="B3" s="2878" t="s">
        <v>4515</v>
      </c>
      <c r="C3" s="2877" t="s">
        <v>4586</v>
      </c>
      <c r="D3" s="2877"/>
      <c r="E3" s="2877" t="s">
        <v>4518</v>
      </c>
      <c r="F3" s="2877"/>
      <c r="G3" s="1594" t="s">
        <v>4519</v>
      </c>
      <c r="H3" s="1595" t="s">
        <v>4587</v>
      </c>
      <c r="I3" s="1595" t="s">
        <v>4588</v>
      </c>
      <c r="J3" s="1659"/>
      <c r="K3" s="1659"/>
    </row>
    <row r="4" spans="1:11" ht="16.5">
      <c r="A4" s="2877"/>
      <c r="B4" s="2878"/>
      <c r="C4" s="1594" t="s">
        <v>4589</v>
      </c>
      <c r="D4" s="1594" t="s">
        <v>4590</v>
      </c>
      <c r="E4" s="1594" t="s">
        <v>4589</v>
      </c>
      <c r="F4" s="1594" t="s">
        <v>4591</v>
      </c>
      <c r="G4" s="1594" t="s">
        <v>4590</v>
      </c>
      <c r="H4" s="1595" t="s">
        <v>4589</v>
      </c>
      <c r="I4" s="1595" t="s">
        <v>4589</v>
      </c>
      <c r="J4" s="1659"/>
      <c r="K4" s="1659"/>
    </row>
    <row r="5" spans="1:11" ht="15.75">
      <c r="A5" s="2877"/>
      <c r="B5" s="1596" t="s">
        <v>66</v>
      </c>
      <c r="C5" s="1596" t="s">
        <v>183</v>
      </c>
      <c r="D5" s="1596" t="s">
        <v>296</v>
      </c>
      <c r="E5" s="1596" t="s">
        <v>297</v>
      </c>
      <c r="F5" s="1596" t="s">
        <v>70</v>
      </c>
      <c r="G5" s="1596" t="s">
        <v>71</v>
      </c>
      <c r="H5" s="1597" t="s">
        <v>1406</v>
      </c>
      <c r="I5" s="1597" t="s">
        <v>454</v>
      </c>
      <c r="J5" s="1659"/>
      <c r="K5" s="1659"/>
    </row>
    <row r="6" spans="1:11" ht="16.5">
      <c r="A6" s="1662">
        <v>1</v>
      </c>
      <c r="B6" s="1663" t="s">
        <v>4592</v>
      </c>
      <c r="C6" s="1664"/>
      <c r="D6" s="1664"/>
      <c r="E6" s="1664"/>
      <c r="F6" s="1664"/>
      <c r="G6" s="1664"/>
      <c r="H6" s="1665"/>
      <c r="I6" s="1665"/>
      <c r="J6" s="1659"/>
      <c r="K6" s="1659"/>
    </row>
    <row r="7" spans="1:11" ht="16.5">
      <c r="A7" s="1662">
        <f t="shared" ref="A7:A46" si="0">A6+1</f>
        <v>2</v>
      </c>
      <c r="B7" s="1666" t="s">
        <v>3598</v>
      </c>
      <c r="C7" s="1667"/>
      <c r="D7" s="1667"/>
      <c r="E7" s="1667"/>
      <c r="F7" s="1667"/>
      <c r="G7" s="1667"/>
      <c r="H7" s="1668">
        <f>H8+H12</f>
        <v>0</v>
      </c>
      <c r="I7" s="1668">
        <f>I8</f>
        <v>0</v>
      </c>
      <c r="J7" s="1659"/>
      <c r="K7" s="1659"/>
    </row>
    <row r="8" spans="1:11" ht="16.5">
      <c r="A8" s="1662">
        <f t="shared" si="0"/>
        <v>3</v>
      </c>
      <c r="B8" s="1669" t="s">
        <v>4593</v>
      </c>
      <c r="C8" s="1667"/>
      <c r="D8" s="1667"/>
      <c r="E8" s="1667"/>
      <c r="F8" s="1667"/>
      <c r="G8" s="1667"/>
      <c r="H8" s="1668">
        <f>H9+H10+H11</f>
        <v>0</v>
      </c>
      <c r="I8" s="1668">
        <f>I9+I10+I11</f>
        <v>0</v>
      </c>
      <c r="J8" s="1659"/>
      <c r="K8" s="1659"/>
    </row>
    <row r="9" spans="1:11" ht="16.5">
      <c r="A9" s="1662">
        <f t="shared" si="0"/>
        <v>4</v>
      </c>
      <c r="B9" s="1670" t="s">
        <v>4594</v>
      </c>
      <c r="C9" s="1667"/>
      <c r="D9" s="1667"/>
      <c r="E9" s="1667"/>
      <c r="F9" s="1667"/>
      <c r="G9" s="1667"/>
      <c r="H9" s="1671"/>
      <c r="I9" s="1671"/>
      <c r="J9" s="1659"/>
      <c r="K9" s="1659"/>
    </row>
    <row r="10" spans="1:11" ht="16.5">
      <c r="A10" s="1662">
        <f t="shared" si="0"/>
        <v>5</v>
      </c>
      <c r="B10" s="1670" t="s">
        <v>4595</v>
      </c>
      <c r="C10" s="1667"/>
      <c r="D10" s="1667"/>
      <c r="E10" s="1667"/>
      <c r="F10" s="1667"/>
      <c r="G10" s="1667"/>
      <c r="H10" s="1671"/>
      <c r="I10" s="1671"/>
      <c r="J10" s="1659"/>
      <c r="K10" s="1659"/>
    </row>
    <row r="11" spans="1:11" ht="16.5">
      <c r="A11" s="1662">
        <f t="shared" si="0"/>
        <v>6</v>
      </c>
      <c r="B11" s="1670" t="s">
        <v>4596</v>
      </c>
      <c r="C11" s="1667"/>
      <c r="D11" s="1667"/>
      <c r="E11" s="1667"/>
      <c r="F11" s="1667"/>
      <c r="G11" s="1667"/>
      <c r="H11" s="1671"/>
      <c r="I11" s="1671"/>
      <c r="J11" s="1659"/>
      <c r="K11" s="1659"/>
    </row>
    <row r="12" spans="1:11" ht="16.5">
      <c r="A12" s="1662">
        <f>A11+1</f>
        <v>7</v>
      </c>
      <c r="B12" s="1669" t="s">
        <v>4597</v>
      </c>
      <c r="C12" s="1667"/>
      <c r="D12" s="1667"/>
      <c r="E12" s="1667"/>
      <c r="F12" s="1667"/>
      <c r="G12" s="1667"/>
      <c r="H12" s="1668">
        <f>+H13+H14+H15+H16</f>
        <v>0</v>
      </c>
      <c r="I12" s="1672"/>
      <c r="J12" s="1659"/>
      <c r="K12" s="1659"/>
    </row>
    <row r="13" spans="1:11" ht="49.5">
      <c r="A13" s="1662">
        <f t="shared" si="0"/>
        <v>8</v>
      </c>
      <c r="B13" s="1670" t="s">
        <v>4598</v>
      </c>
      <c r="C13" s="1667"/>
      <c r="D13" s="1667"/>
      <c r="E13" s="1667"/>
      <c r="F13" s="1667"/>
      <c r="G13" s="1667"/>
      <c r="H13" s="1671"/>
      <c r="I13" s="1672"/>
      <c r="J13" s="1659"/>
      <c r="K13" s="1659"/>
    </row>
    <row r="14" spans="1:11" ht="16.5">
      <c r="A14" s="1662">
        <f t="shared" si="0"/>
        <v>9</v>
      </c>
      <c r="B14" s="1673" t="s">
        <v>4599</v>
      </c>
      <c r="C14" s="1667"/>
      <c r="D14" s="1667"/>
      <c r="E14" s="1667"/>
      <c r="F14" s="1667"/>
      <c r="G14" s="1667"/>
      <c r="H14" s="1671"/>
      <c r="I14" s="1672"/>
      <c r="J14" s="1659"/>
      <c r="K14" s="1659"/>
    </row>
    <row r="15" spans="1:11" ht="33">
      <c r="A15" s="1662">
        <f t="shared" si="0"/>
        <v>10</v>
      </c>
      <c r="B15" s="1673" t="s">
        <v>4600</v>
      </c>
      <c r="C15" s="1667"/>
      <c r="D15" s="1667"/>
      <c r="E15" s="1667"/>
      <c r="F15" s="1667"/>
      <c r="G15" s="1667"/>
      <c r="H15" s="1671"/>
      <c r="I15" s="1672"/>
      <c r="J15" s="1659"/>
      <c r="K15" s="1659"/>
    </row>
    <row r="16" spans="1:11" ht="16.5">
      <c r="A16" s="1662">
        <f t="shared" si="0"/>
        <v>11</v>
      </c>
      <c r="B16" s="1673" t="s">
        <v>4601</v>
      </c>
      <c r="C16" s="1667"/>
      <c r="D16" s="1667"/>
      <c r="E16" s="1667"/>
      <c r="F16" s="1667"/>
      <c r="G16" s="1667"/>
      <c r="H16" s="1671"/>
      <c r="I16" s="1672"/>
      <c r="J16" s="1659"/>
      <c r="K16" s="1659"/>
    </row>
    <row r="17" spans="1:11" ht="16.5">
      <c r="A17" s="1662">
        <f t="shared" si="0"/>
        <v>12</v>
      </c>
      <c r="B17" s="1666" t="s">
        <v>3606</v>
      </c>
      <c r="C17" s="1667"/>
      <c r="D17" s="1667"/>
      <c r="E17" s="1667"/>
      <c r="F17" s="1667"/>
      <c r="G17" s="1667"/>
      <c r="H17" s="1668">
        <f>+H18+H22</f>
        <v>0</v>
      </c>
      <c r="I17" s="1668">
        <f>+I18</f>
        <v>0</v>
      </c>
      <c r="J17" s="1659"/>
      <c r="K17" s="1659"/>
    </row>
    <row r="18" spans="1:11" ht="16.5">
      <c r="A18" s="1662">
        <f t="shared" si="0"/>
        <v>13</v>
      </c>
      <c r="B18" s="1669" t="s">
        <v>4593</v>
      </c>
      <c r="C18" s="1667"/>
      <c r="D18" s="1667"/>
      <c r="E18" s="1667"/>
      <c r="F18" s="1667"/>
      <c r="G18" s="1667"/>
      <c r="H18" s="1668">
        <f>+H19+H20+H21</f>
        <v>0</v>
      </c>
      <c r="I18" s="1668">
        <f>+I19+I20+I21</f>
        <v>0</v>
      </c>
      <c r="J18" s="1659"/>
      <c r="K18" s="1659"/>
    </row>
    <row r="19" spans="1:11" ht="16.5">
      <c r="A19" s="1662">
        <f t="shared" si="0"/>
        <v>14</v>
      </c>
      <c r="B19" s="1670" t="s">
        <v>4594</v>
      </c>
      <c r="C19" s="1667"/>
      <c r="D19" s="1667"/>
      <c r="E19" s="1667"/>
      <c r="F19" s="1667"/>
      <c r="G19" s="1667"/>
      <c r="H19" s="1671"/>
      <c r="I19" s="1671"/>
      <c r="J19" s="1659"/>
      <c r="K19" s="1659"/>
    </row>
    <row r="20" spans="1:11" ht="16.5">
      <c r="A20" s="1662">
        <f t="shared" si="0"/>
        <v>15</v>
      </c>
      <c r="B20" s="1670" t="s">
        <v>4595</v>
      </c>
      <c r="C20" s="1667"/>
      <c r="D20" s="1667"/>
      <c r="E20" s="1667"/>
      <c r="F20" s="1667"/>
      <c r="G20" s="1667"/>
      <c r="H20" s="1671"/>
      <c r="I20" s="1671"/>
      <c r="J20" s="1659"/>
      <c r="K20" s="1659"/>
    </row>
    <row r="21" spans="1:11" ht="16.5">
      <c r="A21" s="1662">
        <f t="shared" si="0"/>
        <v>16</v>
      </c>
      <c r="B21" s="1670" t="s">
        <v>4596</v>
      </c>
      <c r="C21" s="1667"/>
      <c r="D21" s="1667"/>
      <c r="E21" s="1667"/>
      <c r="F21" s="1667"/>
      <c r="G21" s="1667"/>
      <c r="H21" s="1671"/>
      <c r="I21" s="1671"/>
      <c r="J21" s="1659"/>
      <c r="K21" s="1659"/>
    </row>
    <row r="22" spans="1:11" ht="16.5">
      <c r="A22" s="1662">
        <f>A21+1</f>
        <v>17</v>
      </c>
      <c r="B22" s="1669" t="s">
        <v>4597</v>
      </c>
      <c r="C22" s="1667"/>
      <c r="D22" s="1667"/>
      <c r="E22" s="1667" t="s">
        <v>1377</v>
      </c>
      <c r="F22" s="1667"/>
      <c r="G22" s="1667"/>
      <c r="H22" s="1668">
        <f>+H23+H24+H25+H29+H30</f>
        <v>0</v>
      </c>
      <c r="I22" s="1672"/>
      <c r="J22" s="1659"/>
      <c r="K22" s="1659"/>
    </row>
    <row r="23" spans="1:11" ht="49.5">
      <c r="A23" s="1662">
        <f t="shared" si="0"/>
        <v>18</v>
      </c>
      <c r="B23" s="1670" t="s">
        <v>4598</v>
      </c>
      <c r="C23" s="1667"/>
      <c r="D23" s="1667"/>
      <c r="E23" s="1667"/>
      <c r="F23" s="1667"/>
      <c r="G23" s="1667"/>
      <c r="H23" s="1671"/>
      <c r="I23" s="1672"/>
      <c r="J23" s="1659"/>
      <c r="K23" s="1659"/>
    </row>
    <row r="24" spans="1:11" ht="16.5">
      <c r="A24" s="1662">
        <f t="shared" si="0"/>
        <v>19</v>
      </c>
      <c r="B24" s="1673" t="s">
        <v>4599</v>
      </c>
      <c r="C24" s="1667"/>
      <c r="D24" s="1667"/>
      <c r="E24" s="1667"/>
      <c r="F24" s="1667"/>
      <c r="G24" s="1667"/>
      <c r="H24" s="1671"/>
      <c r="I24" s="1672"/>
      <c r="J24" s="1659"/>
      <c r="K24" s="1659"/>
    </row>
    <row r="25" spans="1:11" ht="16.5">
      <c r="A25" s="1662">
        <f t="shared" si="0"/>
        <v>20</v>
      </c>
      <c r="B25" s="1673" t="s">
        <v>4602</v>
      </c>
      <c r="C25" s="1667"/>
      <c r="D25" s="1667"/>
      <c r="E25" s="1667"/>
      <c r="F25" s="1667"/>
      <c r="G25" s="1667"/>
      <c r="H25" s="1671"/>
      <c r="I25" s="1672"/>
      <c r="J25" s="1659"/>
      <c r="K25" s="1659"/>
    </row>
    <row r="26" spans="1:11" ht="16.5">
      <c r="A26" s="2599" t="s">
        <v>5681</v>
      </c>
      <c r="B26" s="1673" t="s">
        <v>6310</v>
      </c>
      <c r="C26" s="1667"/>
      <c r="D26" s="1667"/>
      <c r="E26" s="1667"/>
      <c r="F26" s="1667"/>
      <c r="G26" s="1667"/>
      <c r="H26" s="1671"/>
      <c r="I26" s="1672"/>
      <c r="J26" s="1659"/>
      <c r="K26" s="1659"/>
    </row>
    <row r="27" spans="1:11" ht="33">
      <c r="A27" s="2599" t="s">
        <v>5682</v>
      </c>
      <c r="B27" s="2600" t="s">
        <v>6311</v>
      </c>
      <c r="C27" s="1667"/>
      <c r="D27" s="1667"/>
      <c r="E27" s="1667"/>
      <c r="F27" s="1667"/>
      <c r="G27" s="1667"/>
      <c r="H27" s="1671"/>
      <c r="I27" s="1672"/>
      <c r="J27" s="1659"/>
      <c r="K27" s="1659"/>
    </row>
    <row r="28" spans="1:11" ht="16.5">
      <c r="A28" s="2599" t="s">
        <v>5683</v>
      </c>
      <c r="B28" s="1673" t="s">
        <v>6312</v>
      </c>
      <c r="C28" s="1667"/>
      <c r="D28" s="1667"/>
      <c r="E28" s="1667"/>
      <c r="F28" s="1667"/>
      <c r="G28" s="1667"/>
      <c r="H28" s="1671"/>
      <c r="I28" s="1672"/>
      <c r="J28" s="1659"/>
      <c r="K28" s="1659"/>
    </row>
    <row r="29" spans="1:11" ht="33">
      <c r="A29" s="1662">
        <f>A25+1</f>
        <v>21</v>
      </c>
      <c r="B29" s="1673" t="s">
        <v>4600</v>
      </c>
      <c r="C29" s="1667"/>
      <c r="D29" s="1667"/>
      <c r="E29" s="1667"/>
      <c r="F29" s="1667"/>
      <c r="G29" s="1667"/>
      <c r="H29" s="1671"/>
      <c r="I29" s="1672"/>
      <c r="J29" s="1659"/>
      <c r="K29" s="1659"/>
    </row>
    <row r="30" spans="1:11" ht="16.5">
      <c r="A30" s="1662">
        <f t="shared" si="0"/>
        <v>22</v>
      </c>
      <c r="B30" s="1673" t="s">
        <v>4601</v>
      </c>
      <c r="C30" s="1667"/>
      <c r="D30" s="1667"/>
      <c r="E30" s="1667"/>
      <c r="F30" s="1667"/>
      <c r="G30" s="1667"/>
      <c r="H30" s="1671"/>
      <c r="I30" s="1672"/>
      <c r="J30" s="1659"/>
      <c r="K30" s="1659"/>
    </row>
    <row r="31" spans="1:11" ht="16.5">
      <c r="A31" s="1662">
        <f t="shared" si="0"/>
        <v>23</v>
      </c>
      <c r="B31" s="1663" t="s">
        <v>4471</v>
      </c>
      <c r="C31" s="1667"/>
      <c r="D31" s="1667"/>
      <c r="E31" s="1667"/>
      <c r="F31" s="1667"/>
      <c r="G31" s="1667"/>
      <c r="H31" s="1668">
        <f>+H7+H17</f>
        <v>0</v>
      </c>
      <c r="I31" s="1668">
        <f>+I7+I17</f>
        <v>0</v>
      </c>
      <c r="J31" s="1659"/>
      <c r="K31" s="1659"/>
    </row>
    <row r="32" spans="1:11" ht="15.75">
      <c r="A32" s="1662">
        <f t="shared" si="0"/>
        <v>24</v>
      </c>
      <c r="B32" s="1674"/>
      <c r="C32" s="1675"/>
      <c r="D32" s="1675"/>
      <c r="E32" s="1675"/>
      <c r="F32" s="1675"/>
      <c r="G32" s="1675"/>
      <c r="H32" s="1672"/>
      <c r="I32" s="1672"/>
      <c r="J32" s="1659"/>
      <c r="K32" s="1659"/>
    </row>
    <row r="33" spans="1:11" ht="16.5">
      <c r="A33" s="1662">
        <f t="shared" si="0"/>
        <v>25</v>
      </c>
      <c r="B33" s="1663" t="s">
        <v>4603</v>
      </c>
      <c r="C33" s="1667"/>
      <c r="D33" s="1667"/>
      <c r="E33" s="1667"/>
      <c r="F33" s="1667"/>
      <c r="G33" s="1667"/>
      <c r="H33" s="1672"/>
      <c r="I33" s="1672"/>
      <c r="J33" s="1659"/>
      <c r="K33" s="1659"/>
    </row>
    <row r="34" spans="1:11" ht="16.5">
      <c r="A34" s="1662">
        <f t="shared" si="0"/>
        <v>26</v>
      </c>
      <c r="B34" s="1666" t="s">
        <v>3598</v>
      </c>
      <c r="C34" s="1676"/>
      <c r="D34" s="1667"/>
      <c r="E34" s="1667"/>
      <c r="F34" s="1667"/>
      <c r="G34" s="1676"/>
      <c r="H34" s="1668">
        <f>+H35+H39</f>
        <v>0</v>
      </c>
      <c r="I34" s="1668">
        <f>+I35</f>
        <v>0</v>
      </c>
      <c r="J34" s="1659"/>
      <c r="K34" s="1659"/>
    </row>
    <row r="35" spans="1:11" ht="16.5">
      <c r="A35" s="1662">
        <f t="shared" si="0"/>
        <v>27</v>
      </c>
      <c r="B35" s="1669" t="s">
        <v>4604</v>
      </c>
      <c r="C35" s="1667"/>
      <c r="D35" s="1667"/>
      <c r="E35" s="1667"/>
      <c r="F35" s="1667"/>
      <c r="G35" s="1667"/>
      <c r="H35" s="1668">
        <f>H36+H37</f>
        <v>0</v>
      </c>
      <c r="I35" s="1668">
        <f>I36+I37</f>
        <v>0</v>
      </c>
      <c r="J35" s="1659"/>
      <c r="K35" s="1659"/>
    </row>
    <row r="36" spans="1:11" ht="16.5">
      <c r="A36" s="1662">
        <f t="shared" si="0"/>
        <v>28</v>
      </c>
      <c r="B36" s="1670" t="s">
        <v>4594</v>
      </c>
      <c r="C36" s="1667"/>
      <c r="D36" s="1667"/>
      <c r="E36" s="1667"/>
      <c r="F36" s="1667"/>
      <c r="G36" s="1667"/>
      <c r="H36" s="1671"/>
      <c r="I36" s="1671"/>
      <c r="J36" s="1659"/>
      <c r="K36" s="1659"/>
    </row>
    <row r="37" spans="1:11" ht="16.5">
      <c r="A37" s="1662">
        <f t="shared" si="0"/>
        <v>29</v>
      </c>
      <c r="B37" s="1670" t="s">
        <v>4596</v>
      </c>
      <c r="C37" s="1667"/>
      <c r="D37" s="1667"/>
      <c r="E37" s="1667"/>
      <c r="F37" s="1667"/>
      <c r="G37" s="1667"/>
      <c r="H37" s="1671"/>
      <c r="I37" s="1671"/>
      <c r="J37" s="1659"/>
      <c r="K37" s="1659"/>
    </row>
    <row r="38" spans="1:11" ht="16.5">
      <c r="A38" s="2661" t="s">
        <v>8446</v>
      </c>
      <c r="B38" s="2662" t="s">
        <v>8447</v>
      </c>
      <c r="C38" s="1667"/>
      <c r="D38" s="1667"/>
      <c r="E38" s="1667"/>
      <c r="F38" s="1667"/>
      <c r="G38" s="1667"/>
      <c r="H38" s="1671"/>
      <c r="I38" s="1671"/>
      <c r="J38" s="1659"/>
      <c r="K38" s="1659"/>
    </row>
    <row r="39" spans="1:11" ht="16.5">
      <c r="A39" s="1662">
        <f>A37+1</f>
        <v>30</v>
      </c>
      <c r="B39" s="1669" t="s">
        <v>4605</v>
      </c>
      <c r="C39" s="1667"/>
      <c r="D39" s="1667"/>
      <c r="E39" s="1667"/>
      <c r="F39" s="1667"/>
      <c r="G39" s="1667"/>
      <c r="H39" s="1677"/>
      <c r="I39" s="1672"/>
      <c r="J39" s="1659"/>
      <c r="K39" s="1659"/>
    </row>
    <row r="40" spans="1:11" ht="33">
      <c r="A40" s="1662">
        <f t="shared" si="0"/>
        <v>31</v>
      </c>
      <c r="B40" s="1670" t="s">
        <v>4606</v>
      </c>
      <c r="C40" s="1667"/>
      <c r="D40" s="1667"/>
      <c r="E40" s="1667"/>
      <c r="F40" s="1667"/>
      <c r="G40" s="1667"/>
      <c r="H40" s="1671"/>
      <c r="I40" s="1672"/>
      <c r="J40" s="1659"/>
      <c r="K40" s="1659"/>
    </row>
    <row r="41" spans="1:11" ht="16.5">
      <c r="A41" s="1662">
        <f t="shared" si="0"/>
        <v>32</v>
      </c>
      <c r="B41" s="1670" t="s">
        <v>4601</v>
      </c>
      <c r="C41" s="1667"/>
      <c r="D41" s="1667"/>
      <c r="E41" s="1667"/>
      <c r="F41" s="1667"/>
      <c r="G41" s="1667"/>
      <c r="H41" s="1677"/>
      <c r="I41" s="1672"/>
      <c r="J41" s="1659"/>
      <c r="K41" s="1659"/>
    </row>
    <row r="42" spans="1:11" ht="16.5">
      <c r="A42" s="1662">
        <f t="shared" si="0"/>
        <v>33</v>
      </c>
      <c r="B42" s="1666" t="s">
        <v>4607</v>
      </c>
      <c r="C42" s="1667"/>
      <c r="D42" s="1667"/>
      <c r="E42" s="1667"/>
      <c r="F42" s="1667"/>
      <c r="G42" s="1667"/>
      <c r="H42" s="1668">
        <f>+H43+H44</f>
        <v>0</v>
      </c>
      <c r="I42" s="1668">
        <f>+I43</f>
        <v>0</v>
      </c>
      <c r="J42" s="1659"/>
      <c r="K42" s="1659"/>
    </row>
    <row r="43" spans="1:11" ht="16.5">
      <c r="A43" s="1662">
        <f t="shared" si="0"/>
        <v>34</v>
      </c>
      <c r="B43" s="1669" t="s">
        <v>4604</v>
      </c>
      <c r="C43" s="1667"/>
      <c r="D43" s="1667"/>
      <c r="E43" s="1667"/>
      <c r="F43" s="1667"/>
      <c r="G43" s="1667"/>
      <c r="H43" s="1671"/>
      <c r="I43" s="1671"/>
      <c r="J43" s="1659"/>
      <c r="K43" s="1659"/>
    </row>
    <row r="44" spans="1:11" ht="16.5">
      <c r="A44" s="1662">
        <f t="shared" si="0"/>
        <v>35</v>
      </c>
      <c r="B44" s="1669" t="s">
        <v>4605</v>
      </c>
      <c r="C44" s="1667"/>
      <c r="D44" s="1667"/>
      <c r="E44" s="1667"/>
      <c r="F44" s="1667"/>
      <c r="G44" s="1667"/>
      <c r="H44" s="1671"/>
      <c r="I44" s="1672"/>
      <c r="J44" s="1659"/>
      <c r="K44" s="1659"/>
    </row>
    <row r="45" spans="1:11" ht="16.5">
      <c r="A45" s="1662">
        <f t="shared" si="0"/>
        <v>36</v>
      </c>
      <c r="B45" s="1663" t="s">
        <v>4471</v>
      </c>
      <c r="C45" s="1667"/>
      <c r="D45" s="1667"/>
      <c r="E45" s="1667"/>
      <c r="F45" s="1667"/>
      <c r="G45" s="1667"/>
      <c r="H45" s="1668">
        <f>H34+H42</f>
        <v>0</v>
      </c>
      <c r="I45" s="1668">
        <f>I34+I42</f>
        <v>0</v>
      </c>
      <c r="J45" s="1659"/>
      <c r="K45" s="1659"/>
    </row>
    <row r="46" spans="1:11" ht="16.5">
      <c r="A46" s="1662">
        <f t="shared" si="0"/>
        <v>37</v>
      </c>
      <c r="B46" s="1678" t="s">
        <v>4608</v>
      </c>
      <c r="C46" s="1679"/>
      <c r="D46" s="1679"/>
      <c r="E46" s="1679"/>
      <c r="F46" s="1679"/>
      <c r="G46" s="1679"/>
      <c r="H46" s="1680">
        <f>+H45+H31</f>
        <v>0</v>
      </c>
      <c r="I46" s="1680">
        <f>+I45+I31</f>
        <v>0</v>
      </c>
      <c r="J46" s="1659"/>
      <c r="K46" s="1659"/>
    </row>
    <row r="47" spans="1:11" ht="16.5" thickBot="1">
      <c r="A47" s="1591"/>
      <c r="B47" s="1588"/>
      <c r="C47" s="1681"/>
      <c r="D47" s="1681"/>
      <c r="E47" s="1681"/>
      <c r="F47" s="1681"/>
      <c r="G47" s="1681"/>
      <c r="H47" s="1654"/>
      <c r="I47" s="1659"/>
      <c r="J47" s="1659"/>
      <c r="K47" s="1659"/>
    </row>
    <row r="48" spans="1:11" ht="33">
      <c r="A48" s="2663">
        <v>38</v>
      </c>
      <c r="B48" s="2664" t="s">
        <v>8448</v>
      </c>
      <c r="C48" s="2665"/>
      <c r="D48" s="2665"/>
      <c r="E48" s="2665"/>
      <c r="F48" s="2665"/>
      <c r="G48" s="2665"/>
      <c r="H48" s="2666"/>
      <c r="I48" s="2667"/>
      <c r="J48" s="1659"/>
      <c r="K48" s="1659"/>
    </row>
    <row r="49" spans="1:11" ht="38.25" thickBot="1">
      <c r="A49" s="2668">
        <v>39</v>
      </c>
      <c r="B49" s="2669" t="s">
        <v>8449</v>
      </c>
      <c r="C49" s="2670"/>
      <c r="D49" s="2670"/>
      <c r="E49" s="2670"/>
      <c r="F49" s="2670"/>
      <c r="G49" s="2670"/>
      <c r="H49" s="2671"/>
      <c r="I49" s="2672"/>
      <c r="J49" s="1659"/>
      <c r="K49" s="1659"/>
    </row>
    <row r="50" spans="1:11" ht="15.75">
      <c r="A50" s="1591"/>
      <c r="B50" s="1588"/>
      <c r="C50" s="1681"/>
      <c r="D50" s="1681"/>
      <c r="E50" s="1681"/>
      <c r="F50" s="1681"/>
      <c r="G50" s="1681"/>
      <c r="H50" s="1654"/>
      <c r="I50" s="1659"/>
      <c r="J50" s="1659"/>
      <c r="K50" s="1659"/>
    </row>
    <row r="51" spans="1:11" ht="16.5">
      <c r="A51" s="1682" t="s">
        <v>4064</v>
      </c>
      <c r="B51" s="496" t="s">
        <v>4609</v>
      </c>
      <c r="C51" s="1683"/>
      <c r="D51" s="1683"/>
      <c r="E51" s="1683"/>
      <c r="F51" s="1683"/>
      <c r="G51" s="1683"/>
      <c r="H51" s="1654"/>
      <c r="I51" s="1659"/>
      <c r="J51" s="1659"/>
      <c r="K51" s="1659"/>
    </row>
    <row r="52" spans="1:11" ht="16.5">
      <c r="A52" s="1682" t="s">
        <v>4058</v>
      </c>
      <c r="B52" s="496" t="s">
        <v>4610</v>
      </c>
      <c r="C52" s="1683"/>
      <c r="D52" s="1683"/>
      <c r="E52" s="1683"/>
      <c r="F52" s="1683"/>
      <c r="G52" s="1683"/>
      <c r="H52" s="1654"/>
      <c r="I52" s="1659"/>
      <c r="J52" s="1659"/>
      <c r="K52" s="1659"/>
    </row>
    <row r="53" spans="1:11" ht="16.5">
      <c r="A53" s="1682" t="s">
        <v>4060</v>
      </c>
      <c r="B53" s="496" t="s">
        <v>4611</v>
      </c>
      <c r="C53" s="1683"/>
      <c r="D53" s="1683"/>
      <c r="E53" s="1683"/>
      <c r="F53" s="1683"/>
      <c r="G53" s="1683"/>
      <c r="H53" s="1654"/>
      <c r="I53" s="1659"/>
      <c r="J53" s="1659"/>
      <c r="K53" s="1659"/>
    </row>
    <row r="54" spans="1:11" ht="16.5">
      <c r="A54" s="1682" t="s">
        <v>4062</v>
      </c>
      <c r="B54" s="496" t="s">
        <v>4612</v>
      </c>
      <c r="C54" s="1589"/>
      <c r="D54" s="1589"/>
      <c r="E54" s="1589"/>
      <c r="F54" s="1589"/>
      <c r="G54" s="1589"/>
      <c r="H54" s="1654"/>
      <c r="I54" s="1659"/>
      <c r="J54" s="1659"/>
      <c r="K54" s="1659"/>
    </row>
    <row r="55" spans="1:11" ht="16.5">
      <c r="A55" s="1684" t="s">
        <v>4568</v>
      </c>
      <c r="B55" s="496" t="s">
        <v>4613</v>
      </c>
      <c r="C55" s="1589"/>
      <c r="D55" s="1589"/>
      <c r="E55" s="1589"/>
      <c r="F55" s="1589"/>
      <c r="G55" s="1589"/>
      <c r="H55" s="1654"/>
      <c r="I55" s="1659"/>
      <c r="J55" s="1659"/>
      <c r="K55" s="1659"/>
    </row>
    <row r="56" spans="1:11" ht="16.5">
      <c r="A56" s="1682" t="s">
        <v>4570</v>
      </c>
      <c r="B56" s="1589" t="s">
        <v>4614</v>
      </c>
      <c r="C56" s="1589"/>
      <c r="D56" s="1589"/>
      <c r="E56" s="1589"/>
      <c r="F56" s="1589"/>
      <c r="G56" s="1589"/>
    </row>
    <row r="57" spans="1:11" ht="16.5">
      <c r="A57" s="1682" t="s">
        <v>4572</v>
      </c>
      <c r="B57" s="496" t="s">
        <v>4615</v>
      </c>
      <c r="C57" s="1657"/>
      <c r="D57" s="1657"/>
      <c r="E57" s="1657"/>
      <c r="F57" s="1657"/>
      <c r="G57" s="1589"/>
    </row>
    <row r="58" spans="1:11" ht="16.5">
      <c r="A58" s="2673" t="s">
        <v>8450</v>
      </c>
      <c r="B58" s="2654" t="s">
        <v>8442</v>
      </c>
    </row>
    <row r="59" spans="1:11" ht="15.75"/>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sheetData>
  <mergeCells count="4">
    <mergeCell ref="C3:D3"/>
    <mergeCell ref="E3:F3"/>
    <mergeCell ref="A3:A5"/>
    <mergeCell ref="B3:B4"/>
  </mergeCells>
  <phoneticPr fontId="30" type="noConversion"/>
  <printOptions horizontalCentered="1"/>
  <pageMargins left="0.39370078740157483" right="0.39370078740157483" top="0.39370078740157483" bottom="0.39370078740157483" header="0.19685039370078741" footer="0.19685039370078741"/>
  <pageSetup paperSize="9" scale="4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FF00"/>
    <pageSetUpPr fitToPage="1"/>
  </sheetPr>
  <dimension ref="A1:H75"/>
  <sheetViews>
    <sheetView topLeftCell="A46" zoomScaleNormal="100" zoomScaleSheetLayoutView="70" workbookViewId="0">
      <selection activeCell="A74" sqref="A74:B74"/>
    </sheetView>
  </sheetViews>
  <sheetFormatPr defaultColWidth="15.625" defaultRowHeight="15.75"/>
  <cols>
    <col min="1" max="1" width="5.625" style="13" customWidth="1"/>
    <col min="2" max="2" width="60.625" style="13" customWidth="1"/>
    <col min="3" max="7" width="20.625" style="13" customWidth="1"/>
    <col min="8" max="16384" width="15.625" style="13"/>
  </cols>
  <sheetData>
    <row r="1" spans="1:7" ht="16.5">
      <c r="A1" s="2186" t="str">
        <f>+封面!A3&amp;" "&amp;封面!A2</f>
        <v xml:space="preserve"> 中央再保險股份有限公司 年度檢查報表</v>
      </c>
      <c r="B1" s="1588"/>
      <c r="C1" s="1588"/>
      <c r="D1" s="1588"/>
      <c r="E1" s="1588"/>
      <c r="F1" s="1588"/>
    </row>
    <row r="2" spans="1:7" ht="16.5">
      <c r="A2" s="1589" t="s">
        <v>3437</v>
      </c>
      <c r="B2" s="1590"/>
      <c r="C2" s="1591"/>
      <c r="D2" s="1591"/>
      <c r="F2" s="1591"/>
      <c r="G2" s="1592" t="s">
        <v>4430</v>
      </c>
    </row>
    <row r="3" spans="1:7" ht="33">
      <c r="A3" s="2877" t="s">
        <v>3565</v>
      </c>
      <c r="B3" s="1593" t="s">
        <v>4515</v>
      </c>
      <c r="C3" s="1594" t="s">
        <v>4516</v>
      </c>
      <c r="D3" s="1594" t="s">
        <v>4517</v>
      </c>
      <c r="E3" s="1594" t="s">
        <v>4518</v>
      </c>
      <c r="F3" s="1594" t="s">
        <v>4519</v>
      </c>
      <c r="G3" s="1595" t="s">
        <v>4520</v>
      </c>
    </row>
    <row r="4" spans="1:7">
      <c r="A4" s="2877"/>
      <c r="B4" s="1596" t="s">
        <v>66</v>
      </c>
      <c r="C4" s="1596" t="s">
        <v>183</v>
      </c>
      <c r="D4" s="1596" t="s">
        <v>68</v>
      </c>
      <c r="E4" s="1596" t="s">
        <v>297</v>
      </c>
      <c r="F4" s="1597" t="s">
        <v>125</v>
      </c>
      <c r="G4" s="1597" t="s">
        <v>445</v>
      </c>
    </row>
    <row r="5" spans="1:7" ht="16.5">
      <c r="A5" s="1598">
        <v>1</v>
      </c>
      <c r="B5" s="1599" t="s">
        <v>4521</v>
      </c>
      <c r="C5" s="1600"/>
      <c r="D5" s="1600"/>
      <c r="E5" s="1600"/>
      <c r="F5" s="1600"/>
      <c r="G5" s="1601"/>
    </row>
    <row r="6" spans="1:7" ht="16.5">
      <c r="A6" s="1602">
        <f t="shared" ref="A6:A59" si="0">A5+1</f>
        <v>2</v>
      </c>
      <c r="B6" s="1603" t="s">
        <v>4522</v>
      </c>
      <c r="C6" s="1604"/>
      <c r="D6" s="1604"/>
      <c r="E6" s="1604"/>
      <c r="F6" s="1604"/>
      <c r="G6" s="1605">
        <f>+G7+G8</f>
        <v>0</v>
      </c>
    </row>
    <row r="7" spans="1:7" ht="16.5">
      <c r="A7" s="1602">
        <f t="shared" si="0"/>
        <v>3</v>
      </c>
      <c r="B7" s="1606" t="s">
        <v>4523</v>
      </c>
      <c r="C7" s="1604"/>
      <c r="D7" s="1604"/>
      <c r="E7" s="1607"/>
      <c r="F7" s="1607"/>
      <c r="G7" s="1608"/>
    </row>
    <row r="8" spans="1:7" ht="16.5">
      <c r="A8" s="1609">
        <f t="shared" si="0"/>
        <v>4</v>
      </c>
      <c r="B8" s="1610" t="s">
        <v>4524</v>
      </c>
      <c r="C8" s="1611"/>
      <c r="D8" s="1611"/>
      <c r="E8" s="1612"/>
      <c r="F8" s="1612"/>
      <c r="G8" s="1613"/>
    </row>
    <row r="9" spans="1:7" ht="16.5">
      <c r="A9" s="1598">
        <f t="shared" si="0"/>
        <v>5</v>
      </c>
      <c r="B9" s="1603" t="s">
        <v>4525</v>
      </c>
      <c r="C9" s="1600"/>
      <c r="D9" s="1600"/>
      <c r="E9" s="1600"/>
      <c r="F9" s="1600"/>
      <c r="G9" s="1614">
        <f>+G10+G11</f>
        <v>0</v>
      </c>
    </row>
    <row r="10" spans="1:7" ht="16.5">
      <c r="A10" s="1602">
        <f t="shared" si="0"/>
        <v>6</v>
      </c>
      <c r="B10" s="1606" t="s">
        <v>4523</v>
      </c>
      <c r="C10" s="1604"/>
      <c r="D10" s="1604"/>
      <c r="E10" s="1607"/>
      <c r="F10" s="1607"/>
      <c r="G10" s="1608"/>
    </row>
    <row r="11" spans="1:7" ht="16.5">
      <c r="A11" s="1615">
        <f t="shared" si="0"/>
        <v>7</v>
      </c>
      <c r="B11" s="1616" t="s">
        <v>4524</v>
      </c>
      <c r="C11" s="1617"/>
      <c r="D11" s="1617"/>
      <c r="E11" s="1618"/>
      <c r="F11" s="1618"/>
      <c r="G11" s="1619"/>
    </row>
    <row r="12" spans="1:7" ht="16.5">
      <c r="A12" s="1620">
        <f t="shared" si="0"/>
        <v>8</v>
      </c>
      <c r="B12" s="1621" t="s">
        <v>4526</v>
      </c>
      <c r="C12" s="1622"/>
      <c r="D12" s="1622"/>
      <c r="E12" s="1622"/>
      <c r="F12" s="1622"/>
      <c r="G12" s="1623"/>
    </row>
    <row r="13" spans="1:7" ht="16.5">
      <c r="A13" s="1598">
        <f t="shared" si="0"/>
        <v>9</v>
      </c>
      <c r="B13" s="1603" t="s">
        <v>4527</v>
      </c>
      <c r="C13" s="1600"/>
      <c r="D13" s="1600"/>
      <c r="E13" s="1600"/>
      <c r="F13" s="1600"/>
      <c r="G13" s="1614">
        <f>+G14+G15</f>
        <v>0</v>
      </c>
    </row>
    <row r="14" spans="1:7" ht="16.5">
      <c r="A14" s="1602">
        <f t="shared" si="0"/>
        <v>10</v>
      </c>
      <c r="B14" s="1606" t="s">
        <v>4528</v>
      </c>
      <c r="C14" s="1604"/>
      <c r="D14" s="1607"/>
      <c r="E14" s="1607"/>
      <c r="F14" s="1607"/>
      <c r="G14" s="1608"/>
    </row>
    <row r="15" spans="1:7" ht="16.5">
      <c r="A15" s="1602">
        <f t="shared" si="0"/>
        <v>11</v>
      </c>
      <c r="B15" s="1606" t="s">
        <v>4529</v>
      </c>
      <c r="C15" s="1604"/>
      <c r="D15" s="1604"/>
      <c r="E15" s="1604"/>
      <c r="F15" s="1604"/>
      <c r="G15" s="1605">
        <f>+G16+G17</f>
        <v>0</v>
      </c>
    </row>
    <row r="16" spans="1:7" ht="16.5">
      <c r="A16" s="1602">
        <f t="shared" si="0"/>
        <v>12</v>
      </c>
      <c r="B16" s="1624" t="s">
        <v>4530</v>
      </c>
      <c r="C16" s="1604"/>
      <c r="D16" s="1604"/>
      <c r="E16" s="1607"/>
      <c r="F16" s="1607"/>
      <c r="G16" s="1608"/>
    </row>
    <row r="17" spans="1:7" ht="16.5">
      <c r="A17" s="1609">
        <f t="shared" si="0"/>
        <v>13</v>
      </c>
      <c r="B17" s="1625" t="s">
        <v>4531</v>
      </c>
      <c r="C17" s="1611"/>
      <c r="D17" s="1611"/>
      <c r="E17" s="1611"/>
      <c r="F17" s="1611"/>
      <c r="G17" s="1626"/>
    </row>
    <row r="18" spans="1:7" ht="16.5">
      <c r="A18" s="1598">
        <f t="shared" si="0"/>
        <v>14</v>
      </c>
      <c r="B18" s="1603" t="s">
        <v>4532</v>
      </c>
      <c r="C18" s="1600"/>
      <c r="D18" s="1600"/>
      <c r="E18" s="1600"/>
      <c r="F18" s="1600"/>
      <c r="G18" s="1614">
        <f>+G19+G20+G24</f>
        <v>0</v>
      </c>
    </row>
    <row r="19" spans="1:7" ht="16.5">
      <c r="A19" s="1602">
        <f t="shared" si="0"/>
        <v>15</v>
      </c>
      <c r="B19" s="1606" t="s">
        <v>4533</v>
      </c>
      <c r="C19" s="1604"/>
      <c r="D19" s="1604"/>
      <c r="E19" s="1604"/>
      <c r="F19" s="1604"/>
      <c r="G19" s="1608"/>
    </row>
    <row r="20" spans="1:7" ht="16.5">
      <c r="A20" s="1602">
        <f t="shared" si="0"/>
        <v>16</v>
      </c>
      <c r="B20" s="1606" t="s">
        <v>4534</v>
      </c>
      <c r="C20" s="1604"/>
      <c r="D20" s="1604"/>
      <c r="E20" s="1604"/>
      <c r="F20" s="1604"/>
      <c r="G20" s="1627"/>
    </row>
    <row r="21" spans="1:7" ht="16.5">
      <c r="A21" s="1632" t="s">
        <v>5684</v>
      </c>
      <c r="B21" s="2555" t="s">
        <v>6067</v>
      </c>
      <c r="C21" s="1604"/>
      <c r="D21" s="1604"/>
      <c r="E21" s="1604"/>
      <c r="F21" s="1604"/>
      <c r="G21" s="2335"/>
    </row>
    <row r="22" spans="1:7" ht="16.5">
      <c r="A22" s="1632" t="s">
        <v>5685</v>
      </c>
      <c r="B22" s="2555" t="s">
        <v>6068</v>
      </c>
      <c r="C22" s="1604"/>
      <c r="D22" s="1604"/>
      <c r="E22" s="1604"/>
      <c r="F22" s="1604"/>
      <c r="G22" s="2335"/>
    </row>
    <row r="23" spans="1:7" ht="16.5">
      <c r="A23" s="1632" t="s">
        <v>5686</v>
      </c>
      <c r="B23" s="2555" t="s">
        <v>6069</v>
      </c>
      <c r="C23" s="1604"/>
      <c r="D23" s="1604"/>
      <c r="E23" s="1604"/>
      <c r="F23" s="1604"/>
      <c r="G23" s="2335"/>
    </row>
    <row r="24" spans="1:7" ht="33">
      <c r="A24" s="1602">
        <f>A20+1</f>
        <v>17</v>
      </c>
      <c r="B24" s="1606" t="s">
        <v>4535</v>
      </c>
      <c r="C24" s="1604"/>
      <c r="D24" s="1604"/>
      <c r="E24" s="1604"/>
      <c r="F24" s="1604"/>
      <c r="G24" s="1605">
        <f>+G25+G28+G31+G32</f>
        <v>0</v>
      </c>
    </row>
    <row r="25" spans="1:7" ht="16.5">
      <c r="A25" s="1602">
        <f t="shared" si="0"/>
        <v>18</v>
      </c>
      <c r="B25" s="1624" t="s">
        <v>4536</v>
      </c>
      <c r="C25" s="1604"/>
      <c r="D25" s="1604"/>
      <c r="E25" s="1604"/>
      <c r="F25" s="1604"/>
      <c r="G25" s="1605">
        <f>+G26+G27</f>
        <v>0</v>
      </c>
    </row>
    <row r="26" spans="1:7" ht="16.5">
      <c r="A26" s="1602">
        <f t="shared" si="0"/>
        <v>19</v>
      </c>
      <c r="B26" s="1628" t="s">
        <v>4537</v>
      </c>
      <c r="C26" s="1604"/>
      <c r="D26" s="1604"/>
      <c r="E26" s="1604"/>
      <c r="F26" s="1604"/>
      <c r="G26" s="1608"/>
    </row>
    <row r="27" spans="1:7" ht="16.5">
      <c r="A27" s="1602">
        <f t="shared" si="0"/>
        <v>20</v>
      </c>
      <c r="B27" s="1628" t="s">
        <v>4538</v>
      </c>
      <c r="C27" s="1604"/>
      <c r="D27" s="1604"/>
      <c r="E27" s="1604"/>
      <c r="F27" s="1604"/>
      <c r="G27" s="1608"/>
    </row>
    <row r="28" spans="1:7" ht="16.5">
      <c r="A28" s="1602">
        <f t="shared" si="0"/>
        <v>21</v>
      </c>
      <c r="B28" s="1624" t="s">
        <v>4539</v>
      </c>
      <c r="C28" s="1604"/>
      <c r="D28" s="1604"/>
      <c r="E28" s="1604"/>
      <c r="F28" s="1604"/>
      <c r="G28" s="1605">
        <f>+G29+G30</f>
        <v>0</v>
      </c>
    </row>
    <row r="29" spans="1:7" ht="16.5">
      <c r="A29" s="1602">
        <f t="shared" si="0"/>
        <v>22</v>
      </c>
      <c r="B29" s="1628" t="s">
        <v>4537</v>
      </c>
      <c r="C29" s="1604"/>
      <c r="D29" s="1604"/>
      <c r="E29" s="1604"/>
      <c r="F29" s="1604"/>
      <c r="G29" s="1608"/>
    </row>
    <row r="30" spans="1:7" ht="16.5">
      <c r="A30" s="1602">
        <f t="shared" si="0"/>
        <v>23</v>
      </c>
      <c r="B30" s="1628" t="s">
        <v>4538</v>
      </c>
      <c r="C30" s="1604"/>
      <c r="D30" s="1604"/>
      <c r="E30" s="1604"/>
      <c r="F30" s="1604"/>
      <c r="G30" s="1608"/>
    </row>
    <row r="31" spans="1:7" ht="16.5">
      <c r="A31" s="1602">
        <f t="shared" si="0"/>
        <v>24</v>
      </c>
      <c r="B31" s="1624" t="s">
        <v>4540</v>
      </c>
      <c r="C31" s="1604"/>
      <c r="D31" s="1604"/>
      <c r="E31" s="1604"/>
      <c r="F31" s="1604"/>
      <c r="G31" s="1627"/>
    </row>
    <row r="32" spans="1:7" ht="16.5">
      <c r="A32" s="1602">
        <f t="shared" si="0"/>
        <v>25</v>
      </c>
      <c r="B32" s="1624" t="s">
        <v>4541</v>
      </c>
      <c r="C32" s="1604"/>
      <c r="D32" s="1604"/>
      <c r="E32" s="1604"/>
      <c r="F32" s="1604"/>
      <c r="G32" s="1605">
        <f>+G33+G34</f>
        <v>0</v>
      </c>
    </row>
    <row r="33" spans="1:7" ht="16.5">
      <c r="A33" s="1602">
        <f t="shared" si="0"/>
        <v>26</v>
      </c>
      <c r="B33" s="1628" t="s">
        <v>4542</v>
      </c>
      <c r="C33" s="1604"/>
      <c r="D33" s="1604"/>
      <c r="E33" s="1604"/>
      <c r="F33" s="1604"/>
      <c r="G33" s="1608"/>
    </row>
    <row r="34" spans="1:7" ht="16.5">
      <c r="A34" s="1602">
        <f t="shared" si="0"/>
        <v>27</v>
      </c>
      <c r="B34" s="1628" t="s">
        <v>4543</v>
      </c>
      <c r="C34" s="1604"/>
      <c r="D34" s="1604"/>
      <c r="E34" s="1604"/>
      <c r="F34" s="1604"/>
      <c r="G34" s="1605">
        <f>+G35+G36</f>
        <v>0</v>
      </c>
    </row>
    <row r="35" spans="1:7" ht="16.5">
      <c r="A35" s="1602">
        <f t="shared" si="0"/>
        <v>28</v>
      </c>
      <c r="B35" s="1629" t="s">
        <v>4544</v>
      </c>
      <c r="C35" s="1604"/>
      <c r="D35" s="1604"/>
      <c r="E35" s="1604"/>
      <c r="F35" s="1604"/>
      <c r="G35" s="1608"/>
    </row>
    <row r="36" spans="1:7" ht="16.5">
      <c r="A36" s="1609">
        <f t="shared" si="0"/>
        <v>29</v>
      </c>
      <c r="B36" s="1630" t="s">
        <v>4545</v>
      </c>
      <c r="C36" s="1611"/>
      <c r="D36" s="1611"/>
      <c r="E36" s="1611"/>
      <c r="F36" s="1611"/>
      <c r="G36" s="1626"/>
    </row>
    <row r="37" spans="1:7">
      <c r="A37" s="1631">
        <f t="shared" si="0"/>
        <v>30</v>
      </c>
      <c r="B37" s="1603" t="s">
        <v>1422</v>
      </c>
      <c r="C37" s="1600"/>
      <c r="D37" s="1600"/>
      <c r="E37" s="1600"/>
      <c r="F37" s="1600"/>
      <c r="G37" s="1614"/>
    </row>
    <row r="38" spans="1:7" ht="16.5">
      <c r="A38" s="1632">
        <f t="shared" si="0"/>
        <v>31</v>
      </c>
      <c r="B38" s="1606" t="s">
        <v>4546</v>
      </c>
      <c r="C38" s="1604"/>
      <c r="D38" s="1604"/>
      <c r="E38" s="1633"/>
      <c r="F38" s="1633"/>
      <c r="G38" s="1608"/>
    </row>
    <row r="39" spans="1:7" ht="16.5">
      <c r="A39" s="1634">
        <f t="shared" si="0"/>
        <v>32</v>
      </c>
      <c r="B39" s="1616" t="s">
        <v>4547</v>
      </c>
      <c r="C39" s="1617"/>
      <c r="D39" s="1617"/>
      <c r="E39" s="1635"/>
      <c r="F39" s="1635"/>
      <c r="G39" s="1619"/>
    </row>
    <row r="40" spans="1:7" ht="16.5">
      <c r="A40" s="1620">
        <f>A39+1</f>
        <v>33</v>
      </c>
      <c r="B40" s="1636" t="s">
        <v>4548</v>
      </c>
      <c r="C40" s="1622"/>
      <c r="D40" s="1622"/>
      <c r="E40" s="1622"/>
      <c r="F40" s="1622"/>
      <c r="G40" s="1637">
        <f>+G6+G9+G12+G13+G18</f>
        <v>0</v>
      </c>
    </row>
    <row r="41" spans="1:7" ht="16.5">
      <c r="A41" s="1620">
        <f t="shared" si="0"/>
        <v>34</v>
      </c>
      <c r="B41" s="1636" t="s">
        <v>4549</v>
      </c>
      <c r="C41" s="1622"/>
      <c r="D41" s="1622"/>
      <c r="E41" s="1622"/>
      <c r="F41" s="1622"/>
      <c r="G41" s="1623"/>
    </row>
    <row r="42" spans="1:7" ht="16.5">
      <c r="A42" s="1598">
        <f t="shared" si="0"/>
        <v>35</v>
      </c>
      <c r="B42" s="1638" t="s">
        <v>4550</v>
      </c>
      <c r="C42" s="1600"/>
      <c r="D42" s="1600"/>
      <c r="E42" s="1600"/>
      <c r="F42" s="1600"/>
      <c r="G42" s="1614">
        <f>+G43+G44+G45</f>
        <v>0</v>
      </c>
    </row>
    <row r="43" spans="1:7" ht="16.5">
      <c r="A43" s="1602">
        <f t="shared" si="0"/>
        <v>36</v>
      </c>
      <c r="B43" s="1639" t="s">
        <v>4551</v>
      </c>
      <c r="C43" s="1604"/>
      <c r="D43" s="1604"/>
      <c r="E43" s="1607"/>
      <c r="F43" s="1607"/>
      <c r="G43" s="1608"/>
    </row>
    <row r="44" spans="1:7" ht="16.5">
      <c r="A44" s="1640">
        <f t="shared" si="0"/>
        <v>37</v>
      </c>
      <c r="B44" s="1639" t="s">
        <v>4552</v>
      </c>
      <c r="C44" s="1604"/>
      <c r="D44" s="1604"/>
      <c r="E44" s="1604"/>
      <c r="F44" s="1604"/>
      <c r="G44" s="1627"/>
    </row>
    <row r="45" spans="1:7" ht="16.5">
      <c r="A45" s="1640">
        <f t="shared" si="0"/>
        <v>38</v>
      </c>
      <c r="B45" s="1606" t="s">
        <v>4553</v>
      </c>
      <c r="C45" s="1604"/>
      <c r="D45" s="1604"/>
      <c r="E45" s="1604"/>
      <c r="F45" s="1604"/>
      <c r="G45" s="1605">
        <f>+G46+G47</f>
        <v>0</v>
      </c>
    </row>
    <row r="46" spans="1:7" ht="16.5">
      <c r="A46" s="1640">
        <f t="shared" si="0"/>
        <v>39</v>
      </c>
      <c r="B46" s="1624" t="s">
        <v>4554</v>
      </c>
      <c r="C46" s="1604"/>
      <c r="D46" s="1607"/>
      <c r="E46" s="1607"/>
      <c r="F46" s="1607"/>
      <c r="G46" s="1608"/>
    </row>
    <row r="47" spans="1:7" ht="16.5">
      <c r="A47" s="1640">
        <f t="shared" si="0"/>
        <v>40</v>
      </c>
      <c r="B47" s="1624" t="s">
        <v>4555</v>
      </c>
      <c r="C47" s="1604"/>
      <c r="D47" s="1604"/>
      <c r="E47" s="1604"/>
      <c r="F47" s="1604"/>
      <c r="G47" s="1605">
        <f>+G48+G49</f>
        <v>0</v>
      </c>
    </row>
    <row r="48" spans="1:7" ht="16.5">
      <c r="A48" s="1640">
        <f t="shared" si="0"/>
        <v>41</v>
      </c>
      <c r="B48" s="1628" t="s">
        <v>4556</v>
      </c>
      <c r="C48" s="1604"/>
      <c r="D48" s="1604"/>
      <c r="E48" s="1607"/>
      <c r="F48" s="1607"/>
      <c r="G48" s="1608"/>
    </row>
    <row r="49" spans="1:8" ht="16.5">
      <c r="A49" s="1641">
        <f t="shared" si="0"/>
        <v>42</v>
      </c>
      <c r="B49" s="1642" t="s">
        <v>4557</v>
      </c>
      <c r="C49" s="1611"/>
      <c r="D49" s="1611"/>
      <c r="E49" s="1611"/>
      <c r="F49" s="1611"/>
      <c r="G49" s="1626"/>
    </row>
    <row r="50" spans="1:8" ht="16.5">
      <c r="A50" s="1643">
        <f t="shared" si="0"/>
        <v>43</v>
      </c>
      <c r="B50" s="1638" t="s">
        <v>4558</v>
      </c>
      <c r="C50" s="1600"/>
      <c r="D50" s="1600"/>
      <c r="E50" s="1600"/>
      <c r="F50" s="1600"/>
      <c r="G50" s="1614">
        <f>+G51+G52+G53</f>
        <v>0</v>
      </c>
    </row>
    <row r="51" spans="1:8" ht="16.5">
      <c r="A51" s="1640">
        <f t="shared" si="0"/>
        <v>44</v>
      </c>
      <c r="B51" s="1639" t="s">
        <v>4551</v>
      </c>
      <c r="C51" s="1604"/>
      <c r="D51" s="1604"/>
      <c r="E51" s="1607"/>
      <c r="F51" s="1607"/>
      <c r="G51" s="1608"/>
    </row>
    <row r="52" spans="1:8" ht="16.5">
      <c r="A52" s="1640">
        <f t="shared" si="0"/>
        <v>45</v>
      </c>
      <c r="B52" s="1639" t="s">
        <v>4552</v>
      </c>
      <c r="C52" s="1604"/>
      <c r="D52" s="1604"/>
      <c r="E52" s="1604"/>
      <c r="F52" s="1604"/>
      <c r="G52" s="1627"/>
    </row>
    <row r="53" spans="1:8" ht="16.5">
      <c r="A53" s="1640">
        <f t="shared" si="0"/>
        <v>46</v>
      </c>
      <c r="B53" s="1606" t="s">
        <v>4553</v>
      </c>
      <c r="C53" s="1604"/>
      <c r="D53" s="1604"/>
      <c r="E53" s="1604"/>
      <c r="F53" s="1604"/>
      <c r="G53" s="1605">
        <f>+G54+G55</f>
        <v>0</v>
      </c>
    </row>
    <row r="54" spans="1:8" ht="16.5">
      <c r="A54" s="1640">
        <f t="shared" si="0"/>
        <v>47</v>
      </c>
      <c r="B54" s="1624" t="s">
        <v>4554</v>
      </c>
      <c r="C54" s="1604"/>
      <c r="D54" s="1607"/>
      <c r="E54" s="1607"/>
      <c r="F54" s="1607"/>
      <c r="G54" s="1608"/>
    </row>
    <row r="55" spans="1:8" ht="16.5">
      <c r="A55" s="1640">
        <f t="shared" si="0"/>
        <v>48</v>
      </c>
      <c r="B55" s="1624" t="s">
        <v>4555</v>
      </c>
      <c r="C55" s="1604"/>
      <c r="D55" s="1604"/>
      <c r="E55" s="1604"/>
      <c r="F55" s="1604"/>
      <c r="G55" s="1605">
        <f>+G56+G57</f>
        <v>0</v>
      </c>
    </row>
    <row r="56" spans="1:8" ht="16.5">
      <c r="A56" s="1640">
        <f t="shared" si="0"/>
        <v>49</v>
      </c>
      <c r="B56" s="1628" t="s">
        <v>4556</v>
      </c>
      <c r="C56" s="1604"/>
      <c r="D56" s="1604"/>
      <c r="E56" s="1607"/>
      <c r="F56" s="1607"/>
      <c r="G56" s="1608"/>
    </row>
    <row r="57" spans="1:8" ht="16.5">
      <c r="A57" s="1644">
        <f t="shared" si="0"/>
        <v>50</v>
      </c>
      <c r="B57" s="1645" t="s">
        <v>4557</v>
      </c>
      <c r="C57" s="1617"/>
      <c r="D57" s="1617"/>
      <c r="E57" s="1617"/>
      <c r="F57" s="1617"/>
      <c r="G57" s="1646"/>
    </row>
    <row r="58" spans="1:8" ht="16.5">
      <c r="A58" s="1647">
        <f t="shared" si="0"/>
        <v>51</v>
      </c>
      <c r="B58" s="1636" t="s">
        <v>4559</v>
      </c>
      <c r="C58" s="1622"/>
      <c r="D58" s="1622"/>
      <c r="E58" s="1622"/>
      <c r="F58" s="1622"/>
      <c r="G58" s="1637">
        <f>+G42+G50</f>
        <v>0</v>
      </c>
    </row>
    <row r="59" spans="1:8" ht="16.5">
      <c r="A59" s="1648">
        <f t="shared" si="0"/>
        <v>52</v>
      </c>
      <c r="B59" s="1649" t="s">
        <v>4560</v>
      </c>
      <c r="C59" s="1650"/>
      <c r="D59" s="1650"/>
      <c r="E59" s="1650"/>
      <c r="F59" s="1650"/>
      <c r="G59" s="1651">
        <f>+G40+G58</f>
        <v>0</v>
      </c>
    </row>
    <row r="60" spans="1:8">
      <c r="A60" s="1652"/>
      <c r="B60" s="1653"/>
      <c r="C60" s="1654"/>
      <c r="D60" s="1654"/>
      <c r="E60" s="1654"/>
      <c r="F60" s="1654"/>
      <c r="G60" s="1655"/>
    </row>
    <row r="61" spans="1:8" ht="16.5">
      <c r="A61" s="1592" t="s">
        <v>4561</v>
      </c>
      <c r="B61" s="1589" t="s">
        <v>4562</v>
      </c>
      <c r="C61" s="1590"/>
      <c r="D61" s="1590"/>
      <c r="E61" s="1590"/>
      <c r="F61" s="1656"/>
      <c r="G61" s="1656"/>
      <c r="H61" s="1656"/>
    </row>
    <row r="62" spans="1:8" ht="16.5">
      <c r="A62" s="1592" t="s">
        <v>4563</v>
      </c>
      <c r="B62" s="1589" t="s">
        <v>4564</v>
      </c>
      <c r="C62" s="1590"/>
      <c r="D62" s="1590"/>
      <c r="E62" s="1590"/>
      <c r="F62" s="1656"/>
      <c r="G62" s="1656"/>
      <c r="H62" s="1656"/>
    </row>
    <row r="63" spans="1:8" ht="16.5">
      <c r="A63" s="1592" t="s">
        <v>4565</v>
      </c>
      <c r="B63" s="1589" t="s">
        <v>4566</v>
      </c>
      <c r="C63" s="1590"/>
      <c r="D63" s="1590"/>
      <c r="E63" s="1590"/>
      <c r="F63" s="1656"/>
      <c r="G63" s="1656"/>
      <c r="H63" s="1656"/>
    </row>
    <row r="64" spans="1:8" ht="16.5">
      <c r="A64" s="1592" t="s">
        <v>4062</v>
      </c>
      <c r="B64" s="1589" t="s">
        <v>4567</v>
      </c>
      <c r="C64" s="1590"/>
      <c r="D64" s="1590"/>
      <c r="E64" s="1590"/>
      <c r="F64" s="1656"/>
      <c r="G64" s="1656"/>
      <c r="H64" s="1656"/>
    </row>
    <row r="65" spans="1:8" ht="16.5">
      <c r="A65" s="1592" t="s">
        <v>4568</v>
      </c>
      <c r="B65" s="1589" t="s">
        <v>4569</v>
      </c>
      <c r="C65" s="1590"/>
      <c r="D65" s="1590"/>
      <c r="E65" s="1590"/>
      <c r="F65" s="1656"/>
      <c r="G65" s="1656"/>
      <c r="H65" s="1656"/>
    </row>
    <row r="66" spans="1:8" ht="16.5">
      <c r="A66" s="1592" t="s">
        <v>4570</v>
      </c>
      <c r="B66" s="1589" t="s">
        <v>4571</v>
      </c>
      <c r="C66" s="1590"/>
      <c r="D66" s="1590"/>
      <c r="E66" s="1590"/>
      <c r="F66" s="1656"/>
      <c r="G66" s="1656"/>
      <c r="H66" s="1656"/>
    </row>
    <row r="67" spans="1:8" ht="16.5">
      <c r="A67" s="1592" t="s">
        <v>4572</v>
      </c>
      <c r="B67" s="1589" t="s">
        <v>4573</v>
      </c>
      <c r="C67" s="1590"/>
      <c r="D67" s="1590"/>
      <c r="E67" s="1590"/>
      <c r="F67" s="1656"/>
      <c r="G67" s="1656"/>
      <c r="H67" s="1656"/>
    </row>
    <row r="68" spans="1:8" ht="16.5">
      <c r="A68" s="1592" t="s">
        <v>4574</v>
      </c>
      <c r="B68" s="1589" t="s">
        <v>4575</v>
      </c>
      <c r="C68" s="1590"/>
      <c r="D68" s="1590"/>
      <c r="E68" s="1590"/>
      <c r="F68" s="1656"/>
      <c r="G68" s="1656"/>
      <c r="H68" s="1656"/>
    </row>
    <row r="69" spans="1:8" ht="16.5">
      <c r="A69" s="1592" t="s">
        <v>4576</v>
      </c>
      <c r="B69" s="1589" t="s">
        <v>4577</v>
      </c>
      <c r="C69" s="1590"/>
      <c r="D69" s="1590"/>
      <c r="E69" s="1590"/>
      <c r="F69" s="1656"/>
      <c r="G69" s="1656"/>
      <c r="H69" s="1656"/>
    </row>
    <row r="70" spans="1:8" ht="16.5">
      <c r="A70" s="1592" t="s">
        <v>4578</v>
      </c>
      <c r="B70" s="1589" t="s">
        <v>4579</v>
      </c>
      <c r="C70" s="1590"/>
      <c r="D70" s="1590"/>
      <c r="E70" s="1590"/>
      <c r="F70" s="1656"/>
      <c r="G70" s="1656"/>
      <c r="H70" s="1656"/>
    </row>
    <row r="71" spans="1:8" ht="16.5">
      <c r="A71" s="1592" t="s">
        <v>4580</v>
      </c>
      <c r="B71" s="1589" t="s">
        <v>4581</v>
      </c>
      <c r="C71" s="1590"/>
      <c r="D71" s="1590"/>
      <c r="E71" s="1590"/>
      <c r="F71" s="1656"/>
      <c r="G71" s="1656"/>
      <c r="H71" s="1656"/>
    </row>
    <row r="72" spans="1:8" ht="16.5">
      <c r="A72" s="1592" t="s">
        <v>4582</v>
      </c>
      <c r="B72" s="1657" t="s">
        <v>4583</v>
      </c>
      <c r="C72" s="1654"/>
      <c r="D72" s="1654"/>
      <c r="E72" s="1654"/>
      <c r="F72" s="1654"/>
    </row>
    <row r="73" spans="1:8" ht="16.5">
      <c r="A73" s="1592" t="s">
        <v>4584</v>
      </c>
      <c r="B73" s="1657" t="s">
        <v>4585</v>
      </c>
      <c r="C73" s="1654"/>
      <c r="D73" s="1654"/>
      <c r="E73" s="1654"/>
      <c r="F73" s="1654"/>
    </row>
    <row r="74" spans="1:8" ht="16.5">
      <c r="A74" s="2674" t="s">
        <v>8451</v>
      </c>
      <c r="B74" s="2654" t="s">
        <v>8442</v>
      </c>
      <c r="C74" s="1658"/>
      <c r="D74" s="1658"/>
      <c r="E74" s="1658"/>
      <c r="F74" s="1658"/>
    </row>
    <row r="75" spans="1:8">
      <c r="A75" s="1591"/>
      <c r="B75" s="1588"/>
      <c r="C75" s="1658"/>
      <c r="D75" s="1658"/>
      <c r="E75" s="1658"/>
      <c r="F75" s="1658"/>
    </row>
  </sheetData>
  <mergeCells count="1">
    <mergeCell ref="A3:A4"/>
  </mergeCells>
  <phoneticPr fontId="30"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A1:AG38"/>
  <sheetViews>
    <sheetView topLeftCell="A7" zoomScaleNormal="100" zoomScaleSheetLayoutView="100" workbookViewId="0">
      <selection activeCell="A38" sqref="A38:B38"/>
    </sheetView>
  </sheetViews>
  <sheetFormatPr defaultColWidth="15.625" defaultRowHeight="15.75"/>
  <cols>
    <col min="1" max="1" width="5.625" style="1584" customWidth="1"/>
    <col min="2" max="16384" width="15.625" style="1584"/>
  </cols>
  <sheetData>
    <row r="1" spans="1:33" ht="16.5">
      <c r="A1" s="2186" t="str">
        <f>+封面!A3&amp;" "&amp;封面!A2</f>
        <v xml:space="preserve"> 中央再保險股份有限公司 年度檢查報表</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1583"/>
    </row>
    <row r="2" spans="1:33" ht="16.5">
      <c r="A2" s="426" t="s">
        <v>4492</v>
      </c>
      <c r="B2" s="23"/>
      <c r="C2" s="23"/>
      <c r="D2" s="23"/>
      <c r="E2" s="23"/>
      <c r="F2" s="23"/>
      <c r="G2" s="23"/>
      <c r="H2" s="23"/>
      <c r="I2" s="23"/>
      <c r="J2" s="23"/>
      <c r="K2" s="23"/>
      <c r="L2" s="23"/>
      <c r="M2" s="23"/>
      <c r="N2" s="23"/>
      <c r="O2" s="23"/>
      <c r="P2" s="23"/>
      <c r="Q2" s="23"/>
      <c r="R2" s="23"/>
      <c r="S2" s="23"/>
      <c r="T2" s="23"/>
      <c r="U2" s="23"/>
      <c r="V2" s="23"/>
      <c r="W2" s="23"/>
      <c r="X2" s="23"/>
      <c r="Y2" s="23"/>
      <c r="Z2" s="23"/>
      <c r="AA2" s="23"/>
      <c r="AC2" s="23"/>
      <c r="AD2" s="23"/>
      <c r="AE2" s="23"/>
      <c r="AF2" s="427" t="s">
        <v>3564</v>
      </c>
      <c r="AG2" s="1583"/>
    </row>
    <row r="3" spans="1:33" ht="15.75" customHeight="1">
      <c r="A3" s="2879" t="s">
        <v>3565</v>
      </c>
      <c r="B3" s="2882" t="s">
        <v>3566</v>
      </c>
      <c r="C3" s="2883"/>
      <c r="D3" s="2883"/>
      <c r="E3" s="2884"/>
      <c r="F3" s="2882" t="s">
        <v>3567</v>
      </c>
      <c r="G3" s="2883"/>
      <c r="H3" s="2883"/>
      <c r="I3" s="2883"/>
      <c r="J3" s="2884"/>
      <c r="K3" s="2879" t="s">
        <v>3568</v>
      </c>
      <c r="L3" s="2879" t="s">
        <v>3569</v>
      </c>
      <c r="M3" s="2879" t="s">
        <v>4442</v>
      </c>
      <c r="N3" s="2879" t="s">
        <v>4493</v>
      </c>
      <c r="O3" s="2879" t="s">
        <v>4494</v>
      </c>
      <c r="P3" s="2879" t="s">
        <v>4495</v>
      </c>
      <c r="Q3" s="2879" t="s">
        <v>4496</v>
      </c>
      <c r="R3" s="2879" t="s">
        <v>4497</v>
      </c>
      <c r="S3" s="2879" t="s">
        <v>4498</v>
      </c>
      <c r="T3" s="2879" t="s">
        <v>4443</v>
      </c>
      <c r="U3" s="2879" t="s">
        <v>4499</v>
      </c>
      <c r="V3" s="2879" t="s">
        <v>3576</v>
      </c>
      <c r="W3" s="2850" t="s">
        <v>4500</v>
      </c>
      <c r="X3" s="2879" t="s">
        <v>3577</v>
      </c>
      <c r="Y3" s="2879" t="s">
        <v>3578</v>
      </c>
      <c r="Z3" s="2879" t="s">
        <v>3579</v>
      </c>
      <c r="AA3" s="2879" t="s">
        <v>4501</v>
      </c>
      <c r="AB3" s="2882" t="s">
        <v>4444</v>
      </c>
      <c r="AC3" s="2884"/>
      <c r="AD3" s="2879" t="s">
        <v>4445</v>
      </c>
      <c r="AE3" s="2879" t="s">
        <v>3582</v>
      </c>
      <c r="AF3" s="2879" t="s">
        <v>3449</v>
      </c>
      <c r="AG3" s="1583"/>
    </row>
    <row r="4" spans="1:33" ht="33">
      <c r="A4" s="2881"/>
      <c r="B4" s="428" t="s">
        <v>3583</v>
      </c>
      <c r="C4" s="428" t="s">
        <v>3584</v>
      </c>
      <c r="D4" s="428" t="s">
        <v>4502</v>
      </c>
      <c r="E4" s="428" t="s">
        <v>4503</v>
      </c>
      <c r="F4" s="428" t="s">
        <v>3583</v>
      </c>
      <c r="G4" s="428" t="s">
        <v>3584</v>
      </c>
      <c r="H4" s="428" t="s">
        <v>4502</v>
      </c>
      <c r="I4" s="428" t="s">
        <v>4503</v>
      </c>
      <c r="J4" s="1585" t="s">
        <v>4447</v>
      </c>
      <c r="K4" s="2880"/>
      <c r="L4" s="2880"/>
      <c r="M4" s="2880"/>
      <c r="N4" s="2880"/>
      <c r="O4" s="2880"/>
      <c r="P4" s="2880"/>
      <c r="Q4" s="2880"/>
      <c r="R4" s="2880"/>
      <c r="S4" s="2880"/>
      <c r="T4" s="2880"/>
      <c r="U4" s="2880"/>
      <c r="V4" s="2880"/>
      <c r="W4" s="2850"/>
      <c r="X4" s="2880"/>
      <c r="Y4" s="2880"/>
      <c r="Z4" s="2880"/>
      <c r="AA4" s="2880"/>
      <c r="AB4" s="428" t="s">
        <v>4448</v>
      </c>
      <c r="AC4" s="428" t="s">
        <v>4449</v>
      </c>
      <c r="AD4" s="2880"/>
      <c r="AE4" s="2880"/>
      <c r="AF4" s="2880"/>
      <c r="AG4" s="1583"/>
    </row>
    <row r="5" spans="1:33">
      <c r="A5" s="2880"/>
      <c r="B5" s="429" t="s">
        <v>66</v>
      </c>
      <c r="C5" s="429" t="s">
        <v>67</v>
      </c>
      <c r="D5" s="429" t="s">
        <v>68</v>
      </c>
      <c r="E5" s="429" t="s">
        <v>69</v>
      </c>
      <c r="F5" s="429" t="s">
        <v>70</v>
      </c>
      <c r="G5" s="429" t="s">
        <v>71</v>
      </c>
      <c r="H5" s="429" t="s">
        <v>72</v>
      </c>
      <c r="I5" s="429" t="s">
        <v>73</v>
      </c>
      <c r="J5" s="429" t="s">
        <v>74</v>
      </c>
      <c r="K5" s="429" t="s">
        <v>449</v>
      </c>
      <c r="L5" s="429" t="s">
        <v>1407</v>
      </c>
      <c r="M5" s="429" t="s">
        <v>1408</v>
      </c>
      <c r="N5" s="429" t="s">
        <v>1409</v>
      </c>
      <c r="O5" s="429" t="s">
        <v>1410</v>
      </c>
      <c r="P5" s="429" t="s">
        <v>1411</v>
      </c>
      <c r="Q5" s="429" t="s">
        <v>277</v>
      </c>
      <c r="R5" s="429" t="s">
        <v>278</v>
      </c>
      <c r="S5" s="429" t="s">
        <v>138</v>
      </c>
      <c r="T5" s="429" t="s">
        <v>139</v>
      </c>
      <c r="U5" s="429" t="s">
        <v>140</v>
      </c>
      <c r="V5" s="429" t="s">
        <v>141</v>
      </c>
      <c r="W5" s="429" t="s">
        <v>142</v>
      </c>
      <c r="X5" s="429" t="s">
        <v>242</v>
      </c>
      <c r="Y5" s="429" t="s">
        <v>243</v>
      </c>
      <c r="Z5" s="429" t="s">
        <v>244</v>
      </c>
      <c r="AA5" s="429" t="s">
        <v>245</v>
      </c>
      <c r="AB5" s="429" t="s">
        <v>246</v>
      </c>
      <c r="AC5" s="429" t="s">
        <v>247</v>
      </c>
      <c r="AD5" s="429" t="s">
        <v>248</v>
      </c>
      <c r="AE5" s="429" t="s">
        <v>249</v>
      </c>
      <c r="AF5" s="429" t="s">
        <v>1412</v>
      </c>
      <c r="AG5" s="1583"/>
    </row>
    <row r="6" spans="1:33">
      <c r="A6" s="430">
        <v>1</v>
      </c>
      <c r="B6" s="443"/>
      <c r="C6" s="441"/>
      <c r="D6" s="441"/>
      <c r="E6" s="441"/>
      <c r="F6" s="443"/>
      <c r="G6" s="441"/>
      <c r="H6" s="441"/>
      <c r="I6" s="441"/>
      <c r="J6" s="441"/>
      <c r="K6" s="441"/>
      <c r="L6" s="441"/>
      <c r="M6" s="441"/>
      <c r="N6" s="441"/>
      <c r="O6" s="441"/>
      <c r="P6" s="441"/>
      <c r="Q6" s="441"/>
      <c r="R6" s="441"/>
      <c r="S6" s="441"/>
      <c r="T6" s="441"/>
      <c r="U6" s="441"/>
      <c r="V6" s="1586"/>
      <c r="W6" s="1586"/>
      <c r="X6" s="441"/>
      <c r="Y6" s="1554"/>
      <c r="Z6" s="1554"/>
      <c r="AA6" s="1554"/>
      <c r="AB6" s="1559">
        <v>0</v>
      </c>
      <c r="AC6" s="1554"/>
      <c r="AD6" s="1586" t="e">
        <f>Z6/'表05-1'!$D$269</f>
        <v>#DIV/0!</v>
      </c>
      <c r="AE6" s="441"/>
      <c r="AF6" s="441"/>
      <c r="AG6" s="1583"/>
    </row>
    <row r="7" spans="1:33">
      <c r="A7" s="430">
        <f>A6+1</f>
        <v>2</v>
      </c>
      <c r="B7" s="443"/>
      <c r="C7" s="441"/>
      <c r="D7" s="441"/>
      <c r="E7" s="441"/>
      <c r="F7" s="443"/>
      <c r="G7" s="441"/>
      <c r="H7" s="441"/>
      <c r="I7" s="441"/>
      <c r="J7" s="441"/>
      <c r="K7" s="441"/>
      <c r="L7" s="441"/>
      <c r="M7" s="441"/>
      <c r="N7" s="441"/>
      <c r="O7" s="441"/>
      <c r="P7" s="441"/>
      <c r="Q7" s="441"/>
      <c r="R7" s="441"/>
      <c r="S7" s="441"/>
      <c r="T7" s="441"/>
      <c r="U7" s="441"/>
      <c r="V7" s="1586"/>
      <c r="W7" s="1586"/>
      <c r="X7" s="441"/>
      <c r="Y7" s="1554"/>
      <c r="Z7" s="1554"/>
      <c r="AA7" s="1554"/>
      <c r="AB7" s="1559">
        <v>0</v>
      </c>
      <c r="AC7" s="1554"/>
      <c r="AD7" s="1586" t="e">
        <f>Z7/'表05-1'!$D$269</f>
        <v>#DIV/0!</v>
      </c>
      <c r="AE7" s="441"/>
      <c r="AF7" s="441"/>
      <c r="AG7" s="1583"/>
    </row>
    <row r="8" spans="1:33">
      <c r="A8" s="430">
        <f t="shared" ref="A8:A15" si="0">A7+1</f>
        <v>3</v>
      </c>
      <c r="B8" s="443"/>
      <c r="C8" s="441"/>
      <c r="D8" s="441"/>
      <c r="E8" s="441"/>
      <c r="F8" s="443"/>
      <c r="G8" s="441"/>
      <c r="H8" s="441"/>
      <c r="I8" s="441"/>
      <c r="J8" s="441"/>
      <c r="K8" s="441"/>
      <c r="L8" s="441"/>
      <c r="M8" s="441"/>
      <c r="N8" s="441"/>
      <c r="O8" s="441"/>
      <c r="P8" s="441"/>
      <c r="Q8" s="441"/>
      <c r="R8" s="441"/>
      <c r="S8" s="441"/>
      <c r="T8" s="441"/>
      <c r="U8" s="441"/>
      <c r="V8" s="1586"/>
      <c r="W8" s="1586"/>
      <c r="X8" s="441"/>
      <c r="Y8" s="1554"/>
      <c r="Z8" s="1554"/>
      <c r="AA8" s="1554"/>
      <c r="AB8" s="1559">
        <v>0</v>
      </c>
      <c r="AC8" s="1554"/>
      <c r="AD8" s="1586" t="e">
        <f>Z8/'表05-1'!$D$269</f>
        <v>#DIV/0!</v>
      </c>
      <c r="AE8" s="441"/>
      <c r="AF8" s="441"/>
      <c r="AG8" s="1583"/>
    </row>
    <row r="9" spans="1:33">
      <c r="A9" s="430">
        <f t="shared" si="0"/>
        <v>4</v>
      </c>
      <c r="B9" s="443"/>
      <c r="C9" s="441"/>
      <c r="D9" s="441"/>
      <c r="E9" s="441"/>
      <c r="F9" s="443"/>
      <c r="G9" s="441"/>
      <c r="H9" s="441"/>
      <c r="I9" s="441"/>
      <c r="J9" s="441"/>
      <c r="K9" s="441"/>
      <c r="L9" s="441"/>
      <c r="M9" s="441"/>
      <c r="N9" s="441"/>
      <c r="O9" s="441"/>
      <c r="P9" s="441"/>
      <c r="Q9" s="441"/>
      <c r="R9" s="441"/>
      <c r="S9" s="441"/>
      <c r="T9" s="441"/>
      <c r="U9" s="441"/>
      <c r="V9" s="1586"/>
      <c r="W9" s="1586"/>
      <c r="X9" s="441"/>
      <c r="Y9" s="1554"/>
      <c r="Z9" s="1554"/>
      <c r="AA9" s="1554"/>
      <c r="AB9" s="1559">
        <v>0</v>
      </c>
      <c r="AC9" s="1554"/>
      <c r="AD9" s="1586" t="e">
        <f>Z9/'表05-1'!$D$269</f>
        <v>#DIV/0!</v>
      </c>
      <c r="AE9" s="441"/>
      <c r="AF9" s="441"/>
      <c r="AG9" s="1583"/>
    </row>
    <row r="10" spans="1:33">
      <c r="A10" s="430">
        <f t="shared" si="0"/>
        <v>5</v>
      </c>
      <c r="B10" s="443"/>
      <c r="C10" s="441"/>
      <c r="D10" s="441"/>
      <c r="E10" s="441"/>
      <c r="F10" s="443"/>
      <c r="G10" s="441"/>
      <c r="H10" s="441"/>
      <c r="I10" s="441"/>
      <c r="J10" s="441"/>
      <c r="K10" s="441"/>
      <c r="L10" s="441"/>
      <c r="M10" s="441"/>
      <c r="N10" s="441"/>
      <c r="O10" s="441"/>
      <c r="P10" s="441"/>
      <c r="Q10" s="441"/>
      <c r="R10" s="441"/>
      <c r="S10" s="441"/>
      <c r="T10" s="441"/>
      <c r="U10" s="441"/>
      <c r="V10" s="1586"/>
      <c r="W10" s="1586"/>
      <c r="X10" s="441"/>
      <c r="Y10" s="1554"/>
      <c r="Z10" s="1554"/>
      <c r="AA10" s="1554"/>
      <c r="AB10" s="1559"/>
      <c r="AC10" s="1554"/>
      <c r="AD10" s="1586" t="e">
        <f>Z10/'表05-1'!$D$269</f>
        <v>#DIV/0!</v>
      </c>
      <c r="AE10" s="441"/>
      <c r="AF10" s="441"/>
      <c r="AG10" s="1583"/>
    </row>
    <row r="11" spans="1:33">
      <c r="A11" s="430">
        <f t="shared" si="0"/>
        <v>6</v>
      </c>
      <c r="B11" s="443"/>
      <c r="C11" s="441"/>
      <c r="D11" s="441"/>
      <c r="E11" s="441"/>
      <c r="F11" s="443"/>
      <c r="G11" s="441"/>
      <c r="H11" s="441"/>
      <c r="I11" s="441"/>
      <c r="J11" s="441"/>
      <c r="K11" s="441"/>
      <c r="L11" s="441"/>
      <c r="M11" s="441"/>
      <c r="N11" s="441"/>
      <c r="O11" s="441"/>
      <c r="P11" s="441"/>
      <c r="Q11" s="441"/>
      <c r="R11" s="441"/>
      <c r="S11" s="441"/>
      <c r="T11" s="441"/>
      <c r="U11" s="441"/>
      <c r="V11" s="1586"/>
      <c r="W11" s="1586"/>
      <c r="X11" s="441"/>
      <c r="Y11" s="1554"/>
      <c r="Z11" s="1554"/>
      <c r="AA11" s="1554"/>
      <c r="AB11" s="1559">
        <v>0</v>
      </c>
      <c r="AC11" s="1554"/>
      <c r="AD11" s="1586" t="e">
        <f>Z11/'表05-1'!$D$269</f>
        <v>#DIV/0!</v>
      </c>
      <c r="AE11" s="441"/>
      <c r="AF11" s="441"/>
      <c r="AG11" s="1583"/>
    </row>
    <row r="12" spans="1:33">
      <c r="A12" s="430">
        <f t="shared" si="0"/>
        <v>7</v>
      </c>
      <c r="B12" s="443"/>
      <c r="C12" s="441"/>
      <c r="D12" s="441"/>
      <c r="E12" s="441"/>
      <c r="F12" s="443"/>
      <c r="G12" s="441"/>
      <c r="H12" s="441"/>
      <c r="I12" s="441"/>
      <c r="J12" s="441"/>
      <c r="K12" s="441"/>
      <c r="L12" s="441"/>
      <c r="M12" s="441"/>
      <c r="N12" s="441"/>
      <c r="O12" s="441"/>
      <c r="P12" s="441"/>
      <c r="Q12" s="441"/>
      <c r="R12" s="441"/>
      <c r="S12" s="441"/>
      <c r="T12" s="441"/>
      <c r="U12" s="441"/>
      <c r="V12" s="1586"/>
      <c r="W12" s="1586"/>
      <c r="X12" s="441"/>
      <c r="Y12" s="1554"/>
      <c r="Z12" s="1554"/>
      <c r="AA12" s="1554"/>
      <c r="AB12" s="1559"/>
      <c r="AC12" s="1554"/>
      <c r="AD12" s="1586" t="e">
        <f>Z12/'表05-1'!$D$269</f>
        <v>#DIV/0!</v>
      </c>
      <c r="AE12" s="441"/>
      <c r="AF12" s="441"/>
      <c r="AG12" s="1583"/>
    </row>
    <row r="13" spans="1:33">
      <c r="A13" s="430">
        <f t="shared" si="0"/>
        <v>8</v>
      </c>
      <c r="B13" s="443"/>
      <c r="C13" s="441"/>
      <c r="D13" s="441"/>
      <c r="E13" s="441"/>
      <c r="F13" s="443"/>
      <c r="G13" s="441"/>
      <c r="H13" s="441"/>
      <c r="I13" s="441"/>
      <c r="J13" s="441"/>
      <c r="K13" s="441"/>
      <c r="L13" s="441"/>
      <c r="M13" s="441"/>
      <c r="N13" s="441"/>
      <c r="O13" s="441"/>
      <c r="P13" s="441"/>
      <c r="Q13" s="441"/>
      <c r="R13" s="441"/>
      <c r="S13" s="441"/>
      <c r="T13" s="441"/>
      <c r="U13" s="441"/>
      <c r="V13" s="1586"/>
      <c r="W13" s="1586"/>
      <c r="X13" s="441"/>
      <c r="Y13" s="1554"/>
      <c r="Z13" s="1554"/>
      <c r="AA13" s="1554"/>
      <c r="AB13" s="1559"/>
      <c r="AC13" s="1554"/>
      <c r="AD13" s="1586" t="e">
        <f>Z13/'表05-1'!$D$269</f>
        <v>#DIV/0!</v>
      </c>
      <c r="AE13" s="441"/>
      <c r="AF13" s="441"/>
      <c r="AG13" s="1583"/>
    </row>
    <row r="14" spans="1:33">
      <c r="A14" s="430">
        <f t="shared" si="0"/>
        <v>9</v>
      </c>
      <c r="B14" s="443"/>
      <c r="C14" s="441"/>
      <c r="D14" s="441"/>
      <c r="E14" s="441"/>
      <c r="F14" s="443"/>
      <c r="G14" s="441"/>
      <c r="H14" s="441"/>
      <c r="I14" s="441"/>
      <c r="J14" s="441"/>
      <c r="K14" s="441"/>
      <c r="L14" s="441"/>
      <c r="M14" s="441"/>
      <c r="N14" s="441"/>
      <c r="O14" s="441"/>
      <c r="P14" s="441"/>
      <c r="Q14" s="441"/>
      <c r="R14" s="441"/>
      <c r="S14" s="441"/>
      <c r="T14" s="441"/>
      <c r="U14" s="441"/>
      <c r="V14" s="1586"/>
      <c r="W14" s="1586"/>
      <c r="X14" s="441"/>
      <c r="Y14" s="1554"/>
      <c r="Z14" s="1554"/>
      <c r="AA14" s="1554"/>
      <c r="AB14" s="1559"/>
      <c r="AC14" s="1554"/>
      <c r="AD14" s="1586" t="e">
        <f>Z14/'表05-1'!$D$269</f>
        <v>#DIV/0!</v>
      </c>
      <c r="AE14" s="441"/>
      <c r="AF14" s="441"/>
      <c r="AG14" s="1583"/>
    </row>
    <row r="15" spans="1:33">
      <c r="A15" s="430">
        <f t="shared" si="0"/>
        <v>10</v>
      </c>
      <c r="B15" s="443"/>
      <c r="C15" s="441"/>
      <c r="D15" s="441"/>
      <c r="E15" s="441"/>
      <c r="F15" s="443"/>
      <c r="G15" s="441"/>
      <c r="H15" s="441"/>
      <c r="I15" s="441"/>
      <c r="J15" s="441"/>
      <c r="K15" s="441"/>
      <c r="L15" s="441"/>
      <c r="M15" s="441"/>
      <c r="N15" s="441"/>
      <c r="O15" s="441"/>
      <c r="P15" s="441"/>
      <c r="Q15" s="441"/>
      <c r="R15" s="441"/>
      <c r="S15" s="441"/>
      <c r="T15" s="441"/>
      <c r="U15" s="441"/>
      <c r="V15" s="1586"/>
      <c r="W15" s="1586"/>
      <c r="X15" s="441"/>
      <c r="Y15" s="1554"/>
      <c r="Z15" s="1554"/>
      <c r="AA15" s="1554"/>
      <c r="AB15" s="1559"/>
      <c r="AC15" s="1554"/>
      <c r="AD15" s="1586" t="e">
        <f>Z15/'表05-1'!$D$269</f>
        <v>#DIV/0!</v>
      </c>
      <c r="AE15" s="441"/>
      <c r="AF15" s="441"/>
      <c r="AG15" s="1583"/>
    </row>
    <row r="16" spans="1:33">
      <c r="A16" s="435"/>
      <c r="B16" s="436"/>
      <c r="C16" s="437"/>
      <c r="D16" s="437"/>
      <c r="E16" s="437"/>
      <c r="F16" s="436"/>
      <c r="G16" s="437"/>
      <c r="H16" s="437"/>
      <c r="I16" s="437"/>
      <c r="J16" s="437"/>
      <c r="K16" s="437"/>
      <c r="L16" s="437"/>
      <c r="M16" s="437"/>
      <c r="N16" s="437"/>
      <c r="O16" s="437"/>
      <c r="P16" s="437"/>
      <c r="Q16" s="437"/>
      <c r="R16" s="437"/>
      <c r="S16" s="437"/>
      <c r="T16" s="437"/>
      <c r="U16" s="437"/>
      <c r="V16" s="438"/>
      <c r="W16" s="438"/>
      <c r="X16" s="437"/>
      <c r="Y16" s="439"/>
      <c r="Z16" s="439"/>
      <c r="AA16" s="439"/>
      <c r="AB16" s="1587"/>
      <c r="AC16" s="439"/>
      <c r="AD16" s="438"/>
      <c r="AE16" s="437"/>
      <c r="AF16" s="437"/>
      <c r="AG16" s="1583"/>
    </row>
    <row r="17" spans="1:33" ht="16.5">
      <c r="A17" s="450" t="s">
        <v>3609</v>
      </c>
      <c r="B17" s="42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1583"/>
    </row>
    <row r="18" spans="1:33" ht="16.5">
      <c r="A18" s="450">
        <v>1</v>
      </c>
      <c r="B18" s="426" t="s">
        <v>3610</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1583"/>
    </row>
    <row r="19" spans="1:33" ht="16.5">
      <c r="A19" s="450">
        <v>2</v>
      </c>
      <c r="B19" s="2178" t="s">
        <v>5608</v>
      </c>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1583"/>
    </row>
    <row r="20" spans="1:33" ht="16.5">
      <c r="A20" s="450">
        <v>3</v>
      </c>
      <c r="B20" s="452" t="s">
        <v>4504</v>
      </c>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1"/>
      <c r="AF20" s="451"/>
      <c r="AG20" s="1583"/>
    </row>
    <row r="21" spans="1:33" ht="16.5">
      <c r="A21" s="450">
        <v>4</v>
      </c>
      <c r="B21" s="426" t="s">
        <v>3611</v>
      </c>
      <c r="C21" s="451"/>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1583"/>
    </row>
    <row r="22" spans="1:33" ht="16.5">
      <c r="A22" s="450"/>
      <c r="B22" s="426" t="s">
        <v>3612</v>
      </c>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1583"/>
    </row>
    <row r="23" spans="1:33" ht="16.5">
      <c r="A23" s="450">
        <v>5</v>
      </c>
      <c r="B23" s="452" t="s">
        <v>3614</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1583"/>
    </row>
    <row r="24" spans="1:33" ht="16.5">
      <c r="A24" s="450">
        <v>6</v>
      </c>
      <c r="B24" s="452" t="s">
        <v>3615</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c r="AG24" s="1583"/>
    </row>
    <row r="25" spans="1:33" ht="16.5">
      <c r="A25" s="450">
        <v>7</v>
      </c>
      <c r="B25" s="452" t="s">
        <v>4505</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1583"/>
    </row>
    <row r="26" spans="1:33" ht="16.5">
      <c r="A26" s="68"/>
      <c r="B26" s="426" t="s">
        <v>4506</v>
      </c>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1583"/>
    </row>
    <row r="27" spans="1:33" ht="16.5">
      <c r="A27" s="450">
        <v>8</v>
      </c>
      <c r="B27" s="452" t="s">
        <v>4507</v>
      </c>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1583"/>
    </row>
    <row r="28" spans="1:33" ht="16.5">
      <c r="A28" s="450">
        <v>9</v>
      </c>
      <c r="B28" s="452" t="s">
        <v>4508</v>
      </c>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1583"/>
    </row>
    <row r="29" spans="1:33" ht="16.5">
      <c r="A29" s="450">
        <v>10</v>
      </c>
      <c r="B29" s="452" t="s">
        <v>4509</v>
      </c>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1583"/>
    </row>
    <row r="30" spans="1:33" ht="16.5">
      <c r="A30" s="450">
        <v>11</v>
      </c>
      <c r="B30" s="452" t="s">
        <v>4510</v>
      </c>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1583"/>
    </row>
    <row r="31" spans="1:33" ht="16.5">
      <c r="A31" s="450">
        <v>12</v>
      </c>
      <c r="B31" s="452" t="s">
        <v>4511</v>
      </c>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1583"/>
    </row>
    <row r="32" spans="1:33" ht="16.5">
      <c r="A32" s="450">
        <v>13</v>
      </c>
      <c r="B32" s="452" t="s">
        <v>3620</v>
      </c>
      <c r="C32" s="451"/>
      <c r="D32" s="451"/>
      <c r="E32" s="451"/>
      <c r="F32" s="451"/>
      <c r="G32" s="451"/>
      <c r="H32" s="451"/>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1583"/>
    </row>
    <row r="33" spans="1:33" ht="16.5">
      <c r="A33" s="450">
        <v>14</v>
      </c>
      <c r="B33" s="426" t="s">
        <v>4512</v>
      </c>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1583"/>
    </row>
    <row r="34" spans="1:33" ht="16.5">
      <c r="A34" s="450">
        <v>15</v>
      </c>
      <c r="B34" s="426" t="s">
        <v>4450</v>
      </c>
      <c r="C34" s="1583"/>
      <c r="D34" s="1583"/>
      <c r="E34" s="1583"/>
      <c r="F34" s="1583"/>
      <c r="G34" s="1583"/>
      <c r="H34" s="1583"/>
      <c r="I34" s="1583"/>
      <c r="J34" s="1583"/>
      <c r="K34" s="1583"/>
      <c r="L34" s="1583"/>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row>
    <row r="35" spans="1:33" ht="16.5">
      <c r="A35" s="450">
        <v>16</v>
      </c>
      <c r="B35" s="496" t="s">
        <v>4513</v>
      </c>
    </row>
    <row r="36" spans="1:33" ht="16.5">
      <c r="A36" s="453">
        <v>17</v>
      </c>
      <c r="B36" s="2312" t="s">
        <v>5667</v>
      </c>
    </row>
    <row r="37" spans="1:33" ht="16.5">
      <c r="A37" s="435"/>
      <c r="B37" s="454" t="s">
        <v>4514</v>
      </c>
    </row>
    <row r="38" spans="1:33" ht="16.5">
      <c r="A38" s="2658">
        <v>18</v>
      </c>
      <c r="B38" s="2654" t="s">
        <v>8437</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2"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tabColor rgb="FFFFFF00"/>
    <pageSetUpPr fitToPage="1"/>
  </sheetPr>
  <dimension ref="A1:P54"/>
  <sheetViews>
    <sheetView topLeftCell="A28" zoomScaleNormal="100" workbookViewId="0">
      <pane xSplit="3" topLeftCell="D1" activePane="topRight" state="frozen"/>
      <selection pane="topRight" activeCell="A52" sqref="A52:B52"/>
    </sheetView>
  </sheetViews>
  <sheetFormatPr defaultColWidth="15.625" defaultRowHeight="15.75"/>
  <cols>
    <col min="1" max="1" width="5.625" style="1582" customWidth="1"/>
    <col min="2" max="2" width="21.5" style="1582" customWidth="1"/>
    <col min="3" max="3" width="38.625" style="1582" customWidth="1"/>
    <col min="4" max="16384" width="15.625" style="1582"/>
  </cols>
  <sheetData>
    <row r="1" spans="1:16" s="1561" customFormat="1" ht="16.5">
      <c r="A1" s="2186" t="str">
        <f>+封面!A3&amp;" "&amp;封面!A2</f>
        <v xml:space="preserve"> 中央再保險股份有限公司 年度檢查報表</v>
      </c>
      <c r="B1" s="60"/>
      <c r="C1" s="60"/>
      <c r="D1" s="60"/>
      <c r="E1" s="60"/>
      <c r="F1" s="60"/>
      <c r="G1" s="60"/>
      <c r="H1" s="60"/>
      <c r="I1" s="60"/>
      <c r="J1" s="60"/>
      <c r="K1" s="60"/>
      <c r="L1" s="60"/>
      <c r="M1" s="60"/>
      <c r="N1" s="60"/>
      <c r="O1" s="60"/>
      <c r="P1" s="60"/>
    </row>
    <row r="2" spans="1:16" s="1561" customFormat="1" ht="16.5">
      <c r="A2" s="1562" t="s">
        <v>4452</v>
      </c>
      <c r="B2" s="1563"/>
      <c r="C2" s="60"/>
      <c r="D2" s="60"/>
      <c r="E2" s="60"/>
      <c r="F2" s="60"/>
      <c r="G2" s="60"/>
      <c r="H2" s="60"/>
      <c r="I2" s="60"/>
      <c r="J2" s="60"/>
      <c r="K2" s="60"/>
      <c r="L2" s="60"/>
      <c r="N2" s="60"/>
      <c r="O2" s="60"/>
      <c r="P2" s="1564" t="s">
        <v>4453</v>
      </c>
    </row>
    <row r="3" spans="1:16" s="1561" customFormat="1" ht="16.5">
      <c r="A3" s="2860" t="s">
        <v>4454</v>
      </c>
      <c r="B3" s="2858" t="s">
        <v>4455</v>
      </c>
      <c r="C3" s="2858"/>
      <c r="D3" s="1565" t="s">
        <v>4456</v>
      </c>
      <c r="E3" s="1565"/>
      <c r="F3" s="1565"/>
      <c r="G3" s="1565"/>
      <c r="H3" s="1565" t="s">
        <v>4457</v>
      </c>
      <c r="I3" s="1565"/>
      <c r="J3" s="1565"/>
      <c r="K3" s="1565"/>
      <c r="L3" s="1565" t="s">
        <v>4458</v>
      </c>
      <c r="M3" s="1565"/>
      <c r="N3" s="1565"/>
      <c r="O3" s="1565"/>
      <c r="P3" s="2858" t="s">
        <v>4459</v>
      </c>
    </row>
    <row r="4" spans="1:16" s="1561" customFormat="1" ht="33">
      <c r="A4" s="2860"/>
      <c r="B4" s="2858"/>
      <c r="C4" s="2858"/>
      <c r="D4" s="1566" t="s">
        <v>4460</v>
      </c>
      <c r="E4" s="428" t="s">
        <v>4461</v>
      </c>
      <c r="F4" s="428" t="s">
        <v>4462</v>
      </c>
      <c r="G4" s="428" t="s">
        <v>4463</v>
      </c>
      <c r="H4" s="428" t="s">
        <v>4460</v>
      </c>
      <c r="I4" s="428" t="s">
        <v>4461</v>
      </c>
      <c r="J4" s="428" t="s">
        <v>4462</v>
      </c>
      <c r="K4" s="428" t="s">
        <v>4463</v>
      </c>
      <c r="L4" s="428" t="s">
        <v>4460</v>
      </c>
      <c r="M4" s="428" t="s">
        <v>4461</v>
      </c>
      <c r="N4" s="428" t="s">
        <v>4462</v>
      </c>
      <c r="O4" s="428" t="s">
        <v>4463</v>
      </c>
      <c r="P4" s="2866"/>
    </row>
    <row r="5" spans="1:16" s="1561" customFormat="1">
      <c r="A5" s="2860"/>
      <c r="B5" s="2859" t="s">
        <v>66</v>
      </c>
      <c r="C5" s="2859"/>
      <c r="D5" s="2468" t="s">
        <v>67</v>
      </c>
      <c r="E5" s="2468" t="s">
        <v>68</v>
      </c>
      <c r="F5" s="1551" t="s">
        <v>69</v>
      </c>
      <c r="G5" s="1551" t="s">
        <v>1235</v>
      </c>
      <c r="H5" s="1551" t="s">
        <v>71</v>
      </c>
      <c r="I5" s="1551" t="s">
        <v>72</v>
      </c>
      <c r="J5" s="1551" t="s">
        <v>73</v>
      </c>
      <c r="K5" s="1551" t="s">
        <v>74</v>
      </c>
      <c r="L5" s="1551" t="s">
        <v>75</v>
      </c>
      <c r="M5" s="1551" t="s">
        <v>225</v>
      </c>
      <c r="N5" s="1551" t="s">
        <v>226</v>
      </c>
      <c r="O5" s="1551" t="s">
        <v>274</v>
      </c>
      <c r="P5" s="1551" t="s">
        <v>275</v>
      </c>
    </row>
    <row r="6" spans="1:16" s="1561" customFormat="1" ht="16.5">
      <c r="A6" s="1567">
        <v>1</v>
      </c>
      <c r="B6" s="2855" t="s">
        <v>4464</v>
      </c>
      <c r="C6" s="1568" t="s">
        <v>4465</v>
      </c>
      <c r="D6" s="1569"/>
      <c r="E6" s="1569"/>
      <c r="F6" s="1569"/>
      <c r="G6" s="1569"/>
      <c r="H6" s="1569"/>
      <c r="I6" s="1569"/>
      <c r="J6" s="1569"/>
      <c r="K6" s="1569"/>
      <c r="L6" s="1569"/>
      <c r="M6" s="1569"/>
      <c r="N6" s="1569"/>
      <c r="O6" s="1569"/>
      <c r="P6" s="1570"/>
    </row>
    <row r="7" spans="1:16" s="1561" customFormat="1" ht="33">
      <c r="A7" s="1567">
        <f t="shared" ref="A7:A45" si="0">A6+1</f>
        <v>2</v>
      </c>
      <c r="B7" s="2855"/>
      <c r="C7" s="1571" t="s">
        <v>4466</v>
      </c>
      <c r="D7" s="1569"/>
      <c r="E7" s="1569"/>
      <c r="F7" s="1569"/>
      <c r="G7" s="1569"/>
      <c r="H7" s="1569"/>
      <c r="I7" s="1569"/>
      <c r="J7" s="1569"/>
      <c r="K7" s="1569"/>
      <c r="L7" s="1569"/>
      <c r="M7" s="1569"/>
      <c r="N7" s="1569"/>
      <c r="O7" s="1569"/>
      <c r="P7" s="1570"/>
    </row>
    <row r="8" spans="1:16" s="1561" customFormat="1" ht="33">
      <c r="A8" s="1567">
        <f t="shared" si="0"/>
        <v>3</v>
      </c>
      <c r="B8" s="2855"/>
      <c r="C8" s="1571" t="s">
        <v>4467</v>
      </c>
      <c r="D8" s="1569"/>
      <c r="E8" s="1569"/>
      <c r="F8" s="1569"/>
      <c r="G8" s="1569"/>
      <c r="H8" s="1569"/>
      <c r="I8" s="1569"/>
      <c r="J8" s="1569"/>
      <c r="K8" s="1569"/>
      <c r="L8" s="1569"/>
      <c r="M8" s="1569"/>
      <c r="N8" s="1569"/>
      <c r="O8" s="1569"/>
      <c r="P8" s="1570"/>
    </row>
    <row r="9" spans="1:16" s="1561" customFormat="1" ht="33">
      <c r="A9" s="1567">
        <f t="shared" si="0"/>
        <v>4</v>
      </c>
      <c r="B9" s="2855"/>
      <c r="C9" s="1571" t="s">
        <v>4468</v>
      </c>
      <c r="D9" s="1569"/>
      <c r="E9" s="1569"/>
      <c r="F9" s="1569"/>
      <c r="G9" s="1569"/>
      <c r="H9" s="1569"/>
      <c r="I9" s="1569"/>
      <c r="J9" s="1569"/>
      <c r="K9" s="1569"/>
      <c r="L9" s="1569"/>
      <c r="M9" s="1569"/>
      <c r="N9" s="1569"/>
      <c r="O9" s="1569"/>
      <c r="P9" s="1570"/>
    </row>
    <row r="10" spans="1:16" s="1561" customFormat="1" ht="16.5">
      <c r="A10" s="1567">
        <f t="shared" si="0"/>
        <v>5</v>
      </c>
      <c r="B10" s="2855"/>
      <c r="C10" s="1571" t="s">
        <v>4469</v>
      </c>
      <c r="D10" s="1569"/>
      <c r="E10" s="1569"/>
      <c r="F10" s="1569"/>
      <c r="G10" s="1569"/>
      <c r="H10" s="1569"/>
      <c r="I10" s="1569"/>
      <c r="J10" s="1569"/>
      <c r="K10" s="1569"/>
      <c r="L10" s="1569"/>
      <c r="M10" s="1569"/>
      <c r="N10" s="1569"/>
      <c r="O10" s="1569"/>
      <c r="P10" s="1570"/>
    </row>
    <row r="11" spans="1:16" s="1561" customFormat="1" ht="16.5">
      <c r="A11" s="1567">
        <f t="shared" si="0"/>
        <v>6</v>
      </c>
      <c r="B11" s="2855"/>
      <c r="C11" s="1572" t="s">
        <v>4470</v>
      </c>
      <c r="D11" s="1569"/>
      <c r="E11" s="1569"/>
      <c r="F11" s="1569"/>
      <c r="G11" s="1569"/>
      <c r="H11" s="1569"/>
      <c r="I11" s="1569"/>
      <c r="J11" s="1569"/>
      <c r="K11" s="1569"/>
      <c r="L11" s="1569"/>
      <c r="M11" s="1569"/>
      <c r="N11" s="1569"/>
      <c r="O11" s="1569"/>
      <c r="P11" s="1570"/>
    </row>
    <row r="12" spans="1:16" s="1561" customFormat="1" ht="33">
      <c r="A12" s="1567">
        <f t="shared" si="0"/>
        <v>7</v>
      </c>
      <c r="B12" s="2855"/>
      <c r="C12" s="1571" t="s">
        <v>4466</v>
      </c>
      <c r="D12" s="1569"/>
      <c r="E12" s="1569"/>
      <c r="F12" s="1569"/>
      <c r="G12" s="1569"/>
      <c r="H12" s="1569"/>
      <c r="I12" s="1569"/>
      <c r="J12" s="1569"/>
      <c r="K12" s="1569"/>
      <c r="L12" s="1569"/>
      <c r="M12" s="1569"/>
      <c r="N12" s="1569"/>
      <c r="O12" s="1569"/>
      <c r="P12" s="1570"/>
    </row>
    <row r="13" spans="1:16" s="1561" customFormat="1" ht="33">
      <c r="A13" s="1567">
        <f t="shared" si="0"/>
        <v>8</v>
      </c>
      <c r="B13" s="2855"/>
      <c r="C13" s="1571" t="s">
        <v>4467</v>
      </c>
      <c r="D13" s="1569"/>
      <c r="E13" s="1569"/>
      <c r="F13" s="1569"/>
      <c r="G13" s="1569"/>
      <c r="H13" s="1569"/>
      <c r="I13" s="1569"/>
      <c r="J13" s="1569"/>
      <c r="K13" s="1569"/>
      <c r="L13" s="1569"/>
      <c r="M13" s="1569"/>
      <c r="N13" s="1569"/>
      <c r="O13" s="1569"/>
      <c r="P13" s="1570"/>
    </row>
    <row r="14" spans="1:16" s="1561" customFormat="1" ht="33">
      <c r="A14" s="1567">
        <f t="shared" si="0"/>
        <v>9</v>
      </c>
      <c r="B14" s="2855"/>
      <c r="C14" s="1571" t="s">
        <v>4468</v>
      </c>
      <c r="D14" s="1569"/>
      <c r="E14" s="1569"/>
      <c r="F14" s="1569"/>
      <c r="G14" s="1569"/>
      <c r="H14" s="1569"/>
      <c r="I14" s="1569"/>
      <c r="J14" s="1569"/>
      <c r="K14" s="1569"/>
      <c r="L14" s="1569"/>
      <c r="M14" s="1569"/>
      <c r="N14" s="1569"/>
      <c r="O14" s="1569"/>
      <c r="P14" s="1570"/>
    </row>
    <row r="15" spans="1:16" s="1561" customFormat="1" ht="16.5">
      <c r="A15" s="1567">
        <f t="shared" si="0"/>
        <v>10</v>
      </c>
      <c r="B15" s="2855"/>
      <c r="C15" s="1571" t="s">
        <v>4469</v>
      </c>
      <c r="D15" s="1569"/>
      <c r="E15" s="1569"/>
      <c r="F15" s="1569"/>
      <c r="G15" s="1569"/>
      <c r="H15" s="1569"/>
      <c r="I15" s="1569"/>
      <c r="J15" s="1569"/>
      <c r="K15" s="1569"/>
      <c r="L15" s="1569"/>
      <c r="M15" s="1569"/>
      <c r="N15" s="1569"/>
      <c r="O15" s="1569"/>
      <c r="P15" s="1570"/>
    </row>
    <row r="16" spans="1:16" s="1561" customFormat="1" ht="16.5">
      <c r="A16" s="1567">
        <f t="shared" si="0"/>
        <v>11</v>
      </c>
      <c r="B16" s="2855"/>
      <c r="C16" s="1573" t="s">
        <v>4471</v>
      </c>
      <c r="D16" s="1569"/>
      <c r="E16" s="1569"/>
      <c r="F16" s="1569"/>
      <c r="G16" s="1569"/>
      <c r="H16" s="1569"/>
      <c r="I16" s="1569"/>
      <c r="J16" s="1569"/>
      <c r="K16" s="1569"/>
      <c r="L16" s="1569"/>
      <c r="M16" s="1569"/>
      <c r="N16" s="1569"/>
      <c r="O16" s="1569"/>
      <c r="P16" s="1570"/>
    </row>
    <row r="17" spans="1:16" s="1561" customFormat="1" ht="16.5">
      <c r="A17" s="1567">
        <f t="shared" si="0"/>
        <v>12</v>
      </c>
      <c r="B17" s="2855" t="s">
        <v>4472</v>
      </c>
      <c r="C17" s="1572" t="s">
        <v>4473</v>
      </c>
      <c r="D17" s="1569"/>
      <c r="E17" s="1569"/>
      <c r="F17" s="1569"/>
      <c r="G17" s="1569"/>
      <c r="H17" s="1569"/>
      <c r="I17" s="1569"/>
      <c r="J17" s="1569"/>
      <c r="K17" s="1569"/>
      <c r="L17" s="1569"/>
      <c r="M17" s="1569"/>
      <c r="N17" s="1569"/>
      <c r="O17" s="1569"/>
      <c r="P17" s="1570"/>
    </row>
    <row r="18" spans="1:16" s="1561" customFormat="1" ht="16.5">
      <c r="A18" s="1567">
        <f t="shared" si="0"/>
        <v>13</v>
      </c>
      <c r="B18" s="2855"/>
      <c r="C18" s="1572" t="s">
        <v>4474</v>
      </c>
      <c r="D18" s="1569"/>
      <c r="E18" s="1569"/>
      <c r="F18" s="1569"/>
      <c r="G18" s="1569"/>
      <c r="H18" s="1569"/>
      <c r="I18" s="1569"/>
      <c r="J18" s="1569"/>
      <c r="K18" s="1569"/>
      <c r="L18" s="1569"/>
      <c r="M18" s="1569"/>
      <c r="N18" s="1569"/>
      <c r="O18" s="1569"/>
      <c r="P18" s="1570"/>
    </row>
    <row r="19" spans="1:16" s="1561" customFormat="1" ht="16.5">
      <c r="A19" s="1567">
        <f t="shared" si="0"/>
        <v>14</v>
      </c>
      <c r="B19" s="2855"/>
      <c r="C19" s="1572" t="s">
        <v>4475</v>
      </c>
      <c r="D19" s="1569"/>
      <c r="E19" s="1569"/>
      <c r="F19" s="1569"/>
      <c r="G19" s="1569"/>
      <c r="H19" s="1569"/>
      <c r="I19" s="1569"/>
      <c r="J19" s="1569"/>
      <c r="K19" s="1569"/>
      <c r="L19" s="1569"/>
      <c r="M19" s="1569"/>
      <c r="N19" s="1569"/>
      <c r="O19" s="1569"/>
      <c r="P19" s="1570"/>
    </row>
    <row r="20" spans="1:16" s="1561" customFormat="1" ht="16.5">
      <c r="A20" s="1567">
        <f t="shared" si="0"/>
        <v>15</v>
      </c>
      <c r="B20" s="2855"/>
      <c r="C20" s="1572" t="s">
        <v>4476</v>
      </c>
      <c r="D20" s="1569"/>
      <c r="E20" s="1569"/>
      <c r="F20" s="1569"/>
      <c r="G20" s="1569"/>
      <c r="H20" s="1569"/>
      <c r="I20" s="1569"/>
      <c r="J20" s="1569"/>
      <c r="K20" s="1569"/>
      <c r="L20" s="1569"/>
      <c r="M20" s="1569"/>
      <c r="N20" s="1569"/>
      <c r="O20" s="1569"/>
      <c r="P20" s="1570"/>
    </row>
    <row r="21" spans="1:16" s="1561" customFormat="1" ht="16.5">
      <c r="A21" s="1567">
        <f t="shared" si="0"/>
        <v>16</v>
      </c>
      <c r="B21" s="2855"/>
      <c r="C21" s="1573" t="s">
        <v>4471</v>
      </c>
      <c r="D21" s="1569"/>
      <c r="E21" s="1569"/>
      <c r="F21" s="1569"/>
      <c r="G21" s="1569"/>
      <c r="H21" s="1569"/>
      <c r="I21" s="1569"/>
      <c r="J21" s="1569"/>
      <c r="K21" s="1569"/>
      <c r="L21" s="1569"/>
      <c r="M21" s="1569"/>
      <c r="N21" s="1569"/>
      <c r="O21" s="1569"/>
      <c r="P21" s="1570"/>
    </row>
    <row r="22" spans="1:16" s="1561" customFormat="1" ht="15.75" customHeight="1">
      <c r="A22" s="1567">
        <f t="shared" si="0"/>
        <v>17</v>
      </c>
      <c r="B22" s="2892" t="s">
        <v>4477</v>
      </c>
      <c r="C22" s="2892"/>
      <c r="D22" s="1569"/>
      <c r="E22" s="1569"/>
      <c r="F22" s="1569"/>
      <c r="G22" s="1569"/>
      <c r="H22" s="1569"/>
      <c r="I22" s="1569"/>
      <c r="J22" s="1569"/>
      <c r="K22" s="1569"/>
      <c r="L22" s="1569"/>
      <c r="M22" s="1569"/>
      <c r="N22" s="1569"/>
      <c r="O22" s="1569"/>
      <c r="P22" s="1570"/>
    </row>
    <row r="23" spans="1:16" s="1561" customFormat="1" ht="15.75" customHeight="1">
      <c r="A23" s="1567">
        <f t="shared" si="0"/>
        <v>18</v>
      </c>
      <c r="B23" s="2892" t="s">
        <v>4478</v>
      </c>
      <c r="C23" s="2892"/>
      <c r="D23" s="1569"/>
      <c r="E23" s="1569"/>
      <c r="F23" s="1569"/>
      <c r="G23" s="1569"/>
      <c r="H23" s="1569"/>
      <c r="I23" s="1569"/>
      <c r="J23" s="1569"/>
      <c r="K23" s="1569"/>
      <c r="L23" s="1569"/>
      <c r="M23" s="1569"/>
      <c r="N23" s="1569"/>
      <c r="O23" s="1569"/>
      <c r="P23" s="1570"/>
    </row>
    <row r="24" spans="1:16" s="1561" customFormat="1" ht="15.75" customHeight="1">
      <c r="A24" s="1567">
        <f t="shared" si="0"/>
        <v>19</v>
      </c>
      <c r="B24" s="2890" t="s">
        <v>4479</v>
      </c>
      <c r="C24" s="2891"/>
      <c r="D24" s="1569"/>
      <c r="E24" s="1569"/>
      <c r="F24" s="1569"/>
      <c r="G24" s="1569"/>
      <c r="H24" s="1569"/>
      <c r="I24" s="1569"/>
      <c r="J24" s="1569"/>
      <c r="K24" s="1569"/>
      <c r="L24" s="1569"/>
      <c r="M24" s="1569"/>
      <c r="N24" s="1569"/>
      <c r="O24" s="1569"/>
      <c r="P24" s="1570"/>
    </row>
    <row r="25" spans="1:16" s="1561" customFormat="1" ht="15.75" customHeight="1">
      <c r="A25" s="1567">
        <f t="shared" si="0"/>
        <v>20</v>
      </c>
      <c r="B25" s="2890" t="s">
        <v>4480</v>
      </c>
      <c r="C25" s="2891"/>
      <c r="D25" s="1569"/>
      <c r="E25" s="1569"/>
      <c r="F25" s="1569"/>
      <c r="G25" s="1569"/>
      <c r="H25" s="1569"/>
      <c r="I25" s="1569"/>
      <c r="J25" s="1569"/>
      <c r="K25" s="1569"/>
      <c r="L25" s="1569"/>
      <c r="M25" s="1569"/>
      <c r="N25" s="1569"/>
      <c r="O25" s="1569"/>
      <c r="P25" s="1570"/>
    </row>
    <row r="26" spans="1:16" s="1561" customFormat="1" ht="15.75" customHeight="1">
      <c r="A26" s="1567">
        <f t="shared" si="0"/>
        <v>21</v>
      </c>
      <c r="B26" s="2893" t="s">
        <v>4481</v>
      </c>
      <c r="C26" s="2894"/>
      <c r="D26" s="1569"/>
      <c r="E26" s="1569"/>
      <c r="F26" s="1569"/>
      <c r="G26" s="1569"/>
      <c r="H26" s="1569"/>
      <c r="I26" s="1569"/>
      <c r="J26" s="1569"/>
      <c r="K26" s="1569"/>
      <c r="L26" s="1569"/>
      <c r="M26" s="1569"/>
      <c r="N26" s="1569"/>
      <c r="O26" s="1569"/>
      <c r="P26" s="1570"/>
    </row>
    <row r="27" spans="1:16" s="1561" customFormat="1" ht="15.75" customHeight="1">
      <c r="A27" s="1567">
        <f t="shared" si="0"/>
        <v>22</v>
      </c>
      <c r="B27" s="2893" t="s">
        <v>4482</v>
      </c>
      <c r="C27" s="2894"/>
      <c r="D27" s="1569"/>
      <c r="E27" s="1569"/>
      <c r="F27" s="1569"/>
      <c r="G27" s="1569"/>
      <c r="H27" s="1569"/>
      <c r="I27" s="1569"/>
      <c r="J27" s="1569"/>
      <c r="K27" s="1569"/>
      <c r="L27" s="1569"/>
      <c r="M27" s="1569"/>
      <c r="N27" s="1569"/>
      <c r="O27" s="1569"/>
      <c r="P27" s="1570"/>
    </row>
    <row r="28" spans="1:16" s="39" customFormat="1" ht="16.5">
      <c r="A28" s="1567">
        <f t="shared" si="0"/>
        <v>23</v>
      </c>
      <c r="B28" s="2887" t="s">
        <v>4483</v>
      </c>
      <c r="C28" s="2601" t="s">
        <v>5776</v>
      </c>
      <c r="D28" s="1560"/>
      <c r="E28" s="1560"/>
      <c r="F28" s="1560"/>
      <c r="G28" s="1560"/>
      <c r="H28" s="1560"/>
      <c r="I28" s="1560"/>
      <c r="J28" s="1560"/>
      <c r="K28" s="1560"/>
      <c r="L28" s="1560">
        <f>L29+L34</f>
        <v>0</v>
      </c>
      <c r="M28" s="1560"/>
      <c r="N28" s="1560"/>
      <c r="O28" s="1560"/>
      <c r="P28" s="1574"/>
    </row>
    <row r="29" spans="1:16" s="39" customFormat="1" ht="16.5">
      <c r="A29" s="1567">
        <f t="shared" si="0"/>
        <v>24</v>
      </c>
      <c r="B29" s="2888"/>
      <c r="C29" s="1575" t="s">
        <v>4484</v>
      </c>
      <c r="D29" s="1560"/>
      <c r="E29" s="1560"/>
      <c r="F29" s="1560"/>
      <c r="G29" s="1560"/>
      <c r="H29" s="1560"/>
      <c r="I29" s="1560"/>
      <c r="J29" s="1560"/>
      <c r="K29" s="1560"/>
      <c r="L29" s="1560"/>
      <c r="M29" s="1560"/>
      <c r="N29" s="1560"/>
      <c r="O29" s="1560"/>
      <c r="P29" s="1574"/>
    </row>
    <row r="30" spans="1:16" s="39" customFormat="1" ht="16.5">
      <c r="A30" s="1567">
        <f t="shared" si="0"/>
        <v>25</v>
      </c>
      <c r="B30" s="2888"/>
      <c r="C30" s="1576" t="s">
        <v>4485</v>
      </c>
      <c r="D30" s="1560"/>
      <c r="E30" s="1560"/>
      <c r="F30" s="1560"/>
      <c r="G30" s="1560"/>
      <c r="H30" s="1560"/>
      <c r="I30" s="1560"/>
      <c r="J30" s="1560"/>
      <c r="K30" s="1560"/>
      <c r="L30" s="1560"/>
      <c r="M30" s="1560"/>
      <c r="N30" s="1560"/>
      <c r="O30" s="1560"/>
      <c r="P30" s="1574"/>
    </row>
    <row r="31" spans="1:16" s="39" customFormat="1" ht="16.5">
      <c r="A31" s="1567">
        <f t="shared" si="0"/>
        <v>26</v>
      </c>
      <c r="B31" s="2888"/>
      <c r="C31" s="1577" t="s">
        <v>2524</v>
      </c>
      <c r="D31" s="1560"/>
      <c r="E31" s="1560"/>
      <c r="F31" s="1560"/>
      <c r="G31" s="1560"/>
      <c r="H31" s="1560"/>
      <c r="I31" s="1560"/>
      <c r="J31" s="1560"/>
      <c r="K31" s="1560"/>
      <c r="L31" s="1578"/>
      <c r="M31" s="1560"/>
      <c r="N31" s="1560"/>
      <c r="O31" s="1560"/>
      <c r="P31" s="1574"/>
    </row>
    <row r="32" spans="1:16" s="39" customFormat="1" ht="16.5">
      <c r="A32" s="1567">
        <f t="shared" si="0"/>
        <v>27</v>
      </c>
      <c r="B32" s="2888"/>
      <c r="C32" s="1579" t="s">
        <v>3599</v>
      </c>
      <c r="D32" s="1560"/>
      <c r="E32" s="1560"/>
      <c r="F32" s="1560"/>
      <c r="G32" s="1560"/>
      <c r="H32" s="1560"/>
      <c r="I32" s="1560"/>
      <c r="J32" s="1560"/>
      <c r="K32" s="1560"/>
      <c r="L32" s="1560"/>
      <c r="M32" s="1560"/>
      <c r="N32" s="1560"/>
      <c r="O32" s="1560"/>
      <c r="P32" s="1574"/>
    </row>
    <row r="33" spans="1:16" s="39" customFormat="1" ht="16.5">
      <c r="A33" s="1567">
        <f t="shared" si="0"/>
        <v>28</v>
      </c>
      <c r="B33" s="2888"/>
      <c r="C33" s="1576" t="s">
        <v>4486</v>
      </c>
      <c r="D33" s="1560"/>
      <c r="E33" s="1560"/>
      <c r="F33" s="1560"/>
      <c r="G33" s="1560"/>
      <c r="H33" s="1560"/>
      <c r="I33" s="1560"/>
      <c r="J33" s="1560"/>
      <c r="K33" s="1560"/>
      <c r="L33" s="1560"/>
      <c r="M33" s="1560"/>
      <c r="N33" s="1560"/>
      <c r="O33" s="1560"/>
      <c r="P33" s="1574"/>
    </row>
    <row r="34" spans="1:16" s="39" customFormat="1" ht="16.5">
      <c r="A34" s="1567">
        <f t="shared" si="0"/>
        <v>29</v>
      </c>
      <c r="B34" s="2888"/>
      <c r="C34" s="1575" t="s">
        <v>4487</v>
      </c>
      <c r="D34" s="1560"/>
      <c r="E34" s="1560"/>
      <c r="F34" s="1560"/>
      <c r="G34" s="1560"/>
      <c r="H34" s="1560"/>
      <c r="I34" s="1560"/>
      <c r="J34" s="1560"/>
      <c r="K34" s="1560"/>
      <c r="L34" s="1560">
        <f>L35+L38</f>
        <v>0</v>
      </c>
      <c r="M34" s="1560"/>
      <c r="N34" s="1560"/>
      <c r="O34" s="1560"/>
      <c r="P34" s="1574"/>
    </row>
    <row r="35" spans="1:16" s="39" customFormat="1" ht="16.5">
      <c r="A35" s="1567">
        <f t="shared" si="0"/>
        <v>30</v>
      </c>
      <c r="B35" s="2888"/>
      <c r="C35" s="1576" t="s">
        <v>4485</v>
      </c>
      <c r="D35" s="1560"/>
      <c r="E35" s="1560"/>
      <c r="F35" s="1560"/>
      <c r="G35" s="1560"/>
      <c r="H35" s="1560"/>
      <c r="I35" s="1560"/>
      <c r="J35" s="1560"/>
      <c r="K35" s="1560"/>
      <c r="L35" s="1560"/>
      <c r="M35" s="1560"/>
      <c r="N35" s="1560"/>
      <c r="O35" s="1560"/>
      <c r="P35" s="1574"/>
    </row>
    <row r="36" spans="1:16" s="39" customFormat="1" ht="16.5">
      <c r="A36" s="1567">
        <f t="shared" si="0"/>
        <v>31</v>
      </c>
      <c r="B36" s="2888"/>
      <c r="C36" s="1577" t="s">
        <v>2524</v>
      </c>
      <c r="D36" s="1560"/>
      <c r="E36" s="1560"/>
      <c r="F36" s="1560"/>
      <c r="G36" s="1560"/>
      <c r="H36" s="1560"/>
      <c r="I36" s="1560"/>
      <c r="J36" s="1560"/>
      <c r="K36" s="1560"/>
      <c r="L36" s="1578"/>
      <c r="M36" s="1560"/>
      <c r="N36" s="1560"/>
      <c r="O36" s="1560"/>
      <c r="P36" s="1574"/>
    </row>
    <row r="37" spans="1:16" s="39" customFormat="1" ht="16.5">
      <c r="A37" s="1567">
        <f t="shared" si="0"/>
        <v>32</v>
      </c>
      <c r="B37" s="2888"/>
      <c r="C37" s="1579" t="s">
        <v>3599</v>
      </c>
      <c r="D37" s="1560"/>
      <c r="E37" s="1560"/>
      <c r="F37" s="1560"/>
      <c r="G37" s="1560"/>
      <c r="H37" s="1560"/>
      <c r="I37" s="1560"/>
      <c r="J37" s="1560"/>
      <c r="K37" s="1560"/>
      <c r="L37" s="1560"/>
      <c r="M37" s="1560"/>
      <c r="N37" s="1560"/>
      <c r="O37" s="1560"/>
      <c r="P37" s="1574"/>
    </row>
    <row r="38" spans="1:16" s="39" customFormat="1" ht="16.5">
      <c r="A38" s="1567">
        <f t="shared" si="0"/>
        <v>33</v>
      </c>
      <c r="B38" s="2888"/>
      <c r="C38" s="1576" t="s">
        <v>4486</v>
      </c>
      <c r="D38" s="1560"/>
      <c r="E38" s="1560"/>
      <c r="F38" s="1560"/>
      <c r="G38" s="1560"/>
      <c r="H38" s="1560"/>
      <c r="I38" s="1560"/>
      <c r="J38" s="1560"/>
      <c r="K38" s="1560"/>
      <c r="L38" s="1560"/>
      <c r="M38" s="1560"/>
      <c r="N38" s="1560"/>
      <c r="O38" s="1560"/>
      <c r="P38" s="1574"/>
    </row>
    <row r="39" spans="1:16" s="39" customFormat="1" ht="16.5">
      <c r="A39" s="1567">
        <f t="shared" si="0"/>
        <v>34</v>
      </c>
      <c r="B39" s="2888"/>
      <c r="C39" s="2602" t="s">
        <v>5775</v>
      </c>
      <c r="D39" s="1560"/>
      <c r="E39" s="1560"/>
      <c r="F39" s="1560"/>
      <c r="G39" s="1560"/>
      <c r="H39" s="1560"/>
      <c r="I39" s="1560"/>
      <c r="J39" s="1560"/>
      <c r="K39" s="1560"/>
      <c r="L39" s="1560"/>
      <c r="M39" s="1560"/>
      <c r="N39" s="1560"/>
      <c r="O39" s="1560"/>
      <c r="P39" s="1574"/>
    </row>
    <row r="40" spans="1:16" s="39" customFormat="1" ht="16.5">
      <c r="A40" s="1567">
        <f t="shared" si="0"/>
        <v>35</v>
      </c>
      <c r="B40" s="2888"/>
      <c r="C40" s="1575" t="s">
        <v>4485</v>
      </c>
      <c r="D40" s="1560"/>
      <c r="E40" s="1560"/>
      <c r="F40" s="1560"/>
      <c r="G40" s="1560"/>
      <c r="H40" s="1560"/>
      <c r="I40" s="1560"/>
      <c r="J40" s="1560"/>
      <c r="K40" s="1560"/>
      <c r="L40" s="1560"/>
      <c r="M40" s="1560"/>
      <c r="N40" s="1560"/>
      <c r="O40" s="1560"/>
      <c r="P40" s="1574"/>
    </row>
    <row r="41" spans="1:16" s="39" customFormat="1" ht="16.5">
      <c r="A41" s="1567">
        <f t="shared" si="0"/>
        <v>36</v>
      </c>
      <c r="B41" s="2888"/>
      <c r="C41" s="1580" t="s">
        <v>2524</v>
      </c>
      <c r="D41" s="1560"/>
      <c r="E41" s="1560"/>
      <c r="F41" s="1560"/>
      <c r="G41" s="1560"/>
      <c r="H41" s="1560"/>
      <c r="I41" s="1560"/>
      <c r="J41" s="1560"/>
      <c r="K41" s="1560"/>
      <c r="L41" s="1578"/>
      <c r="M41" s="1560"/>
      <c r="N41" s="1560"/>
      <c r="O41" s="1560"/>
      <c r="P41" s="1574"/>
    </row>
    <row r="42" spans="1:16" s="39" customFormat="1" ht="16.5">
      <c r="A42" s="1567">
        <f t="shared" si="0"/>
        <v>37</v>
      </c>
      <c r="B42" s="2888"/>
      <c r="C42" s="1576" t="s">
        <v>3599</v>
      </c>
      <c r="D42" s="1560"/>
      <c r="E42" s="1560"/>
      <c r="F42" s="1560"/>
      <c r="G42" s="1560"/>
      <c r="H42" s="1560"/>
      <c r="I42" s="1560"/>
      <c r="J42" s="1560"/>
      <c r="K42" s="1560"/>
      <c r="L42" s="1560"/>
      <c r="M42" s="1560"/>
      <c r="N42" s="1560"/>
      <c r="O42" s="1560"/>
      <c r="P42" s="1574"/>
    </row>
    <row r="43" spans="1:16" s="39" customFormat="1" ht="16.5">
      <c r="A43" s="1567">
        <f t="shared" si="0"/>
        <v>38</v>
      </c>
      <c r="B43" s="2888"/>
      <c r="C43" s="1575" t="s">
        <v>4486</v>
      </c>
      <c r="D43" s="1560"/>
      <c r="E43" s="1560"/>
      <c r="F43" s="1560"/>
      <c r="G43" s="1560"/>
      <c r="H43" s="1560"/>
      <c r="I43" s="1560"/>
      <c r="J43" s="1560"/>
      <c r="K43" s="1560"/>
      <c r="L43" s="1560"/>
      <c r="M43" s="1560"/>
      <c r="N43" s="1560"/>
      <c r="O43" s="1560"/>
      <c r="P43" s="1574"/>
    </row>
    <row r="44" spans="1:16" s="39" customFormat="1" ht="16.5">
      <c r="A44" s="1567">
        <f t="shared" si="0"/>
        <v>39</v>
      </c>
      <c r="B44" s="2889"/>
      <c r="C44" s="1581" t="s">
        <v>4488</v>
      </c>
      <c r="D44" s="1560"/>
      <c r="E44" s="1560"/>
      <c r="F44" s="1560"/>
      <c r="G44" s="1560"/>
      <c r="H44" s="1560"/>
      <c r="I44" s="1560"/>
      <c r="J44" s="1560"/>
      <c r="K44" s="1560"/>
      <c r="L44" s="1560"/>
      <c r="M44" s="1560"/>
      <c r="N44" s="1560"/>
      <c r="O44" s="1560"/>
      <c r="P44" s="1574"/>
    </row>
    <row r="45" spans="1:16" s="39" customFormat="1" ht="15.75" customHeight="1">
      <c r="A45" s="1567">
        <f t="shared" si="0"/>
        <v>40</v>
      </c>
      <c r="B45" s="2890" t="s">
        <v>4489</v>
      </c>
      <c r="C45" s="2891"/>
      <c r="D45" s="1560"/>
      <c r="E45" s="1560"/>
      <c r="F45" s="1560"/>
      <c r="G45" s="1560"/>
      <c r="H45" s="1560"/>
      <c r="I45" s="1560"/>
      <c r="J45" s="1560"/>
      <c r="K45" s="1560"/>
      <c r="L45" s="1560"/>
      <c r="M45" s="1560"/>
      <c r="N45" s="1560"/>
      <c r="O45" s="1560"/>
      <c r="P45" s="1574"/>
    </row>
    <row r="46" spans="1:16" s="39" customFormat="1" ht="16.5" thickBot="1">
      <c r="A46" s="450"/>
      <c r="B46" s="496"/>
      <c r="C46" s="23"/>
      <c r="D46" s="23"/>
      <c r="E46" s="23"/>
      <c r="F46" s="23"/>
      <c r="G46" s="23"/>
      <c r="H46" s="23"/>
      <c r="I46" s="23"/>
      <c r="J46" s="23"/>
      <c r="K46" s="23"/>
      <c r="L46" s="23"/>
      <c r="M46" s="23"/>
      <c r="N46" s="23"/>
      <c r="O46" s="23"/>
      <c r="P46" s="23"/>
    </row>
    <row r="47" spans="1:16" s="39" customFormat="1" ht="49.5">
      <c r="A47" s="2675">
        <f>A45+1</f>
        <v>41</v>
      </c>
      <c r="B47" s="2885" t="s">
        <v>8452</v>
      </c>
      <c r="C47" s="2676" t="s">
        <v>8453</v>
      </c>
      <c r="D47" s="2677"/>
      <c r="E47" s="2677"/>
      <c r="F47" s="2677"/>
      <c r="G47" s="2677"/>
      <c r="H47" s="2678"/>
      <c r="I47" s="2677"/>
      <c r="J47" s="2677"/>
      <c r="K47" s="2677"/>
      <c r="L47" s="2677"/>
      <c r="M47" s="2677"/>
      <c r="N47" s="2677"/>
      <c r="O47" s="2677"/>
      <c r="P47" s="2679"/>
    </row>
    <row r="48" spans="1:16" s="39" customFormat="1" ht="54.75" thickBot="1">
      <c r="A48" s="2680">
        <f>A47+1</f>
        <v>42</v>
      </c>
      <c r="B48" s="2886"/>
      <c r="C48" s="2681" t="s">
        <v>8454</v>
      </c>
      <c r="D48" s="2682"/>
      <c r="E48" s="2682"/>
      <c r="F48" s="2682"/>
      <c r="G48" s="2682"/>
      <c r="H48" s="2683"/>
      <c r="I48" s="2682"/>
      <c r="J48" s="2682"/>
      <c r="K48" s="2682"/>
      <c r="L48" s="2682"/>
      <c r="M48" s="2682"/>
      <c r="N48" s="2682"/>
      <c r="O48" s="2682"/>
      <c r="P48" s="2684"/>
    </row>
    <row r="49" spans="1:16" s="39" customFormat="1" ht="16.5">
      <c r="A49" s="450" t="s">
        <v>3609</v>
      </c>
      <c r="B49" s="496"/>
      <c r="C49" s="23"/>
      <c r="D49" s="23"/>
      <c r="E49" s="23"/>
      <c r="F49" s="23"/>
      <c r="G49" s="23"/>
      <c r="H49" s="23"/>
      <c r="I49" s="23"/>
      <c r="J49" s="23"/>
      <c r="K49" s="23"/>
      <c r="L49" s="23"/>
      <c r="M49" s="23"/>
      <c r="N49" s="23"/>
      <c r="O49" s="23"/>
      <c r="P49" s="23"/>
    </row>
    <row r="50" spans="1:16" s="39" customFormat="1" ht="16.5">
      <c r="A50" s="450">
        <v>1</v>
      </c>
      <c r="B50" s="426" t="s">
        <v>4490</v>
      </c>
      <c r="C50" s="451"/>
      <c r="D50" s="451"/>
      <c r="E50" s="451"/>
      <c r="F50" s="451"/>
      <c r="G50" s="451"/>
      <c r="H50" s="451"/>
      <c r="I50" s="451"/>
      <c r="J50" s="451"/>
      <c r="K50" s="451"/>
      <c r="L50" s="451"/>
      <c r="M50" s="451"/>
      <c r="N50" s="451"/>
      <c r="O50" s="451"/>
      <c r="P50" s="451"/>
    </row>
    <row r="51" spans="1:16" s="39" customFormat="1" ht="16.5">
      <c r="A51" s="450">
        <v>2</v>
      </c>
      <c r="B51" s="496" t="s">
        <v>4491</v>
      </c>
      <c r="C51" s="451"/>
      <c r="D51" s="451"/>
      <c r="E51" s="451"/>
      <c r="F51" s="451"/>
      <c r="G51" s="451"/>
      <c r="H51" s="451"/>
      <c r="I51" s="451"/>
      <c r="J51" s="451"/>
      <c r="K51" s="451"/>
      <c r="L51" s="451"/>
      <c r="M51" s="451"/>
      <c r="N51" s="451"/>
      <c r="O51" s="451"/>
      <c r="P51" s="451"/>
    </row>
    <row r="52" spans="1:16" ht="16.5">
      <c r="A52" s="2685">
        <v>3</v>
      </c>
      <c r="B52" s="2654" t="s">
        <v>8442</v>
      </c>
    </row>
    <row r="53" spans="1:16">
      <c r="B53" s="496"/>
    </row>
    <row r="54" spans="1:16">
      <c r="B54" s="496"/>
    </row>
  </sheetData>
  <mergeCells count="15">
    <mergeCell ref="A3:A5"/>
    <mergeCell ref="B3:C4"/>
    <mergeCell ref="P3:P4"/>
    <mergeCell ref="B5:C5"/>
    <mergeCell ref="B26:C26"/>
    <mergeCell ref="B47:B48"/>
    <mergeCell ref="B28:B44"/>
    <mergeCell ref="B45:C45"/>
    <mergeCell ref="B6:B16"/>
    <mergeCell ref="B17:B21"/>
    <mergeCell ref="B22:C22"/>
    <mergeCell ref="B23:C23"/>
    <mergeCell ref="B24:C24"/>
    <mergeCell ref="B25:C25"/>
    <mergeCell ref="B27:C27"/>
  </mergeCells>
  <phoneticPr fontId="32"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1"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tabColor rgb="FFFFFF00"/>
  </sheetPr>
  <dimension ref="A1:AB32"/>
  <sheetViews>
    <sheetView view="pageBreakPreview" zoomScaleNormal="100" zoomScaleSheetLayoutView="100" workbookViewId="0">
      <selection activeCell="E30" sqref="E30"/>
    </sheetView>
  </sheetViews>
  <sheetFormatPr defaultColWidth="15.625" defaultRowHeight="15.75"/>
  <cols>
    <col min="1" max="1" width="5.625" style="455" customWidth="1"/>
    <col min="2" max="16384" width="15.625" style="455"/>
  </cols>
  <sheetData>
    <row r="1" spans="1:28" ht="16.5">
      <c r="A1" s="2186" t="str">
        <f>+封面!A3&amp;" "&amp;封面!A2</f>
        <v xml:space="preserve"> 中央再保險股份有限公司 年度檢查報表</v>
      </c>
      <c r="B1" s="23"/>
      <c r="C1" s="23"/>
      <c r="D1" s="23"/>
      <c r="E1" s="23"/>
      <c r="F1" s="23"/>
      <c r="G1" s="23"/>
      <c r="H1" s="23"/>
      <c r="I1" s="23"/>
      <c r="J1" s="23"/>
      <c r="K1" s="23"/>
      <c r="L1" s="23"/>
      <c r="M1" s="23"/>
      <c r="N1" s="23"/>
      <c r="O1" s="23"/>
      <c r="P1" s="23"/>
      <c r="Q1" s="23"/>
      <c r="R1" s="23"/>
      <c r="S1" s="23"/>
      <c r="T1" s="23"/>
      <c r="U1" s="23"/>
      <c r="V1" s="23"/>
      <c r="W1" s="23"/>
      <c r="X1" s="23"/>
      <c r="Y1" s="23"/>
      <c r="Z1" s="1555"/>
    </row>
    <row r="2" spans="1:28" ht="16.5">
      <c r="A2" s="426" t="s">
        <v>6313</v>
      </c>
      <c r="B2" s="23"/>
      <c r="C2" s="23"/>
      <c r="D2" s="23"/>
      <c r="E2" s="23"/>
      <c r="F2" s="23"/>
      <c r="G2" s="23"/>
      <c r="H2" s="23"/>
      <c r="I2" s="23"/>
      <c r="J2" s="23"/>
      <c r="K2" s="23"/>
      <c r="L2" s="23"/>
      <c r="M2" s="23"/>
      <c r="N2" s="23"/>
      <c r="O2" s="23"/>
      <c r="P2" s="23"/>
      <c r="Q2" s="23"/>
      <c r="R2" s="23"/>
      <c r="S2" s="23"/>
      <c r="T2" s="23"/>
      <c r="U2" s="23"/>
      <c r="W2" s="23"/>
      <c r="X2" s="23"/>
      <c r="Y2" s="23"/>
      <c r="Z2" s="1555"/>
      <c r="AB2" s="1558" t="s">
        <v>6314</v>
      </c>
    </row>
    <row r="3" spans="1:28" ht="15.75" customHeight="1">
      <c r="A3" s="2850" t="s">
        <v>3565</v>
      </c>
      <c r="B3" s="2850" t="s">
        <v>4438</v>
      </c>
      <c r="C3" s="2850" t="s">
        <v>4439</v>
      </c>
      <c r="D3" s="2850" t="s">
        <v>4440</v>
      </c>
      <c r="E3" s="2850" t="s">
        <v>3568</v>
      </c>
      <c r="F3" s="2850" t="s">
        <v>4441</v>
      </c>
      <c r="G3" s="2850"/>
      <c r="H3" s="2850"/>
      <c r="I3" s="2850" t="s">
        <v>3569</v>
      </c>
      <c r="J3" s="2850" t="s">
        <v>4442</v>
      </c>
      <c r="K3" s="2850" t="s">
        <v>6315</v>
      </c>
      <c r="L3" s="2850"/>
      <c r="M3" s="2850"/>
      <c r="N3" s="2850"/>
      <c r="O3" s="2850" t="s">
        <v>4443</v>
      </c>
      <c r="P3" s="2850" t="s">
        <v>6316</v>
      </c>
      <c r="Q3" s="2850" t="s">
        <v>6317</v>
      </c>
      <c r="R3" s="2850" t="s">
        <v>6318</v>
      </c>
      <c r="S3" s="2850" t="s">
        <v>6319</v>
      </c>
      <c r="T3" s="2850" t="s">
        <v>6320</v>
      </c>
      <c r="U3" s="2850" t="s">
        <v>6321</v>
      </c>
      <c r="V3" s="2850" t="s">
        <v>4444</v>
      </c>
      <c r="W3" s="2850"/>
      <c r="X3" s="2850" t="s">
        <v>4445</v>
      </c>
      <c r="Y3" s="2850" t="s">
        <v>3582</v>
      </c>
      <c r="Z3" s="2850" t="s">
        <v>4446</v>
      </c>
      <c r="AA3" s="2850" t="s">
        <v>6322</v>
      </c>
      <c r="AB3" s="2850" t="s">
        <v>3449</v>
      </c>
    </row>
    <row r="4" spans="1:28" ht="33">
      <c r="A4" s="2850"/>
      <c r="B4" s="2850"/>
      <c r="C4" s="2850"/>
      <c r="D4" s="2850"/>
      <c r="E4" s="2850"/>
      <c r="F4" s="428" t="s">
        <v>3583</v>
      </c>
      <c r="G4" s="428" t="s">
        <v>3584</v>
      </c>
      <c r="H4" s="428" t="s">
        <v>4447</v>
      </c>
      <c r="I4" s="2850"/>
      <c r="J4" s="2850"/>
      <c r="K4" s="428" t="s">
        <v>3583</v>
      </c>
      <c r="L4" s="428" t="s">
        <v>3584</v>
      </c>
      <c r="M4" s="428" t="s">
        <v>6323</v>
      </c>
      <c r="N4" s="428" t="s">
        <v>6324</v>
      </c>
      <c r="O4" s="2850"/>
      <c r="P4" s="2850"/>
      <c r="Q4" s="2850"/>
      <c r="R4" s="2850"/>
      <c r="S4" s="2850"/>
      <c r="T4" s="2850"/>
      <c r="U4" s="2850"/>
      <c r="V4" s="428" t="s">
        <v>4448</v>
      </c>
      <c r="W4" s="428" t="s">
        <v>4449</v>
      </c>
      <c r="X4" s="2850"/>
      <c r="Y4" s="2850"/>
      <c r="Z4" s="2850"/>
      <c r="AA4" s="2850"/>
      <c r="AB4" s="2850"/>
    </row>
    <row r="5" spans="1:28">
      <c r="A5" s="2850"/>
      <c r="B5" s="428" t="s">
        <v>66</v>
      </c>
      <c r="C5" s="428" t="s">
        <v>67</v>
      </c>
      <c r="D5" s="428" t="s">
        <v>68</v>
      </c>
      <c r="E5" s="428" t="s">
        <v>69</v>
      </c>
      <c r="F5" s="428" t="s">
        <v>70</v>
      </c>
      <c r="G5" s="428" t="s">
        <v>71</v>
      </c>
      <c r="H5" s="428" t="s">
        <v>72</v>
      </c>
      <c r="I5" s="428" t="s">
        <v>73</v>
      </c>
      <c r="J5" s="428" t="s">
        <v>74</v>
      </c>
      <c r="K5" s="428" t="s">
        <v>75</v>
      </c>
      <c r="L5" s="428" t="s">
        <v>225</v>
      </c>
      <c r="M5" s="428" t="s">
        <v>226</v>
      </c>
      <c r="N5" s="428" t="s">
        <v>274</v>
      </c>
      <c r="O5" s="428" t="s">
        <v>275</v>
      </c>
      <c r="P5" s="428" t="s">
        <v>276</v>
      </c>
      <c r="Q5" s="428" t="s">
        <v>277</v>
      </c>
      <c r="R5" s="428" t="s">
        <v>278</v>
      </c>
      <c r="S5" s="428" t="s">
        <v>138</v>
      </c>
      <c r="T5" s="428" t="s">
        <v>139</v>
      </c>
      <c r="U5" s="428" t="s">
        <v>140</v>
      </c>
      <c r="V5" s="1551" t="s">
        <v>466</v>
      </c>
      <c r="W5" s="428" t="s">
        <v>142</v>
      </c>
      <c r="X5" s="428" t="s">
        <v>242</v>
      </c>
      <c r="Y5" s="428" t="s">
        <v>243</v>
      </c>
      <c r="Z5" s="428" t="s">
        <v>244</v>
      </c>
      <c r="AA5" s="428" t="s">
        <v>245</v>
      </c>
      <c r="AB5" s="428" t="s">
        <v>246</v>
      </c>
    </row>
    <row r="6" spans="1:28">
      <c r="A6" s="430">
        <v>1</v>
      </c>
      <c r="B6" s="430"/>
      <c r="C6" s="1553"/>
      <c r="D6" s="1553"/>
      <c r="E6" s="1553"/>
      <c r="F6" s="430"/>
      <c r="G6" s="1553"/>
      <c r="H6" s="1553"/>
      <c r="I6" s="1553"/>
      <c r="J6" s="1553"/>
      <c r="K6" s="430"/>
      <c r="L6" s="1553"/>
      <c r="M6" s="1553"/>
      <c r="N6" s="1553"/>
      <c r="O6" s="1553"/>
      <c r="P6" s="2603"/>
      <c r="Q6" s="2603"/>
      <c r="R6" s="2603"/>
      <c r="S6" s="2603"/>
      <c r="T6" s="2603"/>
      <c r="U6" s="2603"/>
      <c r="V6" s="1559"/>
      <c r="W6" s="2603"/>
      <c r="X6" s="2603"/>
      <c r="Y6" s="1553"/>
      <c r="Z6" s="1553"/>
      <c r="AA6" s="1553"/>
      <c r="AB6" s="1553"/>
    </row>
    <row r="7" spans="1:28">
      <c r="A7" s="430">
        <v>2</v>
      </c>
      <c r="B7" s="430"/>
      <c r="C7" s="1553"/>
      <c r="D7" s="1553"/>
      <c r="E7" s="1553"/>
      <c r="F7" s="430"/>
      <c r="G7" s="1553"/>
      <c r="H7" s="1553"/>
      <c r="I7" s="1553"/>
      <c r="J7" s="1553"/>
      <c r="K7" s="430"/>
      <c r="L7" s="1553"/>
      <c r="M7" s="1553"/>
      <c r="N7" s="1553"/>
      <c r="O7" s="1553"/>
      <c r="P7" s="2603"/>
      <c r="Q7" s="2603"/>
      <c r="R7" s="2603"/>
      <c r="S7" s="2603"/>
      <c r="T7" s="2603"/>
      <c r="U7" s="2603"/>
      <c r="V7" s="1559"/>
      <c r="W7" s="2603"/>
      <c r="X7" s="2603"/>
      <c r="Y7" s="1553"/>
      <c r="Z7" s="1553"/>
      <c r="AA7" s="1553"/>
      <c r="AB7" s="1553"/>
    </row>
    <row r="8" spans="1:28">
      <c r="A8" s="430">
        <v>3</v>
      </c>
      <c r="B8" s="430"/>
      <c r="C8" s="1553"/>
      <c r="D8" s="1553"/>
      <c r="E8" s="1553"/>
      <c r="F8" s="430"/>
      <c r="G8" s="1553"/>
      <c r="H8" s="1553"/>
      <c r="I8" s="1553"/>
      <c r="J8" s="1553"/>
      <c r="K8" s="430"/>
      <c r="L8" s="1553"/>
      <c r="M8" s="1553"/>
      <c r="N8" s="1553"/>
      <c r="O8" s="1553"/>
      <c r="P8" s="2603"/>
      <c r="Q8" s="2603"/>
      <c r="R8" s="2603"/>
      <c r="S8" s="2603"/>
      <c r="T8" s="2603"/>
      <c r="U8" s="2603"/>
      <c r="V8" s="1559"/>
      <c r="W8" s="2603"/>
      <c r="X8" s="2603"/>
      <c r="Y8" s="1553"/>
      <c r="Z8" s="1553"/>
      <c r="AA8" s="1553"/>
      <c r="AB8" s="1553"/>
    </row>
    <row r="9" spans="1:28">
      <c r="A9" s="430">
        <v>4</v>
      </c>
      <c r="B9" s="430"/>
      <c r="C9" s="1553"/>
      <c r="D9" s="1553"/>
      <c r="E9" s="1553"/>
      <c r="F9" s="430"/>
      <c r="G9" s="1553"/>
      <c r="H9" s="1553"/>
      <c r="I9" s="1553"/>
      <c r="J9" s="1553"/>
      <c r="K9" s="430"/>
      <c r="L9" s="1553"/>
      <c r="M9" s="1553"/>
      <c r="N9" s="1553"/>
      <c r="O9" s="1553"/>
      <c r="P9" s="2603"/>
      <c r="Q9" s="2603"/>
      <c r="R9" s="2603"/>
      <c r="S9" s="2603"/>
      <c r="T9" s="2603"/>
      <c r="U9" s="2603"/>
      <c r="V9" s="1559"/>
      <c r="W9" s="2603"/>
      <c r="X9" s="2603"/>
      <c r="Y9" s="1553"/>
      <c r="Z9" s="1553"/>
      <c r="AA9" s="1553"/>
      <c r="AB9" s="1553"/>
    </row>
    <row r="10" spans="1:28">
      <c r="A10" s="430">
        <v>5</v>
      </c>
      <c r="B10" s="430"/>
      <c r="C10" s="1553"/>
      <c r="D10" s="1553"/>
      <c r="E10" s="1553"/>
      <c r="F10" s="430"/>
      <c r="G10" s="1553"/>
      <c r="H10" s="1553"/>
      <c r="I10" s="1553"/>
      <c r="J10" s="1553"/>
      <c r="K10" s="430"/>
      <c r="L10" s="1553"/>
      <c r="M10" s="1553"/>
      <c r="N10" s="1553"/>
      <c r="O10" s="1553"/>
      <c r="P10" s="2603"/>
      <c r="Q10" s="2603"/>
      <c r="R10" s="2603"/>
      <c r="S10" s="2603"/>
      <c r="T10" s="2603"/>
      <c r="U10" s="2603"/>
      <c r="V10" s="1559"/>
      <c r="W10" s="2603"/>
      <c r="X10" s="2603"/>
      <c r="Y10" s="1553"/>
      <c r="Z10" s="1553"/>
      <c r="AA10" s="1553"/>
      <c r="AB10" s="1553"/>
    </row>
    <row r="11" spans="1:28">
      <c r="A11" s="430">
        <v>6</v>
      </c>
      <c r="B11" s="430"/>
      <c r="C11" s="1553"/>
      <c r="D11" s="1553"/>
      <c r="E11" s="1553"/>
      <c r="F11" s="430"/>
      <c r="G11" s="1553"/>
      <c r="H11" s="1553"/>
      <c r="I11" s="1553"/>
      <c r="J11" s="1553"/>
      <c r="K11" s="430"/>
      <c r="L11" s="1553"/>
      <c r="M11" s="1553"/>
      <c r="N11" s="1553"/>
      <c r="O11" s="1553"/>
      <c r="P11" s="2603"/>
      <c r="Q11" s="2603"/>
      <c r="R11" s="2603"/>
      <c r="S11" s="2603"/>
      <c r="T11" s="2603"/>
      <c r="U11" s="2603"/>
      <c r="V11" s="1559"/>
      <c r="W11" s="2603"/>
      <c r="X11" s="2603"/>
      <c r="Y11" s="1553"/>
      <c r="Z11" s="1553"/>
      <c r="AA11" s="1553"/>
      <c r="AB11" s="1553"/>
    </row>
    <row r="12" spans="1:28">
      <c r="A12" s="430">
        <v>7</v>
      </c>
      <c r="B12" s="430"/>
      <c r="C12" s="1553"/>
      <c r="D12" s="1553"/>
      <c r="E12" s="1553"/>
      <c r="F12" s="430"/>
      <c r="G12" s="1553"/>
      <c r="H12" s="1553"/>
      <c r="I12" s="1553"/>
      <c r="J12" s="1553"/>
      <c r="K12" s="430"/>
      <c r="L12" s="1553"/>
      <c r="M12" s="1553"/>
      <c r="N12" s="1553"/>
      <c r="O12" s="1553"/>
      <c r="P12" s="2603"/>
      <c r="Q12" s="2603"/>
      <c r="R12" s="2603"/>
      <c r="S12" s="2603"/>
      <c r="T12" s="2603"/>
      <c r="U12" s="2603"/>
      <c r="V12" s="1559"/>
      <c r="W12" s="2603"/>
      <c r="X12" s="2603"/>
      <c r="Y12" s="1553"/>
      <c r="Z12" s="1553"/>
      <c r="AA12" s="1553"/>
      <c r="AB12" s="1553"/>
    </row>
    <row r="13" spans="1:28">
      <c r="A13" s="430">
        <v>8</v>
      </c>
      <c r="B13" s="430"/>
      <c r="C13" s="1553"/>
      <c r="D13" s="1553"/>
      <c r="E13" s="1553"/>
      <c r="F13" s="430"/>
      <c r="G13" s="1553"/>
      <c r="H13" s="1553"/>
      <c r="I13" s="1553"/>
      <c r="J13" s="1553"/>
      <c r="K13" s="430"/>
      <c r="L13" s="1553"/>
      <c r="M13" s="1553"/>
      <c r="N13" s="1553"/>
      <c r="O13" s="1553"/>
      <c r="P13" s="2603"/>
      <c r="Q13" s="2603"/>
      <c r="R13" s="2603"/>
      <c r="S13" s="2603"/>
      <c r="T13" s="2603"/>
      <c r="U13" s="2603"/>
      <c r="V13" s="1559"/>
      <c r="W13" s="2603"/>
      <c r="X13" s="2603"/>
      <c r="Y13" s="1553"/>
      <c r="Z13" s="1553"/>
      <c r="AA13" s="1553"/>
      <c r="AB13" s="1553"/>
    </row>
    <row r="14" spans="1:28">
      <c r="A14" s="430">
        <v>9</v>
      </c>
      <c r="B14" s="430"/>
      <c r="C14" s="1553"/>
      <c r="D14" s="1553"/>
      <c r="E14" s="1553"/>
      <c r="F14" s="430"/>
      <c r="G14" s="1553"/>
      <c r="H14" s="1553"/>
      <c r="I14" s="1553"/>
      <c r="J14" s="1553"/>
      <c r="K14" s="430"/>
      <c r="L14" s="1553"/>
      <c r="M14" s="1553"/>
      <c r="N14" s="1553"/>
      <c r="O14" s="1553"/>
      <c r="P14" s="2603"/>
      <c r="Q14" s="2603"/>
      <c r="R14" s="2603"/>
      <c r="S14" s="2603"/>
      <c r="T14" s="2603"/>
      <c r="U14" s="2603"/>
      <c r="V14" s="1559"/>
      <c r="W14" s="2603"/>
      <c r="X14" s="2603"/>
      <c r="Y14" s="1553"/>
      <c r="Z14" s="1553"/>
      <c r="AA14" s="1553"/>
      <c r="AB14" s="1553"/>
    </row>
    <row r="15" spans="1:28">
      <c r="A15" s="430">
        <v>10</v>
      </c>
      <c r="B15" s="430"/>
      <c r="C15" s="1553"/>
      <c r="D15" s="1553"/>
      <c r="E15" s="1553"/>
      <c r="F15" s="430"/>
      <c r="G15" s="1553"/>
      <c r="H15" s="1553"/>
      <c r="I15" s="1553"/>
      <c r="J15" s="1553"/>
      <c r="K15" s="430"/>
      <c r="L15" s="1553"/>
      <c r="M15" s="1553"/>
      <c r="N15" s="1553"/>
      <c r="O15" s="1553"/>
      <c r="P15" s="2603"/>
      <c r="Q15" s="2603"/>
      <c r="R15" s="2603"/>
      <c r="S15" s="2603"/>
      <c r="T15" s="2603"/>
      <c r="U15" s="2603"/>
      <c r="V15" s="1559"/>
      <c r="W15" s="2603"/>
      <c r="X15" s="2603"/>
      <c r="Y15" s="1553"/>
      <c r="Z15" s="1553"/>
      <c r="AA15" s="1553"/>
      <c r="AB15" s="1553"/>
    </row>
    <row r="16" spans="1:28" ht="16.5">
      <c r="A16" s="430">
        <v>11</v>
      </c>
      <c r="B16" s="2895" t="s">
        <v>2549</v>
      </c>
      <c r="C16" s="2604" t="s">
        <v>2535</v>
      </c>
      <c r="D16" s="2605"/>
      <c r="E16" s="2605"/>
      <c r="F16" s="2605"/>
      <c r="G16" s="2605"/>
      <c r="H16" s="2605"/>
      <c r="I16" s="2605"/>
      <c r="J16" s="2605"/>
      <c r="K16" s="2605"/>
      <c r="L16" s="2605"/>
      <c r="M16" s="2605"/>
      <c r="N16" s="2605"/>
      <c r="O16" s="2605"/>
      <c r="P16" s="2605"/>
      <c r="Q16" s="2605"/>
      <c r="R16" s="2605"/>
      <c r="S16" s="2605"/>
      <c r="T16" s="1560">
        <f>SUMIF($D$6:$D$15,"A",T6:T15)</f>
        <v>0</v>
      </c>
      <c r="U16" s="1560">
        <f>SUMIF($D$6:$D$15,"A",U6:U15)</f>
        <v>0</v>
      </c>
      <c r="V16" s="2605"/>
      <c r="W16" s="2605"/>
      <c r="X16" s="2605"/>
      <c r="Y16" s="2605"/>
      <c r="Z16" s="1560">
        <f>SUMIF($D$6:$D$15,"A",Z6:Z15)</f>
        <v>0</v>
      </c>
      <c r="AA16" s="1560">
        <f>SUMIF($D$6:$D$15,"A",AA6:AA15)</f>
        <v>0</v>
      </c>
      <c r="AB16" s="2605"/>
    </row>
    <row r="17" spans="1:28" ht="33">
      <c r="A17" s="430">
        <v>12</v>
      </c>
      <c r="B17" s="2895"/>
      <c r="C17" s="2606" t="s">
        <v>2550</v>
      </c>
      <c r="D17" s="2605"/>
      <c r="E17" s="2605"/>
      <c r="F17" s="2605"/>
      <c r="G17" s="2605"/>
      <c r="H17" s="2605"/>
      <c r="I17" s="2605"/>
      <c r="J17" s="2605"/>
      <c r="K17" s="2605"/>
      <c r="L17" s="2605"/>
      <c r="M17" s="2605"/>
      <c r="N17" s="2605"/>
      <c r="O17" s="2605"/>
      <c r="P17" s="2605"/>
      <c r="Q17" s="2605"/>
      <c r="R17" s="2605"/>
      <c r="S17" s="2605"/>
      <c r="T17" s="1560">
        <f>SUMIF($D$6:$D$15,"C",T6:T15)</f>
        <v>0</v>
      </c>
      <c r="U17" s="1560">
        <f>SUMIF($D$6:$D$15,"C",U6:U15)</f>
        <v>0</v>
      </c>
      <c r="V17" s="2605"/>
      <c r="W17" s="2605"/>
      <c r="X17" s="2605"/>
      <c r="Y17" s="2605"/>
      <c r="Z17" s="1560">
        <f>SUMIF($D$6:$D$15,"C",Z6:Z15)</f>
        <v>0</v>
      </c>
      <c r="AA17" s="1560">
        <f>SUMIF($D$6:$D$15,"C",AA6:AA15)</f>
        <v>0</v>
      </c>
      <c r="AB17" s="2605"/>
    </row>
    <row r="18" spans="1:28" ht="16.5">
      <c r="A18" s="435" t="s">
        <v>6325</v>
      </c>
      <c r="B18" s="23"/>
      <c r="C18" s="23"/>
      <c r="D18" s="23"/>
      <c r="E18" s="23"/>
      <c r="F18" s="23"/>
      <c r="G18" s="23"/>
      <c r="H18" s="23"/>
      <c r="I18" s="23"/>
      <c r="J18" s="23"/>
      <c r="K18" s="23"/>
      <c r="L18" s="23"/>
      <c r="M18" s="23"/>
      <c r="N18" s="23"/>
      <c r="O18" s="23"/>
      <c r="P18" s="23"/>
      <c r="Q18" s="23"/>
      <c r="R18" s="23"/>
      <c r="S18" s="23"/>
      <c r="T18" s="23"/>
      <c r="U18" s="23"/>
      <c r="V18" s="23"/>
      <c r="W18" s="23"/>
      <c r="X18" s="23"/>
      <c r="Y18" s="23"/>
      <c r="Z18" s="1555"/>
    </row>
    <row r="19" spans="1:28" ht="16.5">
      <c r="A19" s="435">
        <v>1</v>
      </c>
      <c r="B19" s="426" t="s">
        <v>6326</v>
      </c>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1555"/>
    </row>
    <row r="20" spans="1:28" ht="16.5">
      <c r="A20" s="435">
        <v>2</v>
      </c>
      <c r="B20" s="2178" t="s">
        <v>6327</v>
      </c>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1555"/>
    </row>
    <row r="21" spans="1:28" ht="16.5">
      <c r="A21" s="435"/>
      <c r="B21" s="452" t="s">
        <v>6328</v>
      </c>
      <c r="C21" s="451"/>
      <c r="D21" s="451"/>
      <c r="E21" s="451"/>
      <c r="F21" s="451"/>
      <c r="G21" s="451"/>
      <c r="H21" s="451"/>
      <c r="I21" s="451"/>
      <c r="J21" s="451"/>
      <c r="K21" s="451"/>
      <c r="L21" s="451"/>
      <c r="M21" s="451"/>
      <c r="N21" s="451"/>
      <c r="O21" s="451"/>
      <c r="P21" s="451"/>
      <c r="Q21" s="451"/>
      <c r="R21" s="451"/>
      <c r="S21" s="451"/>
      <c r="T21" s="451"/>
      <c r="U21" s="451"/>
      <c r="V21" s="451"/>
      <c r="W21" s="451"/>
      <c r="X21" s="451"/>
      <c r="Y21" s="451"/>
      <c r="Z21" s="1555"/>
    </row>
    <row r="22" spans="1:28" ht="16.5">
      <c r="A22" s="435"/>
      <c r="B22" s="452" t="s">
        <v>6329</v>
      </c>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1555"/>
    </row>
    <row r="23" spans="1:28" ht="16.5">
      <c r="A23" s="435">
        <v>3</v>
      </c>
      <c r="B23" s="452" t="s">
        <v>3614</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1555"/>
    </row>
    <row r="24" spans="1:28" ht="16.5">
      <c r="A24" s="435">
        <v>4</v>
      </c>
      <c r="B24" s="426" t="s">
        <v>6330</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1555"/>
    </row>
    <row r="25" spans="1:28" ht="16.5">
      <c r="A25" s="435">
        <v>5</v>
      </c>
      <c r="B25" s="452" t="s">
        <v>3615</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1555"/>
    </row>
    <row r="26" spans="1:28" ht="16.5">
      <c r="A26" s="435">
        <v>6</v>
      </c>
      <c r="B26" s="426" t="s">
        <v>6331</v>
      </c>
      <c r="C26" s="23"/>
      <c r="D26" s="23"/>
      <c r="E26" s="23"/>
      <c r="F26" s="23"/>
      <c r="G26" s="23"/>
      <c r="H26" s="23"/>
      <c r="I26" s="23"/>
      <c r="J26" s="23"/>
      <c r="K26" s="23"/>
      <c r="L26" s="23"/>
      <c r="M26" s="23"/>
      <c r="N26" s="23"/>
      <c r="O26" s="23"/>
      <c r="P26" s="23"/>
      <c r="Q26" s="23"/>
      <c r="R26" s="23"/>
      <c r="S26" s="451"/>
      <c r="T26" s="451"/>
      <c r="U26" s="451"/>
      <c r="V26" s="451"/>
      <c r="W26" s="451"/>
      <c r="X26" s="451"/>
      <c r="Y26" s="451"/>
      <c r="Z26" s="1555"/>
    </row>
    <row r="27" spans="1:28" ht="16.5">
      <c r="A27" s="435">
        <v>7</v>
      </c>
      <c r="B27" s="452" t="s">
        <v>6332</v>
      </c>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1555"/>
    </row>
    <row r="28" spans="1:28" ht="16.5">
      <c r="A28" s="435">
        <v>8</v>
      </c>
      <c r="B28" s="452" t="s">
        <v>6333</v>
      </c>
      <c r="C28" s="451"/>
      <c r="D28" s="451"/>
      <c r="E28" s="451"/>
      <c r="F28" s="451"/>
      <c r="G28" s="451"/>
      <c r="H28" s="451"/>
      <c r="I28" s="451"/>
      <c r="J28" s="451"/>
      <c r="K28" s="451"/>
      <c r="L28" s="451"/>
      <c r="M28" s="451"/>
      <c r="N28" s="451"/>
      <c r="O28" s="451"/>
      <c r="P28" s="451"/>
      <c r="Q28" s="451"/>
      <c r="R28" s="451"/>
      <c r="S28" s="23"/>
      <c r="T28" s="23"/>
      <c r="U28" s="23"/>
      <c r="V28" s="23"/>
      <c r="W28" s="23"/>
      <c r="X28" s="23"/>
      <c r="Y28" s="23"/>
      <c r="Z28" s="1555"/>
    </row>
    <row r="29" spans="1:28" ht="16.5">
      <c r="A29" s="435">
        <v>9</v>
      </c>
      <c r="B29" s="452" t="s">
        <v>6334</v>
      </c>
      <c r="C29" s="23"/>
      <c r="D29" s="23"/>
      <c r="E29" s="23"/>
      <c r="F29" s="23"/>
      <c r="G29" s="23"/>
      <c r="H29" s="23"/>
      <c r="I29" s="23"/>
      <c r="J29" s="23"/>
      <c r="K29" s="23"/>
      <c r="L29" s="23"/>
      <c r="M29" s="23"/>
      <c r="N29" s="23"/>
      <c r="O29" s="23"/>
      <c r="P29" s="23"/>
      <c r="Q29" s="23"/>
      <c r="R29" s="23"/>
      <c r="S29" s="23"/>
      <c r="T29" s="23"/>
      <c r="U29" s="23"/>
      <c r="V29" s="23"/>
      <c r="W29" s="23"/>
      <c r="X29" s="23"/>
      <c r="Y29" s="23"/>
      <c r="Z29" s="1555"/>
    </row>
    <row r="30" spans="1:28" ht="16.5">
      <c r="A30" s="435">
        <v>10</v>
      </c>
      <c r="B30" s="426" t="s">
        <v>4450</v>
      </c>
      <c r="C30" s="23"/>
      <c r="D30" s="23"/>
      <c r="E30" s="23"/>
      <c r="F30" s="23"/>
      <c r="G30" s="23"/>
      <c r="H30" s="23"/>
      <c r="I30" s="23"/>
      <c r="J30" s="23"/>
      <c r="K30" s="23"/>
      <c r="L30" s="23"/>
      <c r="M30" s="23"/>
      <c r="N30" s="23"/>
      <c r="O30" s="23"/>
      <c r="P30" s="23"/>
      <c r="Q30" s="23"/>
      <c r="R30" s="23"/>
      <c r="S30" s="1555"/>
      <c r="T30" s="1555"/>
      <c r="U30" s="1555"/>
      <c r="V30" s="1555"/>
      <c r="W30" s="1555"/>
      <c r="X30" s="1555"/>
      <c r="Y30" s="1555"/>
      <c r="Z30" s="1555"/>
    </row>
    <row r="31" spans="1:28" ht="16.5">
      <c r="A31" s="435">
        <v>11</v>
      </c>
      <c r="B31" s="426" t="s">
        <v>4451</v>
      </c>
    </row>
    <row r="32" spans="1:28" ht="16.5">
      <c r="A32" s="2686">
        <v>12</v>
      </c>
      <c r="B32" s="2654" t="s">
        <v>8437</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30"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tabColor rgb="FFFFFF00"/>
    <pageSetUpPr fitToPage="1"/>
  </sheetPr>
  <dimension ref="A1:P83"/>
  <sheetViews>
    <sheetView topLeftCell="A52" zoomScaleNormal="100" zoomScaleSheetLayoutView="100" workbookViewId="0">
      <selection activeCell="A83" sqref="A83:B83"/>
    </sheetView>
  </sheetViews>
  <sheetFormatPr defaultColWidth="15.625" defaultRowHeight="15.75"/>
  <cols>
    <col min="1" max="1" width="5.625" style="1826" customWidth="1"/>
    <col min="2" max="2" width="50.625" style="1826" customWidth="1"/>
    <col min="3" max="16384" width="15.625" style="1826"/>
  </cols>
  <sheetData>
    <row r="1" spans="1:16" ht="16.5">
      <c r="A1" s="2186" t="str">
        <f>+封面!A3&amp;" "&amp;封面!A2</f>
        <v xml:space="preserve"> 中央再保險股份有限公司 年度檢查報表</v>
      </c>
      <c r="B1" s="1818"/>
      <c r="C1" s="1818"/>
      <c r="D1" s="1818"/>
      <c r="E1" s="1818"/>
      <c r="F1" s="1818"/>
      <c r="G1" s="1818"/>
      <c r="H1" s="1818"/>
      <c r="I1" s="1818"/>
      <c r="J1" s="1818"/>
      <c r="K1" s="1818"/>
      <c r="L1" s="1818"/>
      <c r="M1" s="1818"/>
      <c r="N1" s="1818"/>
      <c r="O1" s="1818"/>
      <c r="P1" s="1825"/>
    </row>
    <row r="2" spans="1:16" ht="16.5">
      <c r="A2" s="1827" t="s">
        <v>4818</v>
      </c>
      <c r="B2" s="1818"/>
      <c r="C2" s="1818"/>
      <c r="D2" s="1818"/>
      <c r="E2" s="1818"/>
      <c r="F2" s="1818"/>
      <c r="G2" s="1818"/>
      <c r="H2" s="1818"/>
      <c r="I2" s="1818"/>
      <c r="J2" s="1818"/>
      <c r="K2" s="1818"/>
      <c r="M2" s="1818"/>
      <c r="N2" s="1818"/>
      <c r="O2" s="1828" t="s">
        <v>4819</v>
      </c>
      <c r="P2" s="1825"/>
    </row>
    <row r="3" spans="1:16" ht="16.5">
      <c r="A3" s="2897" t="s">
        <v>4816</v>
      </c>
      <c r="B3" s="2896" t="s">
        <v>4820</v>
      </c>
      <c r="C3" s="1829" t="s">
        <v>4821</v>
      </c>
      <c r="D3" s="1829"/>
      <c r="E3" s="1829"/>
      <c r="F3" s="1829"/>
      <c r="G3" s="1829" t="s">
        <v>4822</v>
      </c>
      <c r="H3" s="1829"/>
      <c r="I3" s="1829"/>
      <c r="J3" s="1829"/>
      <c r="K3" s="1829" t="s">
        <v>4823</v>
      </c>
      <c r="L3" s="1829"/>
      <c r="M3" s="1829"/>
      <c r="N3" s="1829"/>
      <c r="O3" s="2896" t="s">
        <v>4817</v>
      </c>
      <c r="P3" s="1825"/>
    </row>
    <row r="4" spans="1:16" ht="49.5">
      <c r="A4" s="2897"/>
      <c r="B4" s="2896"/>
      <c r="C4" s="1821" t="s">
        <v>4814</v>
      </c>
      <c r="D4" s="1821" t="s">
        <v>4824</v>
      </c>
      <c r="E4" s="1821" t="s">
        <v>4825</v>
      </c>
      <c r="F4" s="1821" t="s">
        <v>4826</v>
      </c>
      <c r="G4" s="1821" t="s">
        <v>4814</v>
      </c>
      <c r="H4" s="1821" t="s">
        <v>4824</v>
      </c>
      <c r="I4" s="1821" t="s">
        <v>4825</v>
      </c>
      <c r="J4" s="1821" t="s">
        <v>4826</v>
      </c>
      <c r="K4" s="1821" t="s">
        <v>4814</v>
      </c>
      <c r="L4" s="1821" t="s">
        <v>4824</v>
      </c>
      <c r="M4" s="1821" t="s">
        <v>4825</v>
      </c>
      <c r="N4" s="1821" t="s">
        <v>4826</v>
      </c>
      <c r="O4" s="2896"/>
      <c r="P4" s="1825"/>
    </row>
    <row r="5" spans="1:16">
      <c r="A5" s="2897"/>
      <c r="B5" s="1822" t="s">
        <v>66</v>
      </c>
      <c r="C5" s="1822" t="s">
        <v>67</v>
      </c>
      <c r="D5" s="1822" t="s">
        <v>68</v>
      </c>
      <c r="E5" s="1822" t="s">
        <v>69</v>
      </c>
      <c r="F5" s="1822" t="s">
        <v>70</v>
      </c>
      <c r="G5" s="1822" t="s">
        <v>71</v>
      </c>
      <c r="H5" s="1822" t="s">
        <v>72</v>
      </c>
      <c r="I5" s="1822" t="s">
        <v>73</v>
      </c>
      <c r="J5" s="1822" t="s">
        <v>74</v>
      </c>
      <c r="K5" s="1822" t="s">
        <v>75</v>
      </c>
      <c r="L5" s="1822" t="s">
        <v>225</v>
      </c>
      <c r="M5" s="1822" t="s">
        <v>226</v>
      </c>
      <c r="N5" s="1822" t="s">
        <v>274</v>
      </c>
      <c r="O5" s="1822" t="s">
        <v>275</v>
      </c>
      <c r="P5" s="1825"/>
    </row>
    <row r="6" spans="1:16" ht="16.5">
      <c r="A6" s="1830">
        <v>1</v>
      </c>
      <c r="B6" s="1823" t="s">
        <v>4827</v>
      </c>
      <c r="C6" s="1831"/>
      <c r="D6" s="1831"/>
      <c r="E6" s="1831"/>
      <c r="F6" s="1831"/>
      <c r="G6" s="1831"/>
      <c r="H6" s="1831"/>
      <c r="I6" s="1831"/>
      <c r="J6" s="1831"/>
      <c r="K6" s="1831"/>
      <c r="L6" s="1831"/>
      <c r="M6" s="1831"/>
      <c r="N6" s="1831"/>
      <c r="O6" s="1832"/>
      <c r="P6" s="1825"/>
    </row>
    <row r="7" spans="1:16" ht="16.5">
      <c r="A7" s="1830">
        <v>2</v>
      </c>
      <c r="B7" s="1823" t="s">
        <v>4828</v>
      </c>
      <c r="C7" s="1831"/>
      <c r="D7" s="1831"/>
      <c r="E7" s="1831"/>
      <c r="F7" s="1831"/>
      <c r="G7" s="1831"/>
      <c r="H7" s="1831"/>
      <c r="I7" s="1831"/>
      <c r="J7" s="1831"/>
      <c r="K7" s="1831"/>
      <c r="L7" s="1831"/>
      <c r="M7" s="1831"/>
      <c r="N7" s="1831"/>
      <c r="O7" s="1832"/>
      <c r="P7" s="1825"/>
    </row>
    <row r="8" spans="1:16" ht="16.5">
      <c r="A8" s="1830">
        <v>3</v>
      </c>
      <c r="B8" s="1823" t="s">
        <v>4829</v>
      </c>
      <c r="C8" s="1831"/>
      <c r="D8" s="1831"/>
      <c r="E8" s="1831"/>
      <c r="F8" s="1831"/>
      <c r="G8" s="1831"/>
      <c r="H8" s="1831"/>
      <c r="I8" s="1831"/>
      <c r="J8" s="1831"/>
      <c r="K8" s="1831"/>
      <c r="L8" s="1831"/>
      <c r="M8" s="1831"/>
      <c r="N8" s="1831"/>
      <c r="O8" s="1832"/>
      <c r="P8" s="1825"/>
    </row>
    <row r="9" spans="1:16" ht="16.5">
      <c r="A9" s="1830">
        <v>4</v>
      </c>
      <c r="B9" s="1823" t="s">
        <v>4830</v>
      </c>
      <c r="C9" s="1831"/>
      <c r="D9" s="1831"/>
      <c r="E9" s="1831"/>
      <c r="F9" s="1831"/>
      <c r="G9" s="1831"/>
      <c r="H9" s="1831"/>
      <c r="I9" s="1831"/>
      <c r="J9" s="1831"/>
      <c r="K9" s="1831"/>
      <c r="L9" s="1831"/>
      <c r="M9" s="1831"/>
      <c r="N9" s="1831"/>
      <c r="O9" s="1832"/>
      <c r="P9" s="1825"/>
    </row>
    <row r="10" spans="1:16" ht="16.5">
      <c r="A10" s="1830">
        <v>5</v>
      </c>
      <c r="B10" s="1823" t="s">
        <v>4831</v>
      </c>
      <c r="C10" s="1831"/>
      <c r="D10" s="1831"/>
      <c r="E10" s="1831"/>
      <c r="F10" s="1831"/>
      <c r="G10" s="1831"/>
      <c r="H10" s="1831"/>
      <c r="I10" s="1831"/>
      <c r="J10" s="1831"/>
      <c r="K10" s="1831"/>
      <c r="L10" s="1831"/>
      <c r="M10" s="1831"/>
      <c r="N10" s="1831"/>
      <c r="O10" s="1832"/>
      <c r="P10" s="1825"/>
    </row>
    <row r="11" spans="1:16" ht="16.5">
      <c r="A11" s="1830">
        <v>6</v>
      </c>
      <c r="B11" s="1823" t="s">
        <v>4832</v>
      </c>
      <c r="C11" s="1831"/>
      <c r="D11" s="1831"/>
      <c r="E11" s="1831"/>
      <c r="F11" s="1831"/>
      <c r="G11" s="1831"/>
      <c r="H11" s="1831"/>
      <c r="I11" s="1831"/>
      <c r="J11" s="1831"/>
      <c r="K11" s="1831"/>
      <c r="L11" s="1831"/>
      <c r="M11" s="1831"/>
      <c r="N11" s="1831"/>
      <c r="O11" s="1832"/>
      <c r="P11" s="1825"/>
    </row>
    <row r="12" spans="1:16" ht="16.5">
      <c r="A12" s="1830">
        <v>7</v>
      </c>
      <c r="B12" s="1823" t="s">
        <v>4833</v>
      </c>
      <c r="C12" s="1831"/>
      <c r="D12" s="1831"/>
      <c r="E12" s="1831"/>
      <c r="F12" s="1831"/>
      <c r="G12" s="1831"/>
      <c r="H12" s="1831"/>
      <c r="I12" s="1831"/>
      <c r="J12" s="1831"/>
      <c r="K12" s="1831"/>
      <c r="L12" s="1831"/>
      <c r="M12" s="1831"/>
      <c r="N12" s="1831"/>
      <c r="O12" s="1832"/>
      <c r="P12" s="1825"/>
    </row>
    <row r="13" spans="1:16" ht="16.5">
      <c r="A13" s="1830">
        <v>8</v>
      </c>
      <c r="B13" s="1823" t="s">
        <v>4834</v>
      </c>
      <c r="C13" s="1831"/>
      <c r="D13" s="1831"/>
      <c r="E13" s="1831"/>
      <c r="F13" s="1831"/>
      <c r="G13" s="1831"/>
      <c r="H13" s="1831"/>
      <c r="I13" s="1831"/>
      <c r="J13" s="1831"/>
      <c r="K13" s="1831"/>
      <c r="L13" s="1831"/>
      <c r="M13" s="1831"/>
      <c r="N13" s="1831"/>
      <c r="O13" s="1832"/>
      <c r="P13" s="1825"/>
    </row>
    <row r="14" spans="1:16" ht="16.5">
      <c r="A14" s="1830">
        <v>9</v>
      </c>
      <c r="B14" s="1823" t="s">
        <v>4835</v>
      </c>
      <c r="C14" s="1831"/>
      <c r="D14" s="1831"/>
      <c r="E14" s="1831"/>
      <c r="F14" s="1831"/>
      <c r="G14" s="1831"/>
      <c r="H14" s="1831"/>
      <c r="I14" s="1831"/>
      <c r="J14" s="1831"/>
      <c r="K14" s="1831"/>
      <c r="L14" s="1831"/>
      <c r="M14" s="1831"/>
      <c r="N14" s="1831"/>
      <c r="O14" s="1832"/>
      <c r="P14" s="1825"/>
    </row>
    <row r="15" spans="1:16" ht="16.5">
      <c r="A15" s="1830">
        <v>10</v>
      </c>
      <c r="B15" s="1823" t="s">
        <v>4836</v>
      </c>
      <c r="C15" s="1831"/>
      <c r="D15" s="1831"/>
      <c r="E15" s="1831"/>
      <c r="F15" s="1831"/>
      <c r="G15" s="1831"/>
      <c r="H15" s="1831"/>
      <c r="I15" s="1831"/>
      <c r="J15" s="1831"/>
      <c r="K15" s="1831"/>
      <c r="L15" s="1831"/>
      <c r="M15" s="1831"/>
      <c r="N15" s="1831"/>
      <c r="O15" s="1832"/>
      <c r="P15" s="1825"/>
    </row>
    <row r="16" spans="1:16" ht="16.5">
      <c r="A16" s="1830">
        <v>11</v>
      </c>
      <c r="B16" s="1823" t="s">
        <v>4837</v>
      </c>
      <c r="C16" s="1831"/>
      <c r="D16" s="1831"/>
      <c r="E16" s="1831"/>
      <c r="F16" s="1831"/>
      <c r="G16" s="1831"/>
      <c r="H16" s="1831"/>
      <c r="I16" s="1831"/>
      <c r="J16" s="1831"/>
      <c r="K16" s="1831"/>
      <c r="L16" s="1831"/>
      <c r="M16" s="1831"/>
      <c r="N16" s="1831"/>
      <c r="O16" s="1832"/>
      <c r="P16" s="1825"/>
    </row>
    <row r="17" spans="1:16" ht="16.5">
      <c r="A17" s="1830">
        <v>12</v>
      </c>
      <c r="B17" s="1823" t="s">
        <v>4838</v>
      </c>
      <c r="C17" s="1831"/>
      <c r="D17" s="1831"/>
      <c r="E17" s="1831"/>
      <c r="F17" s="1831"/>
      <c r="G17" s="1831"/>
      <c r="H17" s="1831"/>
      <c r="I17" s="1831"/>
      <c r="J17" s="1831"/>
      <c r="K17" s="1831"/>
      <c r="L17" s="1831"/>
      <c r="M17" s="1831"/>
      <c r="N17" s="1831"/>
      <c r="O17" s="1832"/>
      <c r="P17" s="1825"/>
    </row>
    <row r="18" spans="1:16" ht="16.5">
      <c r="A18" s="1830">
        <v>13</v>
      </c>
      <c r="B18" s="1823" t="s">
        <v>4839</v>
      </c>
      <c r="C18" s="1831"/>
      <c r="D18" s="1831"/>
      <c r="E18" s="1831"/>
      <c r="F18" s="1831"/>
      <c r="G18" s="1833"/>
      <c r="H18" s="1833"/>
      <c r="I18" s="1833"/>
      <c r="J18" s="1833"/>
      <c r="K18" s="1831"/>
      <c r="L18" s="1831"/>
      <c r="M18" s="1831"/>
      <c r="N18" s="1831"/>
      <c r="O18" s="1832"/>
      <c r="P18" s="1825"/>
    </row>
    <row r="19" spans="1:16" ht="16.5">
      <c r="A19" s="1830">
        <v>14</v>
      </c>
      <c r="B19" s="1823" t="s">
        <v>4840</v>
      </c>
      <c r="C19" s="1831"/>
      <c r="D19" s="1831"/>
      <c r="E19" s="1831"/>
      <c r="F19" s="1831"/>
      <c r="G19" s="1831"/>
      <c r="H19" s="1831"/>
      <c r="I19" s="1831"/>
      <c r="J19" s="1831"/>
      <c r="K19" s="1831"/>
      <c r="L19" s="1831"/>
      <c r="M19" s="1831"/>
      <c r="N19" s="1831"/>
      <c r="O19" s="1832"/>
      <c r="P19" s="1825"/>
    </row>
    <row r="20" spans="1:16" s="1820" customFormat="1" ht="16.5">
      <c r="A20" s="1834" t="s">
        <v>1360</v>
      </c>
      <c r="B20" s="1823" t="s">
        <v>4841</v>
      </c>
      <c r="C20" s="1831"/>
      <c r="D20" s="1831"/>
      <c r="E20" s="1831"/>
      <c r="F20" s="1831"/>
      <c r="G20" s="1833"/>
      <c r="H20" s="1833"/>
      <c r="I20" s="1833"/>
      <c r="J20" s="1833"/>
      <c r="K20" s="1831"/>
      <c r="L20" s="1831"/>
      <c r="M20" s="1831"/>
      <c r="N20" s="1831"/>
      <c r="O20" s="1832"/>
      <c r="P20" s="1819"/>
    </row>
    <row r="21" spans="1:16" s="1820" customFormat="1" ht="33">
      <c r="A21" s="1834" t="s">
        <v>1361</v>
      </c>
      <c r="B21" s="1823" t="s">
        <v>4842</v>
      </c>
      <c r="C21" s="1831"/>
      <c r="D21" s="1831"/>
      <c r="E21" s="1831"/>
      <c r="F21" s="1831"/>
      <c r="G21" s="1833"/>
      <c r="H21" s="1833"/>
      <c r="I21" s="1833"/>
      <c r="J21" s="1833"/>
      <c r="K21" s="1831"/>
      <c r="L21" s="1831"/>
      <c r="M21" s="1831"/>
      <c r="N21" s="1831"/>
      <c r="O21" s="1832"/>
      <c r="P21" s="1819"/>
    </row>
    <row r="22" spans="1:16" s="1820" customFormat="1" ht="16.5">
      <c r="A22" s="1834" t="s">
        <v>1362</v>
      </c>
      <c r="B22" s="1835" t="s">
        <v>4806</v>
      </c>
      <c r="C22" s="1831"/>
      <c r="D22" s="1831"/>
      <c r="E22" s="1831"/>
      <c r="F22" s="1831"/>
      <c r="G22" s="1833"/>
      <c r="H22" s="1833"/>
      <c r="I22" s="1833"/>
      <c r="J22" s="1833"/>
      <c r="K22" s="1831"/>
      <c r="L22" s="1831"/>
      <c r="M22" s="1831"/>
      <c r="N22" s="1831"/>
      <c r="O22" s="1832"/>
      <c r="P22" s="1819"/>
    </row>
    <row r="23" spans="1:16" ht="16.5">
      <c r="A23" s="1834" t="s">
        <v>4807</v>
      </c>
      <c r="B23" s="1836" t="s">
        <v>4843</v>
      </c>
      <c r="C23" s="1831"/>
      <c r="D23" s="1831"/>
      <c r="E23" s="1831"/>
      <c r="F23" s="1831"/>
      <c r="G23" s="1833"/>
      <c r="H23" s="1833"/>
      <c r="I23" s="1833"/>
      <c r="J23" s="1833"/>
      <c r="K23" s="1831"/>
      <c r="L23" s="1831"/>
      <c r="M23" s="1831"/>
      <c r="N23" s="1831"/>
      <c r="O23" s="1832"/>
      <c r="P23" s="1825"/>
    </row>
    <row r="24" spans="1:16" ht="16.5">
      <c r="A24" s="1830">
        <v>16</v>
      </c>
      <c r="B24" s="1836" t="s">
        <v>4844</v>
      </c>
      <c r="C24" s="1831"/>
      <c r="D24" s="1831"/>
      <c r="E24" s="1831"/>
      <c r="F24" s="1831"/>
      <c r="G24" s="1831"/>
      <c r="H24" s="1831"/>
      <c r="I24" s="1831"/>
      <c r="J24" s="1831"/>
      <c r="K24" s="1831"/>
      <c r="L24" s="1831"/>
      <c r="M24" s="1831"/>
      <c r="N24" s="1831"/>
      <c r="O24" s="1832"/>
      <c r="P24" s="1825"/>
    </row>
    <row r="25" spans="1:16" ht="16.5">
      <c r="A25" s="1830">
        <f t="shared" ref="A25:A33" si="0">A24+1</f>
        <v>17</v>
      </c>
      <c r="B25" s="1836" t="s">
        <v>4845</v>
      </c>
      <c r="C25" s="1833"/>
      <c r="D25" s="1833"/>
      <c r="E25" s="1833"/>
      <c r="F25" s="1833"/>
      <c r="G25" s="1831"/>
      <c r="H25" s="1831"/>
      <c r="I25" s="1831"/>
      <c r="J25" s="1831"/>
      <c r="K25" s="1831"/>
      <c r="L25" s="1831"/>
      <c r="M25" s="1831"/>
      <c r="N25" s="1831"/>
      <c r="O25" s="1832"/>
      <c r="P25" s="1825"/>
    </row>
    <row r="26" spans="1:16" ht="16.5">
      <c r="A26" s="1830">
        <f t="shared" si="0"/>
        <v>18</v>
      </c>
      <c r="B26" s="1836" t="s">
        <v>4846</v>
      </c>
      <c r="C26" s="1833"/>
      <c r="D26" s="1833"/>
      <c r="E26" s="1833"/>
      <c r="F26" s="1833"/>
      <c r="G26" s="1831"/>
      <c r="H26" s="1831"/>
      <c r="I26" s="1831"/>
      <c r="J26" s="1831"/>
      <c r="K26" s="1831"/>
      <c r="L26" s="1831"/>
      <c r="M26" s="1831"/>
      <c r="N26" s="1831"/>
      <c r="O26" s="1832"/>
      <c r="P26" s="1825"/>
    </row>
    <row r="27" spans="1:16" ht="16.5">
      <c r="A27" s="1837" t="s">
        <v>697</v>
      </c>
      <c r="B27" s="1836" t="s">
        <v>4847</v>
      </c>
      <c r="C27" s="1833"/>
      <c r="D27" s="1833"/>
      <c r="E27" s="1833"/>
      <c r="F27" s="1833"/>
      <c r="G27" s="1831"/>
      <c r="H27" s="1831"/>
      <c r="I27" s="1831"/>
      <c r="J27" s="1831"/>
      <c r="K27" s="1831"/>
      <c r="L27" s="1831"/>
      <c r="M27" s="1831"/>
      <c r="N27" s="1831"/>
      <c r="O27" s="1832"/>
      <c r="P27" s="1825"/>
    </row>
    <row r="28" spans="1:16" ht="16.5">
      <c r="A28" s="1837" t="s">
        <v>1413</v>
      </c>
      <c r="B28" s="1836" t="s">
        <v>4848</v>
      </c>
      <c r="C28" s="1833"/>
      <c r="D28" s="1833"/>
      <c r="E28" s="1833"/>
      <c r="F28" s="1833"/>
      <c r="G28" s="1831"/>
      <c r="H28" s="1831"/>
      <c r="I28" s="1831"/>
      <c r="J28" s="1831"/>
      <c r="K28" s="1831"/>
      <c r="L28" s="1831"/>
      <c r="M28" s="1831"/>
      <c r="N28" s="1831"/>
      <c r="O28" s="1832"/>
      <c r="P28" s="1825"/>
    </row>
    <row r="29" spans="1:16" ht="16.5">
      <c r="A29" s="1837" t="s">
        <v>1414</v>
      </c>
      <c r="B29" s="1836" t="s">
        <v>4849</v>
      </c>
      <c r="C29" s="1833"/>
      <c r="D29" s="1833"/>
      <c r="E29" s="1833"/>
      <c r="F29" s="1833"/>
      <c r="G29" s="1831"/>
      <c r="H29" s="1831"/>
      <c r="I29" s="1831"/>
      <c r="J29" s="1831"/>
      <c r="K29" s="1831"/>
      <c r="L29" s="1831"/>
      <c r="M29" s="1831"/>
      <c r="N29" s="1831"/>
      <c r="O29" s="1832"/>
      <c r="P29" s="1825"/>
    </row>
    <row r="30" spans="1:16" ht="16.5">
      <c r="A30" s="1830">
        <v>20</v>
      </c>
      <c r="B30" s="1836" t="s">
        <v>4850</v>
      </c>
      <c r="C30" s="1833"/>
      <c r="D30" s="1833"/>
      <c r="E30" s="1833"/>
      <c r="F30" s="1833"/>
      <c r="G30" s="1831"/>
      <c r="H30" s="1831"/>
      <c r="I30" s="1831"/>
      <c r="J30" s="1831"/>
      <c r="K30" s="1831"/>
      <c r="L30" s="1831"/>
      <c r="M30" s="1831"/>
      <c r="N30" s="1831"/>
      <c r="O30" s="1832"/>
      <c r="P30" s="1825"/>
    </row>
    <row r="31" spans="1:16" ht="16.5">
      <c r="A31" s="1830">
        <f t="shared" si="0"/>
        <v>21</v>
      </c>
      <c r="B31" s="1836" t="s">
        <v>4851</v>
      </c>
      <c r="C31" s="1833"/>
      <c r="D31" s="1833"/>
      <c r="E31" s="1833"/>
      <c r="F31" s="1833"/>
      <c r="G31" s="1831"/>
      <c r="H31" s="1831"/>
      <c r="I31" s="1831"/>
      <c r="J31" s="1831"/>
      <c r="K31" s="1831"/>
      <c r="L31" s="1831"/>
      <c r="M31" s="1831"/>
      <c r="N31" s="1831"/>
      <c r="O31" s="1832"/>
      <c r="P31" s="1825"/>
    </row>
    <row r="32" spans="1:16" ht="16.5">
      <c r="A32" s="1830">
        <f t="shared" si="0"/>
        <v>22</v>
      </c>
      <c r="B32" s="1836" t="s">
        <v>4852</v>
      </c>
      <c r="C32" s="1831"/>
      <c r="D32" s="1831"/>
      <c r="E32" s="1831"/>
      <c r="F32" s="1831"/>
      <c r="G32" s="1831"/>
      <c r="H32" s="1831"/>
      <c r="I32" s="1831"/>
      <c r="J32" s="1831"/>
      <c r="K32" s="1831"/>
      <c r="L32" s="1831"/>
      <c r="M32" s="1831"/>
      <c r="N32" s="1831"/>
      <c r="O32" s="1832"/>
      <c r="P32" s="1825"/>
    </row>
    <row r="33" spans="1:16" ht="16.5">
      <c r="A33" s="1830">
        <f t="shared" si="0"/>
        <v>23</v>
      </c>
      <c r="B33" s="1823" t="s">
        <v>4853</v>
      </c>
      <c r="C33" s="1831"/>
      <c r="D33" s="1831"/>
      <c r="E33" s="1831"/>
      <c r="F33" s="1831"/>
      <c r="G33" s="1831"/>
      <c r="H33" s="1831"/>
      <c r="I33" s="1831"/>
      <c r="J33" s="1831"/>
      <c r="K33" s="1831"/>
      <c r="L33" s="1831"/>
      <c r="M33" s="1831"/>
      <c r="N33" s="1831"/>
      <c r="O33" s="1832"/>
      <c r="P33" s="1825"/>
    </row>
    <row r="34" spans="1:16">
      <c r="A34" s="1838"/>
      <c r="B34" s="1818"/>
      <c r="C34" s="1818"/>
      <c r="D34" s="1818"/>
      <c r="E34" s="1818"/>
      <c r="F34" s="1818"/>
      <c r="G34" s="1818"/>
      <c r="H34" s="1818"/>
      <c r="I34" s="1818"/>
      <c r="J34" s="1818"/>
      <c r="K34" s="1818"/>
      <c r="L34" s="1818"/>
      <c r="M34" s="1818"/>
      <c r="N34" s="1818"/>
      <c r="O34" s="1818"/>
      <c r="P34" s="1825"/>
    </row>
    <row r="35" spans="1:16" ht="49.5">
      <c r="A35" s="2897" t="s">
        <v>4854</v>
      </c>
      <c r="B35" s="1821" t="s">
        <v>4820</v>
      </c>
      <c r="C35" s="1821" t="s">
        <v>4814</v>
      </c>
      <c r="D35" s="1821" t="s">
        <v>4824</v>
      </c>
      <c r="E35" s="1821" t="s">
        <v>4825</v>
      </c>
      <c r="F35" s="1821" t="s">
        <v>4826</v>
      </c>
      <c r="G35" s="1821" t="s">
        <v>4855</v>
      </c>
      <c r="H35" s="1818"/>
      <c r="I35" s="1818"/>
      <c r="J35" s="1818"/>
      <c r="K35" s="1818"/>
      <c r="L35" s="1818"/>
      <c r="M35" s="1818"/>
      <c r="N35" s="1818"/>
      <c r="O35" s="1818"/>
      <c r="P35" s="1825"/>
    </row>
    <row r="36" spans="1:16">
      <c r="A36" s="2897"/>
      <c r="B36" s="1822" t="s">
        <v>564</v>
      </c>
      <c r="C36" s="1822" t="s">
        <v>1415</v>
      </c>
      <c r="D36" s="1822" t="s">
        <v>278</v>
      </c>
      <c r="E36" s="1822" t="s">
        <v>138</v>
      </c>
      <c r="F36" s="1822" t="s">
        <v>139</v>
      </c>
      <c r="G36" s="1822" t="s">
        <v>199</v>
      </c>
      <c r="H36" s="1825"/>
      <c r="I36" s="1825"/>
      <c r="J36" s="1825"/>
      <c r="K36" s="1825"/>
      <c r="L36" s="1825"/>
      <c r="M36" s="1825"/>
      <c r="N36" s="1825"/>
      <c r="O36" s="1825"/>
      <c r="P36" s="1825"/>
    </row>
    <row r="37" spans="1:16" ht="16.5">
      <c r="A37" s="1830">
        <v>24</v>
      </c>
      <c r="B37" s="1823" t="s">
        <v>4856</v>
      </c>
      <c r="C37" s="1831"/>
      <c r="D37" s="1831"/>
      <c r="E37" s="1831"/>
      <c r="F37" s="1831"/>
      <c r="G37" s="1831"/>
    </row>
    <row r="38" spans="1:16" ht="16.5">
      <c r="A38" s="1830">
        <v>25</v>
      </c>
      <c r="B38" s="1839" t="s">
        <v>4857</v>
      </c>
      <c r="C38" s="1831"/>
      <c r="D38" s="1831"/>
      <c r="E38" s="1831"/>
      <c r="F38" s="1831"/>
      <c r="G38" s="1831"/>
    </row>
    <row r="39" spans="1:16" ht="16.5">
      <c r="A39" s="1830">
        <v>26</v>
      </c>
      <c r="B39" s="1840" t="s">
        <v>4858</v>
      </c>
      <c r="C39" s="1831"/>
      <c r="D39" s="1831"/>
      <c r="E39" s="1831"/>
      <c r="F39" s="1831"/>
      <c r="G39" s="1831"/>
    </row>
    <row r="40" spans="1:16" ht="16.5">
      <c r="A40" s="1830">
        <v>27</v>
      </c>
      <c r="B40" s="1840" t="s">
        <v>4859</v>
      </c>
      <c r="C40" s="1831"/>
      <c r="D40" s="1831"/>
      <c r="E40" s="1831"/>
      <c r="F40" s="1831"/>
      <c r="G40" s="1833"/>
    </row>
    <row r="41" spans="1:16" ht="16.5">
      <c r="A41" s="1830">
        <v>28</v>
      </c>
      <c r="B41" s="1840" t="s">
        <v>4838</v>
      </c>
      <c r="C41" s="1831"/>
      <c r="D41" s="1831"/>
      <c r="E41" s="1831"/>
      <c r="F41" s="1831"/>
      <c r="G41" s="1831"/>
    </row>
    <row r="42" spans="1:16" ht="16.5">
      <c r="A42" s="1830">
        <v>29</v>
      </c>
      <c r="B42" s="1840" t="s">
        <v>4860</v>
      </c>
      <c r="C42" s="1831"/>
      <c r="D42" s="1831"/>
      <c r="E42" s="1831"/>
      <c r="F42" s="1831"/>
      <c r="G42" s="1833"/>
    </row>
    <row r="43" spans="1:16" ht="16.5">
      <c r="A43" s="1830">
        <v>30</v>
      </c>
      <c r="B43" s="1840" t="s">
        <v>4861</v>
      </c>
      <c r="C43" s="1831"/>
      <c r="D43" s="1831"/>
      <c r="E43" s="1831"/>
      <c r="F43" s="1831"/>
      <c r="G43" s="1833"/>
    </row>
    <row r="44" spans="1:16" ht="16.5">
      <c r="A44" s="1830">
        <v>31</v>
      </c>
      <c r="B44" s="1840" t="s">
        <v>4862</v>
      </c>
      <c r="C44" s="1831"/>
      <c r="D44" s="1831"/>
      <c r="E44" s="1831"/>
      <c r="F44" s="1831"/>
      <c r="G44" s="1833"/>
    </row>
    <row r="45" spans="1:16" ht="16.5">
      <c r="A45" s="1830">
        <v>32</v>
      </c>
      <c r="B45" s="1840" t="s">
        <v>4863</v>
      </c>
      <c r="C45" s="1831"/>
      <c r="D45" s="1831"/>
      <c r="E45" s="1831"/>
      <c r="F45" s="1831"/>
      <c r="G45" s="1833"/>
    </row>
    <row r="46" spans="1:16" ht="16.5">
      <c r="A46" s="1830">
        <v>33</v>
      </c>
      <c r="B46" s="1839" t="s">
        <v>4864</v>
      </c>
      <c r="C46" s="1831"/>
      <c r="D46" s="1831"/>
      <c r="E46" s="1831"/>
      <c r="F46" s="1831"/>
      <c r="G46" s="1831"/>
    </row>
    <row r="47" spans="1:16" ht="16.5">
      <c r="A47" s="1830">
        <v>34</v>
      </c>
      <c r="B47" s="1840" t="s">
        <v>4836</v>
      </c>
      <c r="C47" s="1831"/>
      <c r="D47" s="1831"/>
      <c r="E47" s="1831"/>
      <c r="F47" s="1831"/>
      <c r="G47" s="1831"/>
    </row>
    <row r="48" spans="1:16" ht="16.5">
      <c r="A48" s="1830">
        <v>35</v>
      </c>
      <c r="B48" s="1840" t="s">
        <v>4859</v>
      </c>
      <c r="C48" s="1831"/>
      <c r="D48" s="1831"/>
      <c r="E48" s="1831"/>
      <c r="F48" s="1831"/>
      <c r="G48" s="1833"/>
    </row>
    <row r="49" spans="1:7" ht="16.5">
      <c r="A49" s="1830">
        <v>36</v>
      </c>
      <c r="B49" s="1840" t="s">
        <v>4838</v>
      </c>
      <c r="C49" s="1831"/>
      <c r="D49" s="1831"/>
      <c r="E49" s="1831"/>
      <c r="F49" s="1831"/>
      <c r="G49" s="1831"/>
    </row>
    <row r="50" spans="1:7" ht="16.5">
      <c r="A50" s="1830">
        <v>37</v>
      </c>
      <c r="B50" s="1840" t="s">
        <v>4860</v>
      </c>
      <c r="C50" s="1831"/>
      <c r="D50" s="1831"/>
      <c r="E50" s="1831"/>
      <c r="F50" s="1831"/>
      <c r="G50" s="1833"/>
    </row>
    <row r="51" spans="1:7" ht="16.5">
      <c r="A51" s="1830">
        <v>38</v>
      </c>
      <c r="B51" s="1840" t="s">
        <v>4861</v>
      </c>
      <c r="C51" s="1831"/>
      <c r="D51" s="1831"/>
      <c r="E51" s="1831"/>
      <c r="F51" s="1831"/>
      <c r="G51" s="1833"/>
    </row>
    <row r="52" spans="1:7" ht="16.5">
      <c r="A52" s="1830">
        <v>39</v>
      </c>
      <c r="B52" s="1840" t="s">
        <v>4862</v>
      </c>
      <c r="C52" s="1831"/>
      <c r="D52" s="1831"/>
      <c r="E52" s="1831"/>
      <c r="F52" s="1831"/>
      <c r="G52" s="1833"/>
    </row>
    <row r="53" spans="1:7" ht="16.5">
      <c r="A53" s="1830">
        <v>40</v>
      </c>
      <c r="B53" s="1840" t="s">
        <v>4863</v>
      </c>
      <c r="C53" s="1831"/>
      <c r="D53" s="1831"/>
      <c r="E53" s="1831"/>
      <c r="F53" s="1831"/>
      <c r="G53" s="1833"/>
    </row>
    <row r="54" spans="1:7" ht="16.5">
      <c r="A54" s="1830">
        <v>41</v>
      </c>
      <c r="B54" s="1823" t="s">
        <v>4865</v>
      </c>
      <c r="C54" s="1831"/>
      <c r="D54" s="1831"/>
      <c r="E54" s="1831"/>
      <c r="F54" s="1831"/>
      <c r="G54" s="1831"/>
    </row>
    <row r="55" spans="1:7" ht="16.5">
      <c r="A55" s="1830">
        <v>42</v>
      </c>
      <c r="B55" s="1839" t="s">
        <v>4866</v>
      </c>
      <c r="C55" s="1831"/>
      <c r="D55" s="1831"/>
      <c r="E55" s="1831"/>
      <c r="F55" s="1831"/>
      <c r="G55" s="1831"/>
    </row>
    <row r="56" spans="1:7" ht="16.5">
      <c r="A56" s="1830">
        <v>43</v>
      </c>
      <c r="B56" s="1840" t="s">
        <v>4858</v>
      </c>
      <c r="C56" s="1831"/>
      <c r="D56" s="1831"/>
      <c r="E56" s="1831"/>
      <c r="F56" s="1831"/>
      <c r="G56" s="1831"/>
    </row>
    <row r="57" spans="1:7" ht="16.5">
      <c r="A57" s="1830">
        <v>44</v>
      </c>
      <c r="B57" s="1840" t="s">
        <v>4859</v>
      </c>
      <c r="C57" s="1831"/>
      <c r="D57" s="1831"/>
      <c r="E57" s="1831"/>
      <c r="F57" s="1831"/>
      <c r="G57" s="1833"/>
    </row>
    <row r="58" spans="1:7" ht="16.5">
      <c r="A58" s="1830">
        <v>45</v>
      </c>
      <c r="B58" s="1840" t="s">
        <v>4838</v>
      </c>
      <c r="C58" s="1831"/>
      <c r="D58" s="1831"/>
      <c r="E58" s="1831"/>
      <c r="F58" s="1831"/>
      <c r="G58" s="1831"/>
    </row>
    <row r="59" spans="1:7" ht="16.5">
      <c r="A59" s="1830">
        <v>46</v>
      </c>
      <c r="B59" s="1840" t="s">
        <v>4860</v>
      </c>
      <c r="C59" s="1836"/>
      <c r="D59" s="1836"/>
      <c r="E59" s="1836"/>
      <c r="F59" s="1836"/>
      <c r="G59" s="1833"/>
    </row>
    <row r="60" spans="1:7" ht="16.5">
      <c r="A60" s="1830">
        <v>47</v>
      </c>
      <c r="B60" s="1840" t="s">
        <v>4861</v>
      </c>
      <c r="C60" s="1831"/>
      <c r="D60" s="1831"/>
      <c r="E60" s="1831"/>
      <c r="F60" s="1831"/>
      <c r="G60" s="1833"/>
    </row>
    <row r="61" spans="1:7" ht="16.5">
      <c r="A61" s="1830">
        <v>48</v>
      </c>
      <c r="B61" s="1840" t="s">
        <v>4862</v>
      </c>
      <c r="C61" s="1831"/>
      <c r="D61" s="1831"/>
      <c r="E61" s="1831"/>
      <c r="F61" s="1831"/>
      <c r="G61" s="1833"/>
    </row>
    <row r="62" spans="1:7" ht="16.5">
      <c r="A62" s="1830">
        <v>49</v>
      </c>
      <c r="B62" s="1840" t="s">
        <v>4863</v>
      </c>
      <c r="C62" s="1831"/>
      <c r="D62" s="1831"/>
      <c r="E62" s="1831"/>
      <c r="F62" s="1831"/>
      <c r="G62" s="1833"/>
    </row>
    <row r="63" spans="1:7" ht="16.5">
      <c r="A63" s="1830">
        <v>50</v>
      </c>
      <c r="B63" s="1839" t="s">
        <v>4867</v>
      </c>
      <c r="C63" s="1841"/>
      <c r="D63" s="1841"/>
      <c r="E63" s="1841"/>
      <c r="F63" s="1841"/>
      <c r="G63" s="1841"/>
    </row>
    <row r="64" spans="1:7" ht="16.5">
      <c r="A64" s="1830">
        <v>51</v>
      </c>
      <c r="B64" s="1840" t="s">
        <v>4858</v>
      </c>
      <c r="C64" s="1842"/>
      <c r="D64" s="1842"/>
      <c r="E64" s="1842"/>
      <c r="F64" s="1842"/>
      <c r="G64" s="1831"/>
    </row>
    <row r="65" spans="1:7" ht="16.5">
      <c r="A65" s="1830">
        <v>52</v>
      </c>
      <c r="B65" s="1840" t="s">
        <v>4859</v>
      </c>
      <c r="C65" s="1842"/>
      <c r="D65" s="1842"/>
      <c r="E65" s="1842"/>
      <c r="F65" s="1842"/>
      <c r="G65" s="1833"/>
    </row>
    <row r="66" spans="1:7" ht="16.5">
      <c r="A66" s="1830">
        <v>53</v>
      </c>
      <c r="B66" s="1840" t="s">
        <v>4838</v>
      </c>
      <c r="C66" s="1842"/>
      <c r="D66" s="1842"/>
      <c r="E66" s="1842"/>
      <c r="F66" s="1842"/>
      <c r="G66" s="1831"/>
    </row>
    <row r="67" spans="1:7" ht="16.5">
      <c r="A67" s="1830">
        <v>54</v>
      </c>
      <c r="B67" s="1840" t="s">
        <v>4860</v>
      </c>
      <c r="C67" s="1842"/>
      <c r="D67" s="1842"/>
      <c r="E67" s="1842"/>
      <c r="F67" s="1842"/>
      <c r="G67" s="1833"/>
    </row>
    <row r="68" spans="1:7" ht="16.5">
      <c r="A68" s="1830">
        <v>55</v>
      </c>
      <c r="B68" s="1840" t="s">
        <v>4861</v>
      </c>
      <c r="C68" s="1831"/>
      <c r="D68" s="1831"/>
      <c r="E68" s="1831"/>
      <c r="F68" s="1831"/>
      <c r="G68" s="1833"/>
    </row>
    <row r="69" spans="1:7" ht="16.5">
      <c r="A69" s="1830">
        <v>56</v>
      </c>
      <c r="B69" s="1840" t="s">
        <v>4862</v>
      </c>
      <c r="C69" s="1831"/>
      <c r="D69" s="1831"/>
      <c r="E69" s="1831"/>
      <c r="F69" s="1831"/>
      <c r="G69" s="1833"/>
    </row>
    <row r="70" spans="1:7" ht="16.5">
      <c r="A70" s="1830">
        <v>57</v>
      </c>
      <c r="B70" s="1840" t="s">
        <v>4863</v>
      </c>
      <c r="C70" s="1831"/>
      <c r="D70" s="1831"/>
      <c r="E70" s="1831"/>
      <c r="F70" s="1831"/>
      <c r="G70" s="1833"/>
    </row>
    <row r="71" spans="1:7">
      <c r="A71" s="1820"/>
      <c r="B71" s="1820"/>
      <c r="C71" s="1820"/>
      <c r="D71" s="1820"/>
      <c r="E71" s="1820"/>
      <c r="F71" s="1820"/>
      <c r="G71" s="1820"/>
    </row>
    <row r="72" spans="1:7" ht="16.5">
      <c r="A72" s="1824" t="s">
        <v>4868</v>
      </c>
      <c r="B72" s="1820"/>
      <c r="C72" s="1820"/>
      <c r="D72" s="1820"/>
      <c r="E72" s="1820"/>
      <c r="F72" s="1820"/>
      <c r="G72" s="1820"/>
    </row>
    <row r="73" spans="1:7" ht="16.5">
      <c r="A73" s="1843" t="s">
        <v>1416</v>
      </c>
      <c r="B73" s="1817" t="s">
        <v>4869</v>
      </c>
      <c r="C73" s="1820"/>
      <c r="D73" s="1820"/>
      <c r="E73" s="1820"/>
      <c r="F73" s="1820"/>
      <c r="G73" s="1820"/>
    </row>
    <row r="74" spans="1:7" ht="16.5">
      <c r="A74" s="1843" t="s">
        <v>76</v>
      </c>
      <c r="B74" s="1817" t="s">
        <v>4870</v>
      </c>
      <c r="C74" s="1820"/>
      <c r="D74" s="1820"/>
      <c r="E74" s="1820"/>
      <c r="F74" s="1820"/>
      <c r="G74" s="1820"/>
    </row>
    <row r="75" spans="1:7" ht="16.5">
      <c r="A75" s="1843" t="s">
        <v>77</v>
      </c>
      <c r="B75" s="1844" t="s">
        <v>4871</v>
      </c>
      <c r="C75" s="1820"/>
      <c r="D75" s="1820"/>
      <c r="E75" s="1820"/>
      <c r="F75" s="1820"/>
      <c r="G75" s="1820"/>
    </row>
    <row r="76" spans="1:7" ht="16.5">
      <c r="A76" s="1843" t="s">
        <v>78</v>
      </c>
      <c r="B76" s="1844" t="s">
        <v>4872</v>
      </c>
      <c r="C76" s="1820"/>
      <c r="D76" s="1820"/>
      <c r="E76" s="1820"/>
      <c r="F76" s="1820"/>
      <c r="G76" s="1820"/>
    </row>
    <row r="77" spans="1:7" ht="16.5">
      <c r="A77" s="1843" t="s">
        <v>79</v>
      </c>
      <c r="B77" s="1844" t="s">
        <v>4873</v>
      </c>
      <c r="C77" s="1820"/>
      <c r="D77" s="1820"/>
      <c r="E77" s="1820"/>
      <c r="F77" s="1820"/>
      <c r="G77" s="1820"/>
    </row>
    <row r="78" spans="1:7" ht="16.5">
      <c r="A78" s="1843" t="s">
        <v>80</v>
      </c>
      <c r="B78" s="1844" t="s">
        <v>4874</v>
      </c>
      <c r="C78" s="1820"/>
      <c r="D78" s="1820"/>
      <c r="E78" s="1820"/>
      <c r="F78" s="1820"/>
      <c r="G78" s="1820"/>
    </row>
    <row r="79" spans="1:7" ht="16.5">
      <c r="A79" s="1843">
        <v>7</v>
      </c>
      <c r="B79" s="1844" t="s">
        <v>4875</v>
      </c>
      <c r="C79" s="1820"/>
      <c r="D79" s="1820"/>
      <c r="E79" s="1820"/>
      <c r="F79" s="1820"/>
      <c r="G79" s="1820"/>
    </row>
    <row r="80" spans="1:7" ht="16.5">
      <c r="A80" s="1843">
        <v>8</v>
      </c>
      <c r="B80" s="1844" t="s">
        <v>4876</v>
      </c>
      <c r="C80" s="1820"/>
      <c r="D80" s="1820"/>
      <c r="E80" s="1820"/>
      <c r="F80" s="1820"/>
      <c r="G80" s="1820"/>
    </row>
    <row r="81" spans="1:7" ht="16.5">
      <c r="A81" s="1843">
        <v>9</v>
      </c>
      <c r="B81" s="1844" t="s">
        <v>4877</v>
      </c>
      <c r="C81" s="1820"/>
      <c r="D81" s="1820"/>
      <c r="E81" s="1820"/>
      <c r="F81" s="1820"/>
      <c r="G81" s="1820"/>
    </row>
    <row r="82" spans="1:7" ht="16.5">
      <c r="A82" s="1843">
        <v>10</v>
      </c>
      <c r="B82" s="1844" t="s">
        <v>4878</v>
      </c>
      <c r="C82" s="1820"/>
      <c r="D82" s="1820"/>
      <c r="E82" s="1820"/>
      <c r="F82" s="1820"/>
      <c r="G82" s="1820"/>
    </row>
    <row r="83" spans="1:7" ht="16.5">
      <c r="A83" s="2687">
        <v>11</v>
      </c>
      <c r="B83" s="2654" t="s">
        <v>8442</v>
      </c>
    </row>
  </sheetData>
  <mergeCells count="4">
    <mergeCell ref="O3:O4"/>
    <mergeCell ref="A35:A36"/>
    <mergeCell ref="A3:A5"/>
    <mergeCell ref="B3:B4"/>
  </mergeCells>
  <phoneticPr fontId="30"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tabColor rgb="FFFFFF00"/>
    <pageSetUpPr fitToPage="1"/>
  </sheetPr>
  <dimension ref="A1:IU42"/>
  <sheetViews>
    <sheetView view="pageBreakPreview" topLeftCell="A16" zoomScale="110" zoomScaleNormal="100" zoomScaleSheetLayoutView="110" workbookViewId="0">
      <selection activeCell="A42" sqref="A42:B42"/>
    </sheetView>
  </sheetViews>
  <sheetFormatPr defaultColWidth="9" defaultRowHeight="14.25" customHeight="1"/>
  <cols>
    <col min="1" max="1" width="5.125" style="1525" customWidth="1"/>
    <col min="2" max="2" width="5.5" style="1525" customWidth="1"/>
    <col min="3" max="3" width="44.5" style="1525" customWidth="1"/>
    <col min="4" max="4" width="5.375" style="1525" customWidth="1"/>
    <col min="5" max="5" width="10.625" style="1525" customWidth="1"/>
    <col min="6" max="7" width="4.875" style="1525" customWidth="1"/>
    <col min="8" max="8" width="11.5" style="1525" customWidth="1"/>
    <col min="9" max="9" width="6.375" style="1525" customWidth="1"/>
    <col min="10" max="10" width="6.25" style="1525" customWidth="1"/>
    <col min="11" max="11" width="6.75" style="1525" customWidth="1"/>
    <col min="12" max="12" width="5.625" style="1525" customWidth="1"/>
    <col min="13" max="13" width="16" style="1525" customWidth="1"/>
    <col min="14" max="14" width="14.375" style="1525" customWidth="1"/>
    <col min="15" max="15" width="13.125" style="1525" customWidth="1"/>
    <col min="16" max="16" width="12.625" style="1525" customWidth="1"/>
    <col min="17" max="17" width="13.875" style="1525" customWidth="1"/>
    <col min="18" max="18" width="6.75" style="1525" customWidth="1"/>
    <col min="19" max="19" width="6.875" style="1525" customWidth="1"/>
    <col min="20" max="20" width="8.625" style="1525" customWidth="1"/>
    <col min="21" max="21" width="10.5" style="1524" customWidth="1"/>
    <col min="22" max="22" width="7.125" style="1524" customWidth="1"/>
    <col min="23" max="23" width="6.5" style="1524" customWidth="1"/>
    <col min="24" max="24" width="9.25" style="1524" customWidth="1"/>
    <col min="25" max="28" width="12.625" style="1524" customWidth="1"/>
    <col min="29" max="29" width="15.125" style="1524" customWidth="1"/>
    <col min="30" max="30" width="14.75" style="1524" customWidth="1"/>
    <col min="31" max="31" width="12.625" style="1524" customWidth="1"/>
    <col min="32" max="32" width="17.375" style="1525" customWidth="1"/>
    <col min="33" max="16384" width="9" style="1525"/>
  </cols>
  <sheetData>
    <row r="1" spans="1:255" ht="16.5">
      <c r="A1" s="2186" t="str">
        <f>+封面!A3&amp;" "&amp;封面!A2</f>
        <v xml:space="preserve"> 中央再保險股份有限公司 年度檢查報表</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row>
    <row r="2" spans="1:255">
      <c r="A2" s="57" t="s">
        <v>4383</v>
      </c>
      <c r="B2" s="57"/>
      <c r="C2" s="57"/>
      <c r="D2" s="57"/>
      <c r="E2" s="57"/>
      <c r="F2" s="57"/>
      <c r="G2" s="57"/>
      <c r="H2" s="57"/>
      <c r="I2" s="57"/>
      <c r="J2" s="57"/>
      <c r="K2" s="57"/>
      <c r="L2" s="57"/>
      <c r="M2" s="57"/>
      <c r="N2" s="57"/>
      <c r="O2" s="57"/>
      <c r="P2" s="57"/>
      <c r="Q2" s="57"/>
      <c r="R2" s="57" t="s">
        <v>4354</v>
      </c>
      <c r="S2" s="57"/>
      <c r="T2" s="57"/>
      <c r="U2" s="57"/>
      <c r="V2" s="57"/>
      <c r="W2" s="57"/>
      <c r="Z2" s="57"/>
      <c r="AA2" s="57"/>
      <c r="AB2" s="57"/>
      <c r="AC2" s="57"/>
      <c r="AD2" s="57"/>
      <c r="AE2" s="57"/>
      <c r="AF2" s="57"/>
    </row>
    <row r="3" spans="1:255" ht="14.25" customHeight="1">
      <c r="A3" s="2912" t="s">
        <v>3625</v>
      </c>
      <c r="B3" s="2901" t="s">
        <v>4384</v>
      </c>
      <c r="C3" s="2913" t="s">
        <v>4385</v>
      </c>
      <c r="D3" s="2902" t="s">
        <v>4386</v>
      </c>
      <c r="E3" s="2912" t="s">
        <v>4387</v>
      </c>
      <c r="F3" s="2901" t="s">
        <v>4388</v>
      </c>
      <c r="G3" s="2901" t="s">
        <v>4389</v>
      </c>
      <c r="H3" s="2901" t="s">
        <v>4390</v>
      </c>
      <c r="I3" s="2901" t="s">
        <v>4391</v>
      </c>
      <c r="J3" s="2901"/>
      <c r="K3" s="2901"/>
      <c r="L3" s="2901" t="s">
        <v>4392</v>
      </c>
      <c r="M3" s="2901" t="s">
        <v>4393</v>
      </c>
      <c r="N3" s="2901" t="s">
        <v>4394</v>
      </c>
      <c r="O3" s="2902" t="s">
        <v>4395</v>
      </c>
      <c r="P3" s="2902" t="s">
        <v>4396</v>
      </c>
      <c r="Q3" s="2901" t="s">
        <v>4397</v>
      </c>
      <c r="R3" s="2899" t="s">
        <v>4398</v>
      </c>
      <c r="S3" s="2900"/>
      <c r="T3" s="2901" t="s">
        <v>4399</v>
      </c>
      <c r="U3" s="2902" t="s">
        <v>4400</v>
      </c>
      <c r="V3" s="2902" t="s">
        <v>4401</v>
      </c>
      <c r="W3" s="2899" t="s">
        <v>4402</v>
      </c>
      <c r="X3" s="2904"/>
      <c r="Y3" s="2900"/>
      <c r="Z3" s="2899" t="s">
        <v>4403</v>
      </c>
      <c r="AA3" s="2904"/>
      <c r="AB3" s="2900"/>
      <c r="AC3" s="2905" t="s">
        <v>4404</v>
      </c>
      <c r="AD3" s="2899" t="s">
        <v>4405</v>
      </c>
      <c r="AE3" s="2904"/>
      <c r="AF3" s="2900"/>
      <c r="AG3" s="2905" t="s">
        <v>4406</v>
      </c>
      <c r="AH3" s="2905" t="s">
        <v>4407</v>
      </c>
      <c r="AI3" s="2911" t="s">
        <v>2574</v>
      </c>
      <c r="AJ3" s="2901" t="s">
        <v>4248</v>
      </c>
      <c r="AK3" s="2907"/>
      <c r="AL3" s="2907"/>
      <c r="AM3" s="2907"/>
      <c r="AN3" s="2907"/>
      <c r="AO3" s="2907"/>
      <c r="AP3" s="2907"/>
      <c r="AQ3" s="2907"/>
      <c r="AR3" s="2907"/>
      <c r="AS3" s="2907"/>
      <c r="AT3" s="2907"/>
      <c r="AU3" s="2907"/>
      <c r="AV3" s="2907"/>
      <c r="AW3" s="2907"/>
      <c r="AX3" s="2908"/>
      <c r="AY3" s="2908"/>
      <c r="AZ3" s="2908"/>
      <c r="BA3" s="2908"/>
      <c r="BB3" s="2908"/>
      <c r="BC3" s="2908"/>
      <c r="BD3" s="2908"/>
      <c r="BE3" s="2908"/>
      <c r="BF3" s="2908"/>
      <c r="BG3" s="2908"/>
      <c r="BH3" s="2908"/>
      <c r="BI3" s="2908"/>
      <c r="BJ3" s="2908"/>
      <c r="BK3" s="2907"/>
      <c r="BL3" s="2908"/>
      <c r="BM3" s="2907"/>
      <c r="BN3" s="2907"/>
      <c r="BO3" s="2907"/>
      <c r="BP3" s="2908"/>
      <c r="BQ3" s="2907"/>
      <c r="BR3" s="2907"/>
      <c r="BS3" s="2907"/>
      <c r="BT3" s="2907"/>
      <c r="BU3" s="2907"/>
      <c r="BV3" s="2907"/>
      <c r="BW3" s="2907"/>
      <c r="BX3" s="2907"/>
      <c r="BY3" s="2907"/>
      <c r="BZ3" s="2907"/>
      <c r="CA3" s="2907"/>
      <c r="CB3" s="2907"/>
      <c r="CC3" s="2907"/>
      <c r="CD3" s="2908"/>
      <c r="CE3" s="2908"/>
      <c r="CF3" s="2908"/>
      <c r="CG3" s="2908"/>
      <c r="CH3" s="2908"/>
      <c r="CI3" s="2908"/>
      <c r="CJ3" s="2908"/>
      <c r="CK3" s="2908"/>
      <c r="CL3" s="2908"/>
      <c r="CM3" s="2908"/>
      <c r="CN3" s="2908"/>
      <c r="CO3" s="2908"/>
      <c r="CP3" s="2908"/>
      <c r="CQ3" s="2907"/>
      <c r="CR3" s="2908"/>
      <c r="CS3" s="2907"/>
      <c r="CT3" s="2907"/>
      <c r="CU3" s="2907"/>
      <c r="CV3" s="2908"/>
      <c r="CW3" s="2907"/>
      <c r="CX3" s="2907"/>
      <c r="CY3" s="2907"/>
      <c r="CZ3" s="2907"/>
      <c r="DA3" s="2907"/>
      <c r="DB3" s="2907"/>
      <c r="DC3" s="2907"/>
      <c r="DD3" s="2907"/>
      <c r="DE3" s="2907"/>
      <c r="DF3" s="2907"/>
      <c r="DG3" s="2907"/>
      <c r="DH3" s="2907"/>
      <c r="DI3" s="2907"/>
      <c r="DJ3" s="2908"/>
      <c r="DK3" s="2908"/>
      <c r="DL3" s="2908"/>
      <c r="DM3" s="2908"/>
      <c r="DN3" s="2908"/>
      <c r="DO3" s="2908"/>
      <c r="DP3" s="2908"/>
      <c r="DQ3" s="2908"/>
      <c r="DR3" s="2908"/>
      <c r="DS3" s="2908"/>
      <c r="DT3" s="2908"/>
      <c r="DU3" s="2908"/>
      <c r="DV3" s="2908"/>
      <c r="DW3" s="2907"/>
      <c r="DX3" s="2908"/>
      <c r="DY3" s="2907"/>
      <c r="DZ3" s="2907"/>
      <c r="EA3" s="2907"/>
      <c r="EB3" s="2908"/>
      <c r="EC3" s="2907"/>
      <c r="ED3" s="2907"/>
      <c r="EE3" s="2907"/>
      <c r="EF3" s="2907"/>
      <c r="EG3" s="2907"/>
      <c r="EH3" s="2907"/>
      <c r="EI3" s="2907"/>
      <c r="EJ3" s="2907"/>
      <c r="EK3" s="2907"/>
      <c r="EL3" s="2907"/>
      <c r="EM3" s="2907"/>
      <c r="EN3" s="2907"/>
      <c r="EO3" s="2907"/>
      <c r="EP3" s="2908"/>
      <c r="EQ3" s="2908"/>
      <c r="ER3" s="2908"/>
      <c r="ES3" s="2908"/>
      <c r="ET3" s="2908"/>
      <c r="EU3" s="2908"/>
      <c r="EV3" s="2908"/>
      <c r="EW3" s="2908"/>
      <c r="EX3" s="2908"/>
      <c r="EY3" s="2908"/>
      <c r="EZ3" s="2908"/>
      <c r="FA3" s="2908"/>
      <c r="FB3" s="2908"/>
      <c r="FC3" s="2907"/>
      <c r="FD3" s="2908"/>
      <c r="FE3" s="2907"/>
      <c r="FF3" s="2907"/>
      <c r="FG3" s="2907"/>
      <c r="FH3" s="2908"/>
      <c r="FI3" s="2907"/>
      <c r="FJ3" s="2907"/>
      <c r="FK3" s="2907"/>
      <c r="FL3" s="2907"/>
      <c r="FM3" s="2907"/>
      <c r="FN3" s="2907"/>
      <c r="FO3" s="2907"/>
      <c r="FP3" s="2907"/>
      <c r="FQ3" s="2907"/>
      <c r="FR3" s="2907"/>
      <c r="FS3" s="2907"/>
      <c r="FT3" s="2907"/>
      <c r="FU3" s="2907"/>
      <c r="FV3" s="2908"/>
      <c r="FW3" s="2908"/>
      <c r="FX3" s="2908"/>
      <c r="FY3" s="2908"/>
      <c r="FZ3" s="2908"/>
      <c r="GA3" s="2908"/>
      <c r="GB3" s="2908"/>
      <c r="GC3" s="2908"/>
      <c r="GD3" s="2908"/>
      <c r="GE3" s="2908"/>
      <c r="GF3" s="2908"/>
      <c r="GG3" s="2908"/>
      <c r="GH3" s="2908"/>
      <c r="GI3" s="2907"/>
      <c r="GJ3" s="2908"/>
      <c r="GK3" s="2907"/>
      <c r="GL3" s="2907"/>
      <c r="GM3" s="2907"/>
      <c r="GN3" s="2908"/>
      <c r="GO3" s="2907"/>
      <c r="GP3" s="2907"/>
      <c r="GQ3" s="2907"/>
      <c r="GR3" s="2907"/>
      <c r="GS3" s="2907"/>
      <c r="GT3" s="2907"/>
      <c r="GU3" s="2907"/>
      <c r="GV3" s="2907"/>
      <c r="GW3" s="2907"/>
      <c r="GX3" s="2907"/>
      <c r="GY3" s="2907"/>
      <c r="GZ3" s="2907"/>
      <c r="HA3" s="2907"/>
      <c r="HB3" s="2908"/>
      <c r="HC3" s="2908"/>
      <c r="HD3" s="2908"/>
      <c r="HE3" s="2908"/>
      <c r="HF3" s="2908"/>
      <c r="HG3" s="2908"/>
      <c r="HH3" s="2908"/>
      <c r="HI3" s="2908"/>
      <c r="HJ3" s="2908"/>
      <c r="HK3" s="2908"/>
      <c r="HL3" s="2908"/>
      <c r="HM3" s="2908"/>
      <c r="HN3" s="2908"/>
      <c r="HO3" s="2907"/>
      <c r="HP3" s="2908"/>
      <c r="HQ3" s="2907"/>
      <c r="HR3" s="2907"/>
      <c r="HS3" s="2907"/>
      <c r="HT3" s="2908"/>
      <c r="HU3" s="2907"/>
      <c r="HV3" s="2907"/>
      <c r="HW3" s="2907"/>
      <c r="HX3" s="2907"/>
      <c r="HY3" s="2907"/>
      <c r="HZ3" s="2907"/>
      <c r="IA3" s="2907"/>
      <c r="IB3" s="2907"/>
      <c r="IC3" s="2907"/>
      <c r="ID3" s="2907"/>
      <c r="IE3" s="2907"/>
      <c r="IF3" s="2907"/>
      <c r="IG3" s="2907"/>
      <c r="IH3" s="2908"/>
      <c r="II3" s="2908"/>
      <c r="IJ3" s="2908"/>
      <c r="IK3" s="2908"/>
      <c r="IL3" s="2908"/>
      <c r="IM3" s="2908"/>
      <c r="IN3" s="2908"/>
      <c r="IO3" s="2908"/>
      <c r="IP3" s="2908"/>
      <c r="IQ3" s="2908"/>
      <c r="IR3" s="2908"/>
      <c r="IS3" s="2908"/>
      <c r="IT3" s="2908"/>
      <c r="IU3" s="2907"/>
    </row>
    <row r="4" spans="1:255" ht="85.5">
      <c r="A4" s="2912"/>
      <c r="B4" s="2902"/>
      <c r="C4" s="2914"/>
      <c r="D4" s="2903"/>
      <c r="E4" s="2905"/>
      <c r="F4" s="2902"/>
      <c r="G4" s="2902"/>
      <c r="H4" s="2902" t="s">
        <v>4408</v>
      </c>
      <c r="I4" s="1981" t="s">
        <v>4249</v>
      </c>
      <c r="J4" s="1981" t="s">
        <v>4250</v>
      </c>
      <c r="K4" s="1981" t="s">
        <v>4253</v>
      </c>
      <c r="L4" s="2902"/>
      <c r="M4" s="2902"/>
      <c r="N4" s="2902"/>
      <c r="O4" s="2903"/>
      <c r="P4" s="2903"/>
      <c r="Q4" s="2902"/>
      <c r="R4" s="1981" t="s">
        <v>4409</v>
      </c>
      <c r="S4" s="1981" t="s">
        <v>4410</v>
      </c>
      <c r="T4" s="2902"/>
      <c r="U4" s="2903"/>
      <c r="V4" s="2903"/>
      <c r="W4" s="1526" t="s">
        <v>4249</v>
      </c>
      <c r="X4" s="1983" t="s">
        <v>4250</v>
      </c>
      <c r="Y4" s="1983" t="s">
        <v>4411</v>
      </c>
      <c r="Z4" s="1526" t="s">
        <v>4249</v>
      </c>
      <c r="AA4" s="1983" t="s">
        <v>4250</v>
      </c>
      <c r="AB4" s="1983" t="s">
        <v>4411</v>
      </c>
      <c r="AC4" s="2906"/>
      <c r="AD4" s="1526" t="s">
        <v>4249</v>
      </c>
      <c r="AE4" s="1983" t="s">
        <v>4250</v>
      </c>
      <c r="AF4" s="1983" t="s">
        <v>4411</v>
      </c>
      <c r="AG4" s="2910"/>
      <c r="AH4" s="2906"/>
      <c r="AI4" s="2906"/>
      <c r="AJ4" s="2902"/>
      <c r="AK4" s="2907"/>
      <c r="AL4" s="2907"/>
      <c r="AM4" s="2907"/>
      <c r="AN4" s="1982"/>
      <c r="AO4" s="1982"/>
      <c r="AP4" s="1982"/>
      <c r="AQ4" s="2907"/>
      <c r="AR4" s="2907"/>
      <c r="AS4" s="2907"/>
      <c r="AT4" s="2907"/>
      <c r="AU4" s="2907"/>
      <c r="AV4" s="2907"/>
      <c r="AW4" s="2907"/>
      <c r="AX4" s="469"/>
      <c r="AY4" s="1982"/>
      <c r="AZ4" s="1982"/>
      <c r="BA4" s="469"/>
      <c r="BB4" s="1982"/>
      <c r="BC4" s="1982"/>
      <c r="BD4" s="2909"/>
      <c r="BE4" s="469"/>
      <c r="BF4" s="1982"/>
      <c r="BG4" s="1982"/>
      <c r="BH4" s="2908"/>
      <c r="BI4" s="2909"/>
      <c r="BJ4" s="2909"/>
      <c r="BK4" s="2907"/>
      <c r="BL4" s="2908"/>
      <c r="BM4" s="2907"/>
      <c r="BN4" s="2907"/>
      <c r="BO4" s="2907"/>
      <c r="BP4" s="2908"/>
      <c r="BQ4" s="2907"/>
      <c r="BR4" s="2907"/>
      <c r="BS4" s="2907"/>
      <c r="BT4" s="1982"/>
      <c r="BU4" s="1982"/>
      <c r="BV4" s="1982"/>
      <c r="BW4" s="2907"/>
      <c r="BX4" s="2907"/>
      <c r="BY4" s="2907"/>
      <c r="BZ4" s="2907"/>
      <c r="CA4" s="2907"/>
      <c r="CB4" s="2907"/>
      <c r="CC4" s="2907"/>
      <c r="CD4" s="469"/>
      <c r="CE4" s="1982"/>
      <c r="CF4" s="1982"/>
      <c r="CG4" s="469"/>
      <c r="CH4" s="1982"/>
      <c r="CI4" s="1982"/>
      <c r="CJ4" s="2909"/>
      <c r="CK4" s="469"/>
      <c r="CL4" s="1982"/>
      <c r="CM4" s="1982"/>
      <c r="CN4" s="2908"/>
      <c r="CO4" s="2909"/>
      <c r="CP4" s="2909"/>
      <c r="CQ4" s="2907"/>
      <c r="CR4" s="2908"/>
      <c r="CS4" s="2907"/>
      <c r="CT4" s="2907"/>
      <c r="CU4" s="2907"/>
      <c r="CV4" s="2908"/>
      <c r="CW4" s="2907"/>
      <c r="CX4" s="2907"/>
      <c r="CY4" s="2907"/>
      <c r="CZ4" s="1982"/>
      <c r="DA4" s="1982"/>
      <c r="DB4" s="1982"/>
      <c r="DC4" s="2907"/>
      <c r="DD4" s="2907"/>
      <c r="DE4" s="2907"/>
      <c r="DF4" s="2907"/>
      <c r="DG4" s="2907"/>
      <c r="DH4" s="2907"/>
      <c r="DI4" s="2907"/>
      <c r="DJ4" s="469"/>
      <c r="DK4" s="1982"/>
      <c r="DL4" s="1982"/>
      <c r="DM4" s="469"/>
      <c r="DN4" s="1982"/>
      <c r="DO4" s="1982"/>
      <c r="DP4" s="2909"/>
      <c r="DQ4" s="469"/>
      <c r="DR4" s="1982"/>
      <c r="DS4" s="1982"/>
      <c r="DT4" s="2908"/>
      <c r="DU4" s="2909"/>
      <c r="DV4" s="2909"/>
      <c r="DW4" s="2907"/>
      <c r="DX4" s="2908"/>
      <c r="DY4" s="2907"/>
      <c r="DZ4" s="2907"/>
      <c r="EA4" s="2907"/>
      <c r="EB4" s="2908"/>
      <c r="EC4" s="2907"/>
      <c r="ED4" s="2907"/>
      <c r="EE4" s="2907"/>
      <c r="EF4" s="1982"/>
      <c r="EG4" s="1982"/>
      <c r="EH4" s="1982"/>
      <c r="EI4" s="2907"/>
      <c r="EJ4" s="2907"/>
      <c r="EK4" s="2907"/>
      <c r="EL4" s="2907"/>
      <c r="EM4" s="2907"/>
      <c r="EN4" s="2907"/>
      <c r="EO4" s="2907"/>
      <c r="EP4" s="469"/>
      <c r="EQ4" s="1982"/>
      <c r="ER4" s="1982"/>
      <c r="ES4" s="469"/>
      <c r="ET4" s="1982"/>
      <c r="EU4" s="1982"/>
      <c r="EV4" s="2909"/>
      <c r="EW4" s="469"/>
      <c r="EX4" s="1982"/>
      <c r="EY4" s="1982"/>
      <c r="EZ4" s="2908"/>
      <c r="FA4" s="2909"/>
      <c r="FB4" s="2909"/>
      <c r="FC4" s="2907"/>
      <c r="FD4" s="2908"/>
      <c r="FE4" s="2907"/>
      <c r="FF4" s="2907"/>
      <c r="FG4" s="2907"/>
      <c r="FH4" s="2908"/>
      <c r="FI4" s="2907"/>
      <c r="FJ4" s="2907"/>
      <c r="FK4" s="2907"/>
      <c r="FL4" s="1982"/>
      <c r="FM4" s="1982"/>
      <c r="FN4" s="1982"/>
      <c r="FO4" s="2907"/>
      <c r="FP4" s="2907"/>
      <c r="FQ4" s="2907"/>
      <c r="FR4" s="2907"/>
      <c r="FS4" s="2907"/>
      <c r="FT4" s="2907"/>
      <c r="FU4" s="2907"/>
      <c r="FV4" s="469"/>
      <c r="FW4" s="1982"/>
      <c r="FX4" s="1982"/>
      <c r="FY4" s="469"/>
      <c r="FZ4" s="1982"/>
      <c r="GA4" s="1982"/>
      <c r="GB4" s="2909"/>
      <c r="GC4" s="469"/>
      <c r="GD4" s="1982"/>
      <c r="GE4" s="1982"/>
      <c r="GF4" s="2908"/>
      <c r="GG4" s="2909"/>
      <c r="GH4" s="2909"/>
      <c r="GI4" s="2907"/>
      <c r="GJ4" s="2908"/>
      <c r="GK4" s="2907"/>
      <c r="GL4" s="2907"/>
      <c r="GM4" s="2907"/>
      <c r="GN4" s="2908"/>
      <c r="GO4" s="2907"/>
      <c r="GP4" s="2907"/>
      <c r="GQ4" s="2907"/>
      <c r="GR4" s="1982"/>
      <c r="GS4" s="1982"/>
      <c r="GT4" s="1982"/>
      <c r="GU4" s="2907"/>
      <c r="GV4" s="2907"/>
      <c r="GW4" s="2907"/>
      <c r="GX4" s="2907"/>
      <c r="GY4" s="2907"/>
      <c r="GZ4" s="2907"/>
      <c r="HA4" s="2907"/>
      <c r="HB4" s="469"/>
      <c r="HC4" s="1982"/>
      <c r="HD4" s="1982"/>
      <c r="HE4" s="469"/>
      <c r="HF4" s="1982"/>
      <c r="HG4" s="1982"/>
      <c r="HH4" s="2909"/>
      <c r="HI4" s="469"/>
      <c r="HJ4" s="1982"/>
      <c r="HK4" s="1982"/>
      <c r="HL4" s="2908"/>
      <c r="HM4" s="2909"/>
      <c r="HN4" s="2909"/>
      <c r="HO4" s="2907"/>
      <c r="HP4" s="2908"/>
      <c r="HQ4" s="2907"/>
      <c r="HR4" s="2907"/>
      <c r="HS4" s="2907"/>
      <c r="HT4" s="2908"/>
      <c r="HU4" s="2907"/>
      <c r="HV4" s="2907"/>
      <c r="HW4" s="2907"/>
      <c r="HX4" s="1982"/>
      <c r="HY4" s="1982"/>
      <c r="HZ4" s="1982"/>
      <c r="IA4" s="2907"/>
      <c r="IB4" s="2907"/>
      <c r="IC4" s="2907"/>
      <c r="ID4" s="2907"/>
      <c r="IE4" s="2907"/>
      <c r="IF4" s="2907"/>
      <c r="IG4" s="2907"/>
      <c r="IH4" s="469"/>
      <c r="II4" s="1982"/>
      <c r="IJ4" s="1982"/>
      <c r="IK4" s="469"/>
      <c r="IL4" s="1982"/>
      <c r="IM4" s="1982"/>
      <c r="IN4" s="2909"/>
      <c r="IO4" s="469"/>
      <c r="IP4" s="1982"/>
      <c r="IQ4" s="1982"/>
      <c r="IR4" s="2908"/>
      <c r="IS4" s="2909"/>
      <c r="IT4" s="2909"/>
      <c r="IU4" s="2907"/>
    </row>
    <row r="5" spans="1:255" ht="62.65" customHeight="1">
      <c r="A5" s="2912"/>
      <c r="B5" s="1246" t="s">
        <v>66</v>
      </c>
      <c r="C5" s="1246" t="s">
        <v>67</v>
      </c>
      <c r="D5" s="1246" t="s">
        <v>68</v>
      </c>
      <c r="E5" s="1246" t="s">
        <v>69</v>
      </c>
      <c r="F5" s="1246" t="s">
        <v>70</v>
      </c>
      <c r="G5" s="1246" t="s">
        <v>71</v>
      </c>
      <c r="H5" s="1246" t="s">
        <v>72</v>
      </c>
      <c r="I5" s="1246" t="s">
        <v>73</v>
      </c>
      <c r="J5" s="1246" t="s">
        <v>74</v>
      </c>
      <c r="K5" s="1246" t="s">
        <v>75</v>
      </c>
      <c r="L5" s="1246" t="s">
        <v>225</v>
      </c>
      <c r="M5" s="1246" t="s">
        <v>226</v>
      </c>
      <c r="N5" s="1246" t="s">
        <v>274</v>
      </c>
      <c r="O5" s="1246" t="s">
        <v>275</v>
      </c>
      <c r="P5" s="1246" t="s">
        <v>276</v>
      </c>
      <c r="Q5" s="1246" t="s">
        <v>277</v>
      </c>
      <c r="R5" s="1246" t="s">
        <v>278</v>
      </c>
      <c r="S5" s="1246" t="s">
        <v>1019</v>
      </c>
      <c r="T5" s="1246" t="s">
        <v>1020</v>
      </c>
      <c r="U5" s="1246" t="s">
        <v>1021</v>
      </c>
      <c r="V5" s="1246" t="s">
        <v>1022</v>
      </c>
      <c r="W5" s="1246" t="s">
        <v>1023</v>
      </c>
      <c r="X5" s="1246" t="s">
        <v>1024</v>
      </c>
      <c r="Y5" s="1246" t="s">
        <v>243</v>
      </c>
      <c r="Z5" s="1246" t="s">
        <v>244</v>
      </c>
      <c r="AA5" s="1246" t="s">
        <v>245</v>
      </c>
      <c r="AB5" s="1246" t="s">
        <v>246</v>
      </c>
      <c r="AC5" s="1246" t="s">
        <v>247</v>
      </c>
      <c r="AD5" s="1246" t="s">
        <v>248</v>
      </c>
      <c r="AE5" s="1246" t="s">
        <v>249</v>
      </c>
      <c r="AF5" s="1246" t="s">
        <v>1025</v>
      </c>
      <c r="AG5" s="1246" t="s">
        <v>1026</v>
      </c>
      <c r="AH5" s="1246" t="s">
        <v>1148</v>
      </c>
      <c r="AI5" s="1246" t="s">
        <v>1027</v>
      </c>
      <c r="AJ5" s="1246" t="s">
        <v>3381</v>
      </c>
      <c r="AK5" s="1527"/>
      <c r="AL5" s="1527"/>
      <c r="AM5" s="1527"/>
      <c r="AN5" s="1527"/>
      <c r="AO5" s="1527"/>
      <c r="AP5" s="1527"/>
      <c r="AQ5" s="1527"/>
      <c r="AR5" s="1527"/>
      <c r="AS5" s="1527"/>
      <c r="AT5" s="1527"/>
      <c r="AU5" s="1527"/>
      <c r="AV5" s="1527"/>
      <c r="AW5" s="1527"/>
      <c r="AX5" s="1527"/>
      <c r="AY5" s="1527"/>
      <c r="AZ5" s="1527"/>
      <c r="BA5" s="1527"/>
      <c r="BB5" s="1527"/>
      <c r="BC5" s="1527"/>
      <c r="BD5" s="1527"/>
      <c r="BE5" s="1527"/>
      <c r="BF5" s="1527"/>
      <c r="BG5" s="1527"/>
      <c r="BH5" s="1527"/>
      <c r="BI5" s="1527"/>
      <c r="BJ5" s="1527"/>
      <c r="BK5" s="1527"/>
      <c r="BL5" s="2908"/>
      <c r="BM5" s="1527"/>
      <c r="BN5" s="1527"/>
      <c r="BO5" s="1527"/>
      <c r="BP5" s="1527"/>
      <c r="BQ5" s="1527"/>
      <c r="BR5" s="1527"/>
      <c r="BS5" s="1527"/>
      <c r="BT5" s="1527"/>
      <c r="BU5" s="1527"/>
      <c r="BV5" s="1527"/>
      <c r="BW5" s="1527"/>
      <c r="BX5" s="1527"/>
      <c r="BY5" s="1527"/>
      <c r="BZ5" s="1527"/>
      <c r="CA5" s="1527"/>
      <c r="CB5" s="1527"/>
      <c r="CC5" s="1527"/>
      <c r="CD5" s="1527"/>
      <c r="CE5" s="1527"/>
      <c r="CF5" s="1527"/>
      <c r="CG5" s="1527"/>
      <c r="CH5" s="1527"/>
      <c r="CI5" s="1527"/>
      <c r="CJ5" s="1527"/>
      <c r="CK5" s="1527"/>
      <c r="CL5" s="1527"/>
      <c r="CM5" s="1527"/>
      <c r="CN5" s="1527"/>
      <c r="CO5" s="1527"/>
      <c r="CP5" s="1527"/>
      <c r="CQ5" s="1527"/>
      <c r="CR5" s="2908"/>
      <c r="CS5" s="1527"/>
      <c r="CT5" s="1527"/>
      <c r="CU5" s="1527"/>
      <c r="CV5" s="1527"/>
      <c r="CW5" s="1527"/>
      <c r="CX5" s="1527"/>
      <c r="CY5" s="1527"/>
      <c r="CZ5" s="1527"/>
      <c r="DA5" s="1527"/>
      <c r="DB5" s="1527"/>
      <c r="DC5" s="1527"/>
      <c r="DD5" s="1527"/>
      <c r="DE5" s="1527"/>
      <c r="DF5" s="1527"/>
      <c r="DG5" s="1527"/>
      <c r="DH5" s="1527"/>
      <c r="DI5" s="1527"/>
      <c r="DJ5" s="1527"/>
      <c r="DK5" s="1527"/>
      <c r="DL5" s="1527"/>
      <c r="DM5" s="1527"/>
      <c r="DN5" s="1527"/>
      <c r="DO5" s="1527"/>
      <c r="DP5" s="1527"/>
      <c r="DQ5" s="1527"/>
      <c r="DR5" s="1527"/>
      <c r="DS5" s="1527"/>
      <c r="DT5" s="1527"/>
      <c r="DU5" s="1527"/>
      <c r="DV5" s="1527"/>
      <c r="DW5" s="1527"/>
      <c r="DX5" s="2908"/>
      <c r="DY5" s="1527"/>
      <c r="DZ5" s="1527"/>
      <c r="EA5" s="1527"/>
      <c r="EB5" s="1527"/>
      <c r="EC5" s="1527"/>
      <c r="ED5" s="1527"/>
      <c r="EE5" s="1527"/>
      <c r="EF5" s="1527"/>
      <c r="EG5" s="1527"/>
      <c r="EH5" s="1527"/>
      <c r="EI5" s="1527"/>
      <c r="EJ5" s="1527"/>
      <c r="EK5" s="1527"/>
      <c r="EL5" s="1527"/>
      <c r="EM5" s="1527"/>
      <c r="EN5" s="1527"/>
      <c r="EO5" s="1527"/>
      <c r="EP5" s="1527"/>
      <c r="EQ5" s="1527"/>
      <c r="ER5" s="1527"/>
      <c r="ES5" s="1527"/>
      <c r="ET5" s="1527"/>
      <c r="EU5" s="1527"/>
      <c r="EV5" s="1527"/>
      <c r="EW5" s="1527"/>
      <c r="EX5" s="1527"/>
      <c r="EY5" s="1527"/>
      <c r="EZ5" s="1527"/>
      <c r="FA5" s="1527"/>
      <c r="FB5" s="1527"/>
      <c r="FC5" s="1527"/>
      <c r="FD5" s="2908"/>
      <c r="FE5" s="1527"/>
      <c r="FF5" s="1527"/>
      <c r="FG5" s="1527"/>
      <c r="FH5" s="1527"/>
      <c r="FI5" s="1527"/>
      <c r="FJ5" s="1527"/>
      <c r="FK5" s="1527"/>
      <c r="FL5" s="1527"/>
      <c r="FM5" s="1527"/>
      <c r="FN5" s="1527"/>
      <c r="FO5" s="1527"/>
      <c r="FP5" s="1527"/>
      <c r="FQ5" s="1527"/>
      <c r="FR5" s="1527"/>
      <c r="FS5" s="1527"/>
      <c r="FT5" s="1527"/>
      <c r="FU5" s="1527"/>
      <c r="FV5" s="1527"/>
      <c r="FW5" s="1527"/>
      <c r="FX5" s="1527"/>
      <c r="FY5" s="1527"/>
      <c r="FZ5" s="1527"/>
      <c r="GA5" s="1527"/>
      <c r="GB5" s="1527"/>
      <c r="GC5" s="1527"/>
      <c r="GD5" s="1527"/>
      <c r="GE5" s="1527"/>
      <c r="GF5" s="1527"/>
      <c r="GG5" s="1527"/>
      <c r="GH5" s="1527"/>
      <c r="GI5" s="1527"/>
      <c r="GJ5" s="2908"/>
      <c r="GK5" s="1527"/>
      <c r="GL5" s="1527"/>
      <c r="GM5" s="1527"/>
      <c r="GN5" s="1527"/>
      <c r="GO5" s="1527"/>
      <c r="GP5" s="1527"/>
      <c r="GQ5" s="1527"/>
      <c r="GR5" s="1527"/>
      <c r="GS5" s="1527"/>
      <c r="GT5" s="1527"/>
      <c r="GU5" s="1527"/>
      <c r="GV5" s="1527"/>
      <c r="GW5" s="1527"/>
      <c r="GX5" s="1527"/>
      <c r="GY5" s="1527"/>
      <c r="GZ5" s="1527"/>
      <c r="HA5" s="1527"/>
      <c r="HB5" s="1527"/>
      <c r="HC5" s="1527"/>
      <c r="HD5" s="1527"/>
      <c r="HE5" s="1527"/>
      <c r="HF5" s="1527"/>
      <c r="HG5" s="1527"/>
      <c r="HH5" s="1527"/>
      <c r="HI5" s="1527"/>
      <c r="HJ5" s="1527"/>
      <c r="HK5" s="1527"/>
      <c r="HL5" s="1527"/>
      <c r="HM5" s="1527"/>
      <c r="HN5" s="1527"/>
      <c r="HO5" s="1527"/>
      <c r="HP5" s="2908"/>
      <c r="HQ5" s="1527"/>
      <c r="HR5" s="1527"/>
      <c r="HS5" s="1527"/>
      <c r="HT5" s="1527"/>
      <c r="HU5" s="1527"/>
      <c r="HV5" s="1527"/>
      <c r="HW5" s="1527"/>
      <c r="HX5" s="1527"/>
      <c r="HY5" s="1527"/>
      <c r="HZ5" s="1527"/>
      <c r="IA5" s="1527"/>
      <c r="IB5" s="1527"/>
      <c r="IC5" s="1527"/>
      <c r="ID5" s="1527"/>
      <c r="IE5" s="1527"/>
      <c r="IF5" s="1527"/>
      <c r="IG5" s="1527"/>
      <c r="IH5" s="1527"/>
      <c r="II5" s="1527"/>
      <c r="IJ5" s="1527"/>
      <c r="IK5" s="1527"/>
      <c r="IL5" s="1527"/>
      <c r="IM5" s="1527"/>
      <c r="IN5" s="1527"/>
      <c r="IO5" s="1527"/>
      <c r="IP5" s="1527"/>
      <c r="IQ5" s="1527"/>
      <c r="IR5" s="1527"/>
      <c r="IS5" s="1527"/>
      <c r="IT5" s="1527"/>
      <c r="IU5" s="1527"/>
    </row>
    <row r="6" spans="1:255" ht="13.5">
      <c r="A6" s="1528" t="s">
        <v>1028</v>
      </c>
      <c r="B6" s="1518"/>
      <c r="C6" s="1529"/>
      <c r="D6" s="1529"/>
      <c r="E6" s="1518"/>
      <c r="F6" s="1518"/>
      <c r="G6" s="1530"/>
      <c r="H6" s="1518"/>
      <c r="I6" s="1531"/>
      <c r="J6" s="1518"/>
      <c r="K6" s="1518"/>
      <c r="L6" s="1518"/>
      <c r="M6" s="1532">
        <v>200</v>
      </c>
      <c r="N6" s="1532"/>
      <c r="O6" s="1532"/>
      <c r="P6" s="1532">
        <v>30</v>
      </c>
      <c r="Q6" s="1532">
        <v>230</v>
      </c>
      <c r="R6" s="1518">
        <v>50</v>
      </c>
      <c r="S6" s="1518">
        <v>6</v>
      </c>
      <c r="T6" s="1532">
        <f>Q6-R6-S6</f>
        <v>174</v>
      </c>
      <c r="U6" s="1532">
        <f>P6-S6</f>
        <v>24</v>
      </c>
      <c r="V6" s="1532">
        <f>T6-U6</f>
        <v>150</v>
      </c>
      <c r="W6" s="1531"/>
      <c r="X6" s="1518"/>
      <c r="Y6" s="1532"/>
      <c r="Z6" s="1532"/>
      <c r="AA6" s="1532"/>
      <c r="AB6" s="1532"/>
      <c r="AC6" s="1531"/>
      <c r="AD6" s="1531"/>
      <c r="AE6" s="1518"/>
      <c r="AF6" s="1532"/>
      <c r="AG6" s="1533"/>
      <c r="AH6" s="1534"/>
      <c r="AI6" s="1518"/>
      <c r="AJ6" s="1518"/>
    </row>
    <row r="7" spans="1:255" ht="13.5">
      <c r="A7" s="1528" t="s">
        <v>76</v>
      </c>
      <c r="B7" s="1518"/>
      <c r="C7" s="1529"/>
      <c r="D7" s="1529"/>
      <c r="E7" s="1518"/>
      <c r="F7" s="1518"/>
      <c r="G7" s="1518"/>
      <c r="H7" s="1518"/>
      <c r="I7" s="1531"/>
      <c r="J7" s="1518"/>
      <c r="K7" s="1518"/>
      <c r="L7" s="1518"/>
      <c r="M7" s="1532"/>
      <c r="N7" s="1532"/>
      <c r="O7" s="1532"/>
      <c r="P7" s="1532"/>
      <c r="Q7" s="1532"/>
      <c r="R7" s="1518"/>
      <c r="S7" s="1518"/>
      <c r="T7" s="1532"/>
      <c r="U7" s="1532"/>
      <c r="V7" s="1532"/>
      <c r="W7" s="1531"/>
      <c r="X7" s="1518"/>
      <c r="Y7" s="1532"/>
      <c r="Z7" s="1532"/>
      <c r="AA7" s="1532"/>
      <c r="AB7" s="1532"/>
      <c r="AC7" s="1531"/>
      <c r="AD7" s="1531"/>
      <c r="AE7" s="1518"/>
      <c r="AF7" s="1532"/>
      <c r="AG7" s="1532"/>
      <c r="AH7" s="1534"/>
      <c r="AI7" s="1518"/>
      <c r="AJ7" s="1518"/>
    </row>
    <row r="8" spans="1:255" ht="13.5">
      <c r="A8" s="1528" t="s">
        <v>77</v>
      </c>
      <c r="B8" s="1518"/>
      <c r="C8" s="1529"/>
      <c r="D8" s="1529"/>
      <c r="E8" s="1518"/>
      <c r="F8" s="1518"/>
      <c r="G8" s="1518"/>
      <c r="H8" s="1518"/>
      <c r="I8" s="1531"/>
      <c r="J8" s="1518"/>
      <c r="K8" s="1518"/>
      <c r="L8" s="1518"/>
      <c r="M8" s="1532"/>
      <c r="N8" s="1532"/>
      <c r="O8" s="1532"/>
      <c r="P8" s="1532"/>
      <c r="Q8" s="1532"/>
      <c r="R8" s="1518"/>
      <c r="S8" s="1518"/>
      <c r="T8" s="1532"/>
      <c r="U8" s="1532"/>
      <c r="V8" s="1532"/>
      <c r="W8" s="1531"/>
      <c r="X8" s="1518"/>
      <c r="Y8" s="1532"/>
      <c r="Z8" s="1532"/>
      <c r="AA8" s="1532"/>
      <c r="AB8" s="1532"/>
      <c r="AC8" s="1531"/>
      <c r="AD8" s="1531"/>
      <c r="AE8" s="1518"/>
      <c r="AF8" s="1532"/>
      <c r="AG8" s="1532"/>
      <c r="AH8" s="1534"/>
      <c r="AI8" s="1518"/>
      <c r="AJ8" s="1518"/>
    </row>
    <row r="9" spans="1:255" ht="13.5">
      <c r="A9" s="1528" t="s">
        <v>78</v>
      </c>
      <c r="B9" s="1518"/>
      <c r="C9" s="1529"/>
      <c r="D9" s="1529"/>
      <c r="E9" s="1518"/>
      <c r="F9" s="1518"/>
      <c r="G9" s="1518"/>
      <c r="H9" s="1518"/>
      <c r="I9" s="1531"/>
      <c r="J9" s="1518"/>
      <c r="K9" s="1518"/>
      <c r="L9" s="1518"/>
      <c r="M9" s="1532"/>
      <c r="N9" s="1532"/>
      <c r="O9" s="1532"/>
      <c r="P9" s="1532"/>
      <c r="Q9" s="1532"/>
      <c r="R9" s="1518"/>
      <c r="S9" s="1518"/>
      <c r="T9" s="1532"/>
      <c r="U9" s="1532"/>
      <c r="V9" s="1532"/>
      <c r="W9" s="1531"/>
      <c r="X9" s="1518"/>
      <c r="Y9" s="1532"/>
      <c r="Z9" s="1532"/>
      <c r="AA9" s="1532"/>
      <c r="AB9" s="1532"/>
      <c r="AC9" s="1531"/>
      <c r="AD9" s="1531"/>
      <c r="AE9" s="1518"/>
      <c r="AF9" s="1532"/>
      <c r="AG9" s="1532"/>
      <c r="AH9" s="1534"/>
      <c r="AI9" s="1518"/>
      <c r="AJ9" s="1518"/>
    </row>
    <row r="10" spans="1:255" ht="13.5">
      <c r="A10" s="1528" t="s">
        <v>79</v>
      </c>
      <c r="B10" s="1518"/>
      <c r="C10" s="1529"/>
      <c r="D10" s="1529"/>
      <c r="E10" s="1518"/>
      <c r="F10" s="1518"/>
      <c r="G10" s="1518"/>
      <c r="H10" s="1518"/>
      <c r="I10" s="1531"/>
      <c r="J10" s="1518"/>
      <c r="K10" s="1518"/>
      <c r="L10" s="1518"/>
      <c r="M10" s="1532"/>
      <c r="N10" s="1532"/>
      <c r="O10" s="1532"/>
      <c r="P10" s="1532"/>
      <c r="Q10" s="1532"/>
      <c r="R10" s="1518"/>
      <c r="S10" s="1518"/>
      <c r="T10" s="1532"/>
      <c r="U10" s="1532"/>
      <c r="V10" s="1532"/>
      <c r="W10" s="1531"/>
      <c r="X10" s="1518"/>
      <c r="Y10" s="1532"/>
      <c r="Z10" s="1532"/>
      <c r="AA10" s="1532"/>
      <c r="AB10" s="1532"/>
      <c r="AC10" s="1531"/>
      <c r="AD10" s="1531"/>
      <c r="AE10" s="1518"/>
      <c r="AF10" s="1532"/>
      <c r="AG10" s="1532"/>
      <c r="AH10" s="1534"/>
      <c r="AI10" s="1518"/>
      <c r="AJ10" s="1518"/>
    </row>
    <row r="11" spans="1:255" ht="13.5">
      <c r="A11" s="1528" t="s">
        <v>80</v>
      </c>
      <c r="B11" s="1518"/>
      <c r="C11" s="1529"/>
      <c r="D11" s="1529"/>
      <c r="E11" s="1518"/>
      <c r="F11" s="1518"/>
      <c r="G11" s="1518"/>
      <c r="H11" s="1518"/>
      <c r="I11" s="1531"/>
      <c r="J11" s="1518"/>
      <c r="K11" s="1518"/>
      <c r="L11" s="1518"/>
      <c r="M11" s="1532"/>
      <c r="N11" s="1532"/>
      <c r="O11" s="1532"/>
      <c r="P11" s="1532"/>
      <c r="Q11" s="1532"/>
      <c r="R11" s="1518"/>
      <c r="S11" s="1518"/>
      <c r="T11" s="1532"/>
      <c r="U11" s="1532"/>
      <c r="V11" s="1532"/>
      <c r="W11" s="1531"/>
      <c r="X11" s="1518"/>
      <c r="Y11" s="1532"/>
      <c r="Z11" s="1532"/>
      <c r="AA11" s="1532"/>
      <c r="AB11" s="1532"/>
      <c r="AC11" s="1531"/>
      <c r="AD11" s="1531"/>
      <c r="AE11" s="1518"/>
      <c r="AF11" s="1532"/>
      <c r="AG11" s="1532"/>
      <c r="AH11" s="1534"/>
      <c r="AI11" s="1518"/>
      <c r="AJ11" s="1518"/>
    </row>
    <row r="12" spans="1:255" ht="13.5">
      <c r="A12" s="1528" t="s">
        <v>81</v>
      </c>
      <c r="B12" s="1535"/>
      <c r="C12" s="1536"/>
      <c r="D12" s="1537"/>
      <c r="E12" s="1538"/>
      <c r="F12" s="1538"/>
      <c r="G12" s="1538"/>
      <c r="H12" s="1538"/>
      <c r="I12" s="1539"/>
      <c r="J12" s="1538"/>
      <c r="K12" s="1538"/>
      <c r="L12" s="1538"/>
      <c r="M12" s="1540"/>
      <c r="N12" s="1540"/>
      <c r="O12" s="1540"/>
      <c r="P12" s="1540"/>
      <c r="Q12" s="1540"/>
      <c r="R12" s="1538"/>
      <c r="S12" s="1538"/>
      <c r="T12" s="1540"/>
      <c r="U12" s="1540"/>
      <c r="V12" s="1540"/>
      <c r="W12" s="1539"/>
      <c r="X12" s="1538"/>
      <c r="Y12" s="1540"/>
      <c r="Z12" s="1540"/>
      <c r="AA12" s="1540"/>
      <c r="AB12" s="1540"/>
      <c r="AC12" s="1539"/>
      <c r="AD12" s="1539"/>
      <c r="AE12" s="1538"/>
      <c r="AF12" s="1540"/>
      <c r="AG12" s="1540"/>
      <c r="AH12" s="1534"/>
      <c r="AI12" s="1538"/>
      <c r="AJ12" s="1538"/>
    </row>
    <row r="13" spans="1:255" ht="13.5">
      <c r="A13" s="1528" t="s">
        <v>82</v>
      </c>
      <c r="B13" s="1541"/>
      <c r="C13" s="1541"/>
      <c r="D13" s="1541"/>
      <c r="E13" s="1541"/>
      <c r="F13" s="1541"/>
      <c r="G13" s="1541"/>
      <c r="H13" s="1541"/>
      <c r="I13" s="1542"/>
      <c r="J13" s="1543"/>
      <c r="K13" s="1543"/>
      <c r="L13" s="1543"/>
      <c r="M13" s="1544"/>
      <c r="N13" s="1544"/>
      <c r="O13" s="1544"/>
      <c r="P13" s="1544"/>
      <c r="Q13" s="1544"/>
      <c r="R13" s="1543"/>
      <c r="S13" s="1543"/>
      <c r="T13" s="1544"/>
      <c r="U13" s="1544"/>
      <c r="V13" s="1544"/>
      <c r="W13" s="1542"/>
      <c r="X13" s="1543"/>
      <c r="Y13" s="1544"/>
      <c r="Z13" s="1544"/>
      <c r="AA13" s="1544"/>
      <c r="AB13" s="1544"/>
      <c r="AC13" s="1542"/>
      <c r="AD13" s="1542"/>
      <c r="AE13" s="1543"/>
      <c r="AF13" s="1544"/>
      <c r="AG13" s="1544"/>
      <c r="AH13" s="1534"/>
      <c r="AI13" s="1543"/>
      <c r="AJ13" s="1543"/>
    </row>
    <row r="14" spans="1:255" ht="13.5">
      <c r="A14" s="1528" t="s">
        <v>83</v>
      </c>
      <c r="B14" s="1541"/>
      <c r="C14" s="1541"/>
      <c r="D14" s="1541"/>
      <c r="E14" s="1541"/>
      <c r="F14" s="1541"/>
      <c r="G14" s="1541"/>
      <c r="H14" s="1541"/>
      <c r="I14" s="1542"/>
      <c r="J14" s="1543"/>
      <c r="K14" s="1543"/>
      <c r="L14" s="1543"/>
      <c r="M14" s="1544"/>
      <c r="N14" s="1544"/>
      <c r="O14" s="1544"/>
      <c r="P14" s="1544"/>
      <c r="Q14" s="1544"/>
      <c r="R14" s="1543"/>
      <c r="S14" s="1543"/>
      <c r="T14" s="1544"/>
      <c r="U14" s="1544"/>
      <c r="V14" s="1544"/>
      <c r="W14" s="1542"/>
      <c r="X14" s="1543"/>
      <c r="Y14" s="1544"/>
      <c r="Z14" s="1544"/>
      <c r="AA14" s="1544"/>
      <c r="AB14" s="1544"/>
      <c r="AC14" s="1542"/>
      <c r="AD14" s="1542"/>
      <c r="AE14" s="1543"/>
      <c r="AF14" s="1544"/>
      <c r="AG14" s="1544"/>
      <c r="AH14" s="1534"/>
      <c r="AI14" s="1543"/>
      <c r="AJ14" s="1543"/>
    </row>
    <row r="15" spans="1:255" ht="13.5">
      <c r="A15" s="1528" t="s">
        <v>84</v>
      </c>
      <c r="B15" s="1541"/>
      <c r="C15" s="1541"/>
      <c r="D15" s="1541"/>
      <c r="E15" s="1541"/>
      <c r="F15" s="1541"/>
      <c r="G15" s="1541"/>
      <c r="H15" s="1541"/>
      <c r="I15" s="1542"/>
      <c r="J15" s="1543"/>
      <c r="K15" s="1543"/>
      <c r="L15" s="1543"/>
      <c r="M15" s="1544"/>
      <c r="N15" s="1544"/>
      <c r="O15" s="1544"/>
      <c r="P15" s="1544"/>
      <c r="Q15" s="1544"/>
      <c r="R15" s="1543"/>
      <c r="S15" s="1543"/>
      <c r="T15" s="1544"/>
      <c r="U15" s="1544"/>
      <c r="V15" s="1544"/>
      <c r="W15" s="1542"/>
      <c r="X15" s="1543"/>
      <c r="Y15" s="1544"/>
      <c r="Z15" s="1544"/>
      <c r="AA15" s="1544"/>
      <c r="AB15" s="1544"/>
      <c r="AC15" s="1542"/>
      <c r="AD15" s="1542"/>
      <c r="AE15" s="1543"/>
      <c r="AF15" s="1544"/>
      <c r="AG15" s="1544"/>
      <c r="AH15" s="1534"/>
      <c r="AI15" s="1543"/>
      <c r="AJ15" s="1543"/>
    </row>
    <row r="16" spans="1:255" ht="13.5">
      <c r="A16" s="1528" t="s">
        <v>10</v>
      </c>
      <c r="B16" s="1541"/>
      <c r="C16" s="1541"/>
      <c r="D16" s="1541"/>
      <c r="E16" s="1541"/>
      <c r="F16" s="1541"/>
      <c r="G16" s="1541"/>
      <c r="H16" s="1541"/>
      <c r="I16" s="1542"/>
      <c r="J16" s="1543"/>
      <c r="K16" s="1543"/>
      <c r="L16" s="1543"/>
      <c r="M16" s="1544"/>
      <c r="N16" s="1544"/>
      <c r="O16" s="1544"/>
      <c r="P16" s="1544"/>
      <c r="Q16" s="1544"/>
      <c r="R16" s="1543"/>
      <c r="S16" s="1543"/>
      <c r="T16" s="1544"/>
      <c r="U16" s="1544"/>
      <c r="V16" s="1544"/>
      <c r="W16" s="1542"/>
      <c r="X16" s="1543"/>
      <c r="Y16" s="1544"/>
      <c r="Z16" s="1544"/>
      <c r="AA16" s="1544"/>
      <c r="AB16" s="1544"/>
      <c r="AC16" s="1542"/>
      <c r="AD16" s="1542"/>
      <c r="AE16" s="1543"/>
      <c r="AF16" s="1544"/>
      <c r="AG16" s="1544"/>
      <c r="AH16" s="1534"/>
      <c r="AI16" s="1543"/>
      <c r="AJ16" s="1543"/>
    </row>
    <row r="17" spans="1:36" ht="13.5">
      <c r="A17" s="1528" t="s">
        <v>12</v>
      </c>
      <c r="B17" s="1541"/>
      <c r="C17" s="1541"/>
      <c r="D17" s="1543"/>
      <c r="E17" s="1541"/>
      <c r="F17" s="1541"/>
      <c r="G17" s="1541"/>
      <c r="H17" s="1541"/>
      <c r="I17" s="1542"/>
      <c r="J17" s="1543"/>
      <c r="K17" s="1543"/>
      <c r="L17" s="1543"/>
      <c r="M17" s="1544"/>
      <c r="N17" s="1544"/>
      <c r="O17" s="1544"/>
      <c r="P17" s="1544"/>
      <c r="Q17" s="1544"/>
      <c r="R17" s="1543"/>
      <c r="S17" s="1543"/>
      <c r="T17" s="1544"/>
      <c r="U17" s="1544"/>
      <c r="V17" s="1544"/>
      <c r="W17" s="1542"/>
      <c r="X17" s="1543"/>
      <c r="Y17" s="1544"/>
      <c r="Z17" s="1544"/>
      <c r="AA17" s="1544"/>
      <c r="AB17" s="1544"/>
      <c r="AC17" s="1542"/>
      <c r="AD17" s="1542"/>
      <c r="AE17" s="1543"/>
      <c r="AF17" s="1544"/>
      <c r="AG17" s="1544"/>
      <c r="AH17" s="1534"/>
      <c r="AI17" s="1543"/>
      <c r="AJ17" s="1543"/>
    </row>
    <row r="18" spans="1:36" ht="13.5">
      <c r="A18" s="1528" t="s">
        <v>14</v>
      </c>
      <c r="B18" s="1541"/>
      <c r="C18" s="1541"/>
      <c r="D18" s="1543"/>
      <c r="E18" s="1541"/>
      <c r="F18" s="1541"/>
      <c r="G18" s="1541"/>
      <c r="H18" s="1541"/>
      <c r="I18" s="1542"/>
      <c r="J18" s="1543"/>
      <c r="K18" s="1543"/>
      <c r="L18" s="1543"/>
      <c r="M18" s="1544"/>
      <c r="N18" s="1544"/>
      <c r="O18" s="1544"/>
      <c r="P18" s="1544"/>
      <c r="Q18" s="1544"/>
      <c r="R18" s="1543"/>
      <c r="S18" s="1543"/>
      <c r="T18" s="1544"/>
      <c r="U18" s="1544"/>
      <c r="V18" s="1544"/>
      <c r="W18" s="1542"/>
      <c r="X18" s="1543"/>
      <c r="Y18" s="1544"/>
      <c r="Z18" s="1544"/>
      <c r="AA18" s="1544"/>
      <c r="AB18" s="1544"/>
      <c r="AC18" s="1542"/>
      <c r="AD18" s="1542"/>
      <c r="AE18" s="1543"/>
      <c r="AF18" s="1544"/>
      <c r="AG18" s="1544"/>
      <c r="AH18" s="1534"/>
      <c r="AI18" s="1543"/>
      <c r="AJ18" s="1543"/>
    </row>
    <row r="19" spans="1:36" ht="13.5">
      <c r="A19" s="1528" t="s">
        <v>16</v>
      </c>
      <c r="B19" s="1541"/>
      <c r="C19" s="1541"/>
      <c r="D19" s="1541"/>
      <c r="E19" s="1541"/>
      <c r="F19" s="1541"/>
      <c r="G19" s="1541"/>
      <c r="H19" s="1541"/>
      <c r="I19" s="1542"/>
      <c r="J19" s="1543"/>
      <c r="K19" s="1543"/>
      <c r="L19" s="1543"/>
      <c r="M19" s="1544"/>
      <c r="N19" s="1544"/>
      <c r="O19" s="1544"/>
      <c r="P19" s="1544"/>
      <c r="Q19" s="1544"/>
      <c r="R19" s="1543"/>
      <c r="S19" s="1543"/>
      <c r="T19" s="1544"/>
      <c r="U19" s="1544"/>
      <c r="V19" s="1544"/>
      <c r="W19" s="1542"/>
      <c r="X19" s="1543"/>
      <c r="Y19" s="1544"/>
      <c r="Z19" s="1544"/>
      <c r="AA19" s="1544"/>
      <c r="AB19" s="1544"/>
      <c r="AC19" s="1542"/>
      <c r="AD19" s="1542"/>
      <c r="AE19" s="1543"/>
      <c r="AF19" s="1544"/>
      <c r="AG19" s="1544"/>
      <c r="AH19" s="1534"/>
      <c r="AI19" s="1543"/>
      <c r="AJ19" s="1543"/>
    </row>
    <row r="20" spans="1:36" ht="13.5">
      <c r="A20" s="1528" t="s">
        <v>18</v>
      </c>
      <c r="B20" s="1541"/>
      <c r="C20" s="1541"/>
      <c r="D20" s="1541"/>
      <c r="E20" s="1541"/>
      <c r="F20" s="1541"/>
      <c r="G20" s="1541"/>
      <c r="H20" s="1541"/>
      <c r="I20" s="1542"/>
      <c r="J20" s="1543"/>
      <c r="K20" s="1543"/>
      <c r="L20" s="1543"/>
      <c r="M20" s="1544"/>
      <c r="N20" s="1544"/>
      <c r="O20" s="1544"/>
      <c r="P20" s="1544"/>
      <c r="Q20" s="1544"/>
      <c r="R20" s="1543"/>
      <c r="S20" s="1543"/>
      <c r="T20" s="1544"/>
      <c r="U20" s="1544"/>
      <c r="V20" s="1544"/>
      <c r="W20" s="1542"/>
      <c r="X20" s="1543"/>
      <c r="Y20" s="1544"/>
      <c r="Z20" s="1544"/>
      <c r="AA20" s="1544"/>
      <c r="AB20" s="1544"/>
      <c r="AC20" s="1542"/>
      <c r="AD20" s="1542"/>
      <c r="AE20" s="1543"/>
      <c r="AF20" s="1544"/>
      <c r="AG20" s="1544"/>
      <c r="AH20" s="1534"/>
      <c r="AI20" s="1543"/>
      <c r="AJ20" s="1543"/>
    </row>
    <row r="21" spans="1:36" ht="16.5">
      <c r="A21" s="1528" t="s">
        <v>3638</v>
      </c>
      <c r="B21" s="1545"/>
      <c r="C21" s="1545"/>
      <c r="D21" s="1545"/>
      <c r="E21" s="1545"/>
      <c r="F21" s="1545"/>
      <c r="G21" s="1545"/>
      <c r="H21" s="1545"/>
      <c r="I21" s="1546"/>
      <c r="J21" s="1547"/>
      <c r="K21" s="1547"/>
      <c r="L21" s="1547"/>
      <c r="M21" s="1544"/>
      <c r="N21" s="1544"/>
      <c r="O21" s="1544"/>
      <c r="P21" s="1544"/>
      <c r="Q21" s="1544"/>
      <c r="R21" s="1543"/>
      <c r="S21" s="1543"/>
      <c r="T21" s="1544"/>
      <c r="U21" s="1544"/>
      <c r="V21" s="1544"/>
      <c r="W21" s="1547"/>
      <c r="X21" s="1547"/>
      <c r="Y21" s="1544"/>
      <c r="Z21" s="1547"/>
      <c r="AA21" s="1547"/>
      <c r="AB21" s="1544"/>
      <c r="AC21" s="1547"/>
      <c r="AD21" s="1547"/>
      <c r="AE21" s="1547"/>
      <c r="AF21" s="1544"/>
      <c r="AG21" s="1544"/>
      <c r="AH21" s="1017"/>
      <c r="AI21" s="1543"/>
      <c r="AJ21" s="1543"/>
    </row>
    <row r="22" spans="1:36">
      <c r="A22" s="1548" t="s">
        <v>4412</v>
      </c>
      <c r="B22" s="1548"/>
      <c r="C22" s="1548"/>
      <c r="D22" s="1548"/>
      <c r="E22" s="1548"/>
      <c r="F22" s="1548"/>
      <c r="G22" s="1548"/>
      <c r="H22" s="1548"/>
      <c r="I22" s="1548"/>
      <c r="J22" s="1548"/>
      <c r="K22" s="1548"/>
      <c r="L22" s="1548"/>
      <c r="M22" s="1548"/>
      <c r="N22" s="1548"/>
      <c r="O22" s="1548"/>
      <c r="P22" s="1548"/>
      <c r="Q22" s="1548"/>
      <c r="R22" s="1548"/>
      <c r="S22" s="1548"/>
      <c r="T22" s="1548"/>
      <c r="AF22" s="1548"/>
    </row>
    <row r="23" spans="1:36">
      <c r="A23" s="1549">
        <v>1</v>
      </c>
      <c r="B23" s="1548" t="s">
        <v>4413</v>
      </c>
      <c r="C23" s="1548"/>
      <c r="D23" s="1548"/>
      <c r="E23" s="1548"/>
      <c r="F23" s="1548"/>
      <c r="G23" s="1548"/>
      <c r="H23" s="1548"/>
      <c r="I23" s="1548"/>
      <c r="J23" s="1548"/>
      <c r="K23" s="1548"/>
      <c r="L23" s="1548"/>
      <c r="M23" s="1548"/>
      <c r="N23" s="1548"/>
      <c r="O23" s="1548"/>
      <c r="P23" s="1548"/>
      <c r="Q23" s="1548"/>
      <c r="R23" s="1548"/>
      <c r="S23" s="1548"/>
      <c r="T23" s="1548"/>
      <c r="AF23" s="1548"/>
    </row>
    <row r="24" spans="1:36">
      <c r="A24" s="1549">
        <v>2</v>
      </c>
      <c r="B24" s="1548" t="s">
        <v>4414</v>
      </c>
      <c r="C24" s="1548"/>
      <c r="D24" s="1548"/>
      <c r="E24" s="1548"/>
      <c r="F24" s="1548"/>
      <c r="G24" s="1548"/>
      <c r="H24" s="1548"/>
      <c r="I24" s="1548"/>
      <c r="J24" s="1548"/>
      <c r="K24" s="1548"/>
      <c r="L24" s="1548"/>
      <c r="M24" s="1548"/>
      <c r="N24" s="1548"/>
      <c r="O24" s="1548"/>
      <c r="P24" s="1548"/>
      <c r="Q24" s="1548"/>
      <c r="R24" s="1548"/>
      <c r="S24" s="1548"/>
      <c r="T24" s="1548"/>
      <c r="AF24" s="1548"/>
    </row>
    <row r="25" spans="1:36">
      <c r="A25" s="1549">
        <v>3</v>
      </c>
      <c r="B25" s="1550" t="s">
        <v>4415</v>
      </c>
      <c r="C25" s="1550"/>
      <c r="D25" s="1550"/>
      <c r="E25" s="1550"/>
      <c r="F25" s="1550"/>
      <c r="G25" s="1550"/>
      <c r="H25" s="1550"/>
      <c r="I25" s="1550"/>
      <c r="J25" s="1550"/>
      <c r="K25" s="1550"/>
      <c r="L25" s="1550"/>
      <c r="M25" s="1550"/>
      <c r="N25" s="1550"/>
      <c r="O25" s="1550"/>
      <c r="P25" s="1550"/>
      <c r="Q25" s="1550"/>
      <c r="R25" s="1550"/>
      <c r="S25" s="1550"/>
      <c r="T25" s="1550"/>
      <c r="AF25" s="1550"/>
    </row>
    <row r="26" spans="1:36">
      <c r="A26" s="1549">
        <v>4</v>
      </c>
      <c r="B26" s="1550" t="s">
        <v>4416</v>
      </c>
      <c r="C26" s="1550"/>
      <c r="D26" s="1550"/>
      <c r="E26" s="1550"/>
      <c r="F26" s="1550"/>
      <c r="G26" s="1550"/>
      <c r="H26" s="1550"/>
      <c r="I26" s="1550"/>
      <c r="J26" s="1550"/>
      <c r="K26" s="1550"/>
      <c r="L26" s="1550"/>
      <c r="M26" s="1550"/>
      <c r="N26" s="1550"/>
      <c r="O26" s="1550"/>
      <c r="P26" s="1550"/>
      <c r="Q26" s="1550"/>
      <c r="R26" s="1550"/>
      <c r="S26" s="1550"/>
      <c r="T26" s="1550"/>
      <c r="AF26" s="1550"/>
    </row>
    <row r="27" spans="1:36">
      <c r="A27" s="1549">
        <v>5</v>
      </c>
      <c r="B27" s="1550" t="s">
        <v>4417</v>
      </c>
      <c r="C27" s="1550"/>
      <c r="D27" s="1550"/>
      <c r="E27" s="1550"/>
      <c r="F27" s="1550"/>
      <c r="G27" s="1550"/>
      <c r="H27" s="1550"/>
      <c r="I27" s="1550"/>
      <c r="J27" s="1550"/>
      <c r="K27" s="1550"/>
      <c r="L27" s="1550"/>
      <c r="M27" s="1550"/>
      <c r="N27" s="1550"/>
      <c r="O27" s="1550"/>
      <c r="P27" s="1550"/>
      <c r="Q27" s="1550"/>
      <c r="R27" s="1550"/>
      <c r="S27" s="1550"/>
      <c r="T27" s="1550"/>
      <c r="AF27" s="1550"/>
    </row>
    <row r="28" spans="1:36" ht="13.5">
      <c r="A28" s="1549">
        <v>6</v>
      </c>
      <c r="B28" s="2898" t="s">
        <v>4418</v>
      </c>
      <c r="C28" s="2898"/>
      <c r="D28" s="2898"/>
      <c r="E28" s="2898"/>
      <c r="F28" s="2898"/>
      <c r="G28" s="2898"/>
      <c r="H28" s="2898"/>
      <c r="I28" s="2898"/>
      <c r="J28" s="2898"/>
      <c r="K28" s="2898"/>
      <c r="L28" s="2898"/>
      <c r="M28" s="2898"/>
      <c r="N28" s="2898"/>
      <c r="O28" s="2898"/>
      <c r="P28" s="2898"/>
      <c r="Q28" s="2898"/>
      <c r="R28" s="2898"/>
      <c r="S28" s="2898"/>
      <c r="T28" s="2898"/>
      <c r="U28" s="2898"/>
      <c r="V28" s="2898"/>
      <c r="W28" s="2898"/>
      <c r="X28" s="2898"/>
      <c r="Y28" s="2898"/>
      <c r="Z28" s="2898"/>
      <c r="AA28" s="2898"/>
      <c r="AB28" s="2898"/>
      <c r="AC28" s="2898"/>
      <c r="AD28" s="2898"/>
      <c r="AE28" s="2898"/>
      <c r="AF28" s="2898"/>
    </row>
    <row r="29" spans="1:36">
      <c r="A29" s="1549">
        <v>7</v>
      </c>
      <c r="B29" s="1550" t="s">
        <v>4419</v>
      </c>
      <c r="C29" s="1550"/>
      <c r="D29" s="1550"/>
      <c r="E29" s="1550"/>
      <c r="F29" s="1550"/>
      <c r="G29" s="1550"/>
      <c r="H29" s="1550"/>
      <c r="I29" s="1550"/>
      <c r="J29" s="1550"/>
      <c r="K29" s="1550"/>
      <c r="L29" s="1550"/>
      <c r="M29" s="1550"/>
      <c r="N29" s="1550"/>
      <c r="O29" s="1550"/>
      <c r="P29" s="1550"/>
      <c r="Q29" s="1550"/>
      <c r="R29" s="1550"/>
      <c r="S29" s="1550"/>
      <c r="T29" s="1550"/>
      <c r="AF29" s="1550"/>
    </row>
    <row r="30" spans="1:36">
      <c r="A30" s="1549">
        <v>8</v>
      </c>
      <c r="B30" s="470" t="s">
        <v>4420</v>
      </c>
      <c r="C30" s="1550"/>
      <c r="D30" s="1550"/>
      <c r="E30" s="1550"/>
      <c r="F30" s="1550"/>
      <c r="G30" s="1550"/>
      <c r="H30" s="1550"/>
      <c r="I30" s="1550"/>
      <c r="J30" s="1550"/>
      <c r="K30" s="1550"/>
      <c r="L30" s="1550"/>
      <c r="M30" s="1550"/>
      <c r="N30" s="1550"/>
      <c r="O30" s="1550"/>
      <c r="P30" s="1550"/>
      <c r="Q30" s="1550"/>
      <c r="R30" s="1550"/>
      <c r="S30" s="1550"/>
      <c r="T30" s="1550"/>
      <c r="AF30" s="1550"/>
    </row>
    <row r="31" spans="1:36">
      <c r="A31" s="1549">
        <v>9</v>
      </c>
      <c r="B31" s="57" t="s">
        <v>4421</v>
      </c>
      <c r="C31" s="57"/>
      <c r="D31" s="57"/>
      <c r="E31" s="57"/>
      <c r="F31" s="57"/>
      <c r="G31" s="57"/>
      <c r="H31" s="57"/>
      <c r="I31" s="57"/>
      <c r="J31" s="57"/>
      <c r="K31" s="57"/>
      <c r="L31" s="57"/>
      <c r="M31" s="57"/>
      <c r="N31" s="57"/>
      <c r="O31" s="57"/>
      <c r="P31" s="57"/>
      <c r="Q31" s="57"/>
      <c r="R31" s="57"/>
      <c r="S31" s="57"/>
      <c r="T31" s="57"/>
      <c r="AF31" s="57"/>
    </row>
    <row r="32" spans="1:36">
      <c r="A32" s="1549">
        <v>10</v>
      </c>
      <c r="B32" s="1550" t="s">
        <v>4422</v>
      </c>
      <c r="C32" s="1550"/>
      <c r="D32" s="1550"/>
      <c r="E32" s="1550"/>
      <c r="F32" s="1550"/>
      <c r="G32" s="1550"/>
      <c r="H32" s="1550"/>
      <c r="I32" s="1550"/>
      <c r="J32" s="1550"/>
      <c r="K32" s="1550"/>
      <c r="L32" s="1550"/>
      <c r="M32" s="1550"/>
      <c r="N32" s="1550"/>
      <c r="O32" s="1550"/>
      <c r="P32" s="1550"/>
      <c r="Q32" s="1550"/>
      <c r="R32" s="1550"/>
      <c r="S32" s="1550"/>
      <c r="T32" s="1550"/>
      <c r="AF32" s="1550"/>
    </row>
    <row r="33" spans="1:36">
      <c r="A33" s="1549">
        <v>11</v>
      </c>
      <c r="B33" s="470" t="s">
        <v>4423</v>
      </c>
      <c r="C33" s="1550"/>
      <c r="D33" s="1550"/>
      <c r="E33" s="1550"/>
      <c r="F33" s="1550"/>
      <c r="G33" s="1550"/>
      <c r="H33" s="1550"/>
      <c r="I33" s="1550"/>
      <c r="J33" s="1550"/>
      <c r="K33" s="1550"/>
      <c r="L33" s="1550"/>
      <c r="M33" s="1550"/>
      <c r="N33" s="1550"/>
      <c r="O33" s="1550"/>
      <c r="P33" s="1550"/>
      <c r="Q33" s="1550"/>
      <c r="R33" s="1550"/>
      <c r="S33" s="1550"/>
      <c r="T33" s="1550"/>
      <c r="AF33" s="1550"/>
    </row>
    <row r="34" spans="1:36">
      <c r="A34" s="1549">
        <v>12</v>
      </c>
      <c r="B34" s="470" t="s">
        <v>4424</v>
      </c>
      <c r="C34" s="1550"/>
      <c r="D34" s="1550"/>
      <c r="E34" s="1550"/>
      <c r="F34" s="1550"/>
      <c r="G34" s="1550"/>
      <c r="H34" s="1550"/>
      <c r="I34" s="1550"/>
      <c r="J34" s="1550"/>
      <c r="K34" s="1550"/>
      <c r="L34" s="1550"/>
      <c r="M34" s="1550"/>
      <c r="N34" s="1550"/>
      <c r="O34" s="1550"/>
      <c r="P34" s="1550"/>
      <c r="Q34" s="1550"/>
      <c r="R34" s="1550"/>
      <c r="S34" s="1550"/>
      <c r="T34" s="1550"/>
      <c r="AF34" s="1550"/>
    </row>
    <row r="35" spans="1:36">
      <c r="A35" s="1549">
        <v>13</v>
      </c>
      <c r="B35" s="1438" t="s">
        <v>4425</v>
      </c>
      <c r="C35" s="1550"/>
      <c r="D35" s="1550"/>
      <c r="E35" s="1550"/>
      <c r="F35" s="1550"/>
      <c r="G35" s="1550"/>
      <c r="H35" s="1550"/>
      <c r="I35" s="1550"/>
      <c r="J35" s="1550"/>
      <c r="K35" s="1550"/>
      <c r="L35" s="1550"/>
      <c r="M35" s="1550"/>
      <c r="N35" s="1550"/>
      <c r="O35" s="1550"/>
      <c r="P35" s="1550"/>
      <c r="Q35" s="1550"/>
      <c r="R35" s="1550"/>
      <c r="S35" s="1550"/>
      <c r="T35" s="1550"/>
      <c r="AF35" s="1550"/>
    </row>
    <row r="36" spans="1:36">
      <c r="A36" s="1549">
        <v>14</v>
      </c>
      <c r="B36" s="1550" t="s">
        <v>4426</v>
      </c>
      <c r="C36" s="1550"/>
      <c r="D36" s="1550"/>
      <c r="E36" s="1550"/>
      <c r="F36" s="1550"/>
      <c r="G36" s="1550"/>
      <c r="H36" s="1550"/>
      <c r="I36" s="1550"/>
      <c r="J36" s="1550"/>
      <c r="K36" s="1550"/>
      <c r="L36" s="1550"/>
      <c r="M36" s="1550"/>
      <c r="N36" s="1550"/>
      <c r="O36" s="1550"/>
      <c r="P36" s="1550"/>
      <c r="Q36" s="1550"/>
      <c r="R36" s="1550"/>
      <c r="S36" s="1550"/>
      <c r="T36" s="1550"/>
      <c r="AF36" s="1550"/>
    </row>
    <row r="37" spans="1:36" s="1524" customFormat="1" ht="13.9" customHeight="1">
      <c r="A37" s="1549" t="s">
        <v>146</v>
      </c>
      <c r="B37" s="1980" t="s">
        <v>5601</v>
      </c>
    </row>
    <row r="38" spans="1:36" s="1524" customFormat="1">
      <c r="A38" s="1549"/>
      <c r="B38" s="1550" t="s">
        <v>4427</v>
      </c>
    </row>
    <row r="39" spans="1:36" s="1524" customFormat="1" ht="15" customHeight="1">
      <c r="A39" s="1549">
        <v>16</v>
      </c>
      <c r="B39" s="1524" t="s">
        <v>4428</v>
      </c>
    </row>
    <row r="40" spans="1:36" ht="14.25" customHeight="1">
      <c r="A40" s="1549">
        <v>17</v>
      </c>
      <c r="B40" s="2042" t="s">
        <v>5602</v>
      </c>
      <c r="C40" s="1524"/>
      <c r="AJ40" s="1524"/>
    </row>
    <row r="41" spans="1:36" ht="14.25" customHeight="1">
      <c r="A41" s="1549">
        <v>18</v>
      </c>
      <c r="B41" s="1438" t="s">
        <v>4429</v>
      </c>
      <c r="AJ41" s="1524"/>
    </row>
    <row r="42" spans="1:36" ht="14.25" customHeight="1">
      <c r="A42" s="2688" t="s">
        <v>8455</v>
      </c>
      <c r="B42" s="2689" t="s">
        <v>8456</v>
      </c>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30"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pageSetUpPr fitToPage="1"/>
  </sheetPr>
  <dimension ref="A1:AA31"/>
  <sheetViews>
    <sheetView zoomScale="85" zoomScaleNormal="85" workbookViewId="0">
      <selection activeCell="A29" sqref="A29:B31"/>
    </sheetView>
  </sheetViews>
  <sheetFormatPr defaultColWidth="9" defaultRowHeight="15.75"/>
  <cols>
    <col min="1" max="1" width="5.125" style="26" customWidth="1"/>
    <col min="2" max="2" width="7" style="26" customWidth="1"/>
    <col min="3" max="3" width="5.125" style="26" customWidth="1"/>
    <col min="4" max="4" width="11.375" style="26" customWidth="1"/>
    <col min="5" max="5" width="19.25" style="26" customWidth="1"/>
    <col min="6" max="6" width="13.5" style="26" customWidth="1"/>
    <col min="7" max="7" width="12" style="26" customWidth="1"/>
    <col min="8" max="8" width="8.875" style="26" customWidth="1"/>
    <col min="9" max="9" width="7.375" style="26" customWidth="1"/>
    <col min="10" max="10" width="13.25" style="26" bestFit="1" customWidth="1"/>
    <col min="11" max="15" width="7.875" style="26" customWidth="1"/>
    <col min="16" max="16" width="13" style="26" customWidth="1"/>
    <col min="17" max="17" width="11.375" style="26" customWidth="1"/>
    <col min="18" max="19" width="7.875" style="26" customWidth="1"/>
    <col min="20" max="20" width="12.625" style="26" customWidth="1"/>
    <col min="21" max="22" width="8.625" style="26" customWidth="1"/>
    <col min="23" max="23" width="13" style="26" customWidth="1"/>
    <col min="24" max="24" width="11.75" style="26" customWidth="1"/>
    <col min="25" max="25" width="14.375" style="26" customWidth="1"/>
    <col min="26" max="26" width="7.5" style="26" customWidth="1"/>
    <col min="27" max="27" width="2.625" style="26" customWidth="1"/>
    <col min="28" max="16384" width="9" style="1151"/>
  </cols>
  <sheetData>
    <row r="1" spans="1:26" ht="16.5">
      <c r="A1" s="2186" t="str">
        <f>+封面!A3&amp;" "&amp;封面!A2</f>
        <v xml:space="preserve"> 中央再保險股份有限公司 年度檢查報表</v>
      </c>
      <c r="B1" s="57"/>
      <c r="C1" s="57"/>
      <c r="D1" s="57"/>
      <c r="E1" s="57"/>
      <c r="F1" s="57"/>
      <c r="G1" s="57"/>
      <c r="H1" s="57"/>
      <c r="I1" s="57"/>
      <c r="J1" s="57"/>
      <c r="K1" s="57"/>
      <c r="L1" s="57"/>
      <c r="M1" s="57"/>
      <c r="N1" s="57"/>
      <c r="O1" s="57"/>
      <c r="P1" s="57"/>
      <c r="Q1" s="57"/>
      <c r="R1" s="57"/>
      <c r="S1" s="57"/>
      <c r="T1" s="57"/>
      <c r="U1" s="57"/>
      <c r="V1" s="57"/>
      <c r="W1" s="57"/>
      <c r="X1" s="57"/>
      <c r="Y1" s="57"/>
      <c r="Z1" s="57"/>
    </row>
    <row r="2" spans="1:26">
      <c r="A2" s="477" t="s">
        <v>4353</v>
      </c>
      <c r="B2" s="477"/>
      <c r="C2" s="477"/>
      <c r="D2" s="477"/>
      <c r="E2" s="57"/>
      <c r="F2" s="57"/>
      <c r="G2" s="57"/>
      <c r="H2" s="57"/>
      <c r="I2" s="57"/>
      <c r="J2" s="57"/>
      <c r="K2" s="57"/>
      <c r="L2" s="57"/>
      <c r="M2" s="57"/>
      <c r="N2" s="57"/>
      <c r="O2" s="57"/>
      <c r="P2" s="57"/>
      <c r="Q2" s="57"/>
      <c r="R2" s="57"/>
      <c r="S2" s="57" t="s">
        <v>4354</v>
      </c>
      <c r="T2" s="57"/>
      <c r="U2" s="57"/>
      <c r="V2" s="57"/>
      <c r="W2" s="57"/>
      <c r="X2" s="57"/>
      <c r="Y2" s="57"/>
      <c r="Z2" s="57"/>
    </row>
    <row r="3" spans="1:26" ht="15.75" customHeight="1">
      <c r="A3" s="2927" t="s">
        <v>3625</v>
      </c>
      <c r="B3" s="2930" t="s">
        <v>4355</v>
      </c>
      <c r="C3" s="2931"/>
      <c r="D3" s="2931"/>
      <c r="E3" s="2932"/>
      <c r="F3" s="2899" t="s">
        <v>4356</v>
      </c>
      <c r="G3" s="2904"/>
      <c r="H3" s="2904"/>
      <c r="I3" s="2904"/>
      <c r="J3" s="2900"/>
      <c r="K3" s="2899" t="s">
        <v>4357</v>
      </c>
      <c r="L3" s="2904"/>
      <c r="M3" s="2904"/>
      <c r="N3" s="2904"/>
      <c r="O3" s="2900"/>
      <c r="P3" s="2912" t="s">
        <v>4358</v>
      </c>
      <c r="Q3" s="2912"/>
      <c r="R3" s="2912"/>
      <c r="S3" s="2912"/>
      <c r="T3" s="2912"/>
      <c r="U3" s="2912"/>
      <c r="V3" s="2912"/>
      <c r="W3" s="2899" t="s">
        <v>4359</v>
      </c>
      <c r="X3" s="2904"/>
      <c r="Y3" s="2900"/>
      <c r="Z3" s="2905" t="s">
        <v>4248</v>
      </c>
    </row>
    <row r="4" spans="1:26" ht="28.5">
      <c r="A4" s="2928"/>
      <c r="B4" s="2933"/>
      <c r="C4" s="2908"/>
      <c r="D4" s="2908"/>
      <c r="E4" s="2934"/>
      <c r="F4" s="1512" t="s">
        <v>4360</v>
      </c>
      <c r="G4" s="1512" t="s">
        <v>4361</v>
      </c>
      <c r="H4" s="1512" t="s">
        <v>4362</v>
      </c>
      <c r="I4" s="1512" t="s">
        <v>4204</v>
      </c>
      <c r="J4" s="1512" t="s">
        <v>4152</v>
      </c>
      <c r="K4" s="1512" t="s">
        <v>4360</v>
      </c>
      <c r="L4" s="1512" t="s">
        <v>4361</v>
      </c>
      <c r="M4" s="1512" t="s">
        <v>4362</v>
      </c>
      <c r="N4" s="1512" t="s">
        <v>4204</v>
      </c>
      <c r="O4" s="1512" t="s">
        <v>4152</v>
      </c>
      <c r="P4" s="1512" t="s">
        <v>4360</v>
      </c>
      <c r="Q4" s="1512" t="s">
        <v>4361</v>
      </c>
      <c r="R4" s="1512" t="s">
        <v>4362</v>
      </c>
      <c r="S4" s="1512" t="s">
        <v>4204</v>
      </c>
      <c r="T4" s="1512" t="s">
        <v>4152</v>
      </c>
      <c r="U4" s="1512" t="s">
        <v>4363</v>
      </c>
      <c r="V4" s="1512" t="s">
        <v>4364</v>
      </c>
      <c r="W4" s="1512" t="s">
        <v>4365</v>
      </c>
      <c r="X4" s="1512" t="s">
        <v>4366</v>
      </c>
      <c r="Y4" s="1512" t="s">
        <v>3515</v>
      </c>
      <c r="Z4" s="2923"/>
    </row>
    <row r="5" spans="1:26">
      <c r="A5" s="2929"/>
      <c r="B5" s="2924" t="s">
        <v>66</v>
      </c>
      <c r="C5" s="2925"/>
      <c r="D5" s="2925"/>
      <c r="E5" s="2926"/>
      <c r="F5" s="1513" t="s">
        <v>67</v>
      </c>
      <c r="G5" s="1513" t="s">
        <v>68</v>
      </c>
      <c r="H5" s="1513" t="s">
        <v>69</v>
      </c>
      <c r="I5" s="1513" t="s">
        <v>70</v>
      </c>
      <c r="J5" s="1513" t="s">
        <v>71</v>
      </c>
      <c r="K5" s="1513" t="s">
        <v>72</v>
      </c>
      <c r="L5" s="1513" t="s">
        <v>73</v>
      </c>
      <c r="M5" s="1513" t="s">
        <v>74</v>
      </c>
      <c r="N5" s="1513" t="s">
        <v>75</v>
      </c>
      <c r="O5" s="1513" t="s">
        <v>225</v>
      </c>
      <c r="P5" s="1513" t="s">
        <v>226</v>
      </c>
      <c r="Q5" s="1513" t="s">
        <v>274</v>
      </c>
      <c r="R5" s="1513" t="s">
        <v>275</v>
      </c>
      <c r="S5" s="1513" t="s">
        <v>276</v>
      </c>
      <c r="T5" s="1513" t="s">
        <v>277</v>
      </c>
      <c r="U5" s="1513" t="s">
        <v>278</v>
      </c>
      <c r="V5" s="1513" t="s">
        <v>138</v>
      </c>
      <c r="W5" s="1513" t="s">
        <v>139</v>
      </c>
      <c r="X5" s="1513" t="s">
        <v>140</v>
      </c>
      <c r="Y5" s="1513" t="s">
        <v>141</v>
      </c>
      <c r="Z5" s="1513" t="s">
        <v>185</v>
      </c>
    </row>
    <row r="6" spans="1:26">
      <c r="A6" s="482">
        <v>1</v>
      </c>
      <c r="B6" s="2905" t="s">
        <v>4367</v>
      </c>
      <c r="C6" s="1120" t="s">
        <v>4368</v>
      </c>
      <c r="D6" s="2899" t="s">
        <v>4369</v>
      </c>
      <c r="E6" s="2900"/>
      <c r="F6" s="1514"/>
      <c r="G6" s="1514"/>
      <c r="H6" s="1514"/>
      <c r="I6" s="1514"/>
      <c r="J6" s="1515">
        <f>SUM(F6:I6)</f>
        <v>0</v>
      </c>
      <c r="K6" s="1516"/>
      <c r="L6" s="1516"/>
      <c r="M6" s="1516"/>
      <c r="N6" s="1516"/>
      <c r="O6" s="1516"/>
      <c r="P6" s="1514">
        <f>F6</f>
        <v>0</v>
      </c>
      <c r="Q6" s="1514">
        <f>G6</f>
        <v>0</v>
      </c>
      <c r="R6" s="1514">
        <f>H6</f>
        <v>0</v>
      </c>
      <c r="S6" s="1514">
        <f>I6</f>
        <v>0</v>
      </c>
      <c r="T6" s="1515">
        <f>SUM(P6:S6)</f>
        <v>0</v>
      </c>
      <c r="U6" s="1517" t="e">
        <f>T6/'表05-1'!$D$269</f>
        <v>#DIV/0!</v>
      </c>
      <c r="V6" s="1517" t="e">
        <f>T6/'表05-1'!$D$257</f>
        <v>#DIV/0!</v>
      </c>
      <c r="W6" s="1516"/>
      <c r="X6" s="1516"/>
      <c r="Y6" s="1516"/>
      <c r="Z6" s="1518"/>
    </row>
    <row r="7" spans="1:26">
      <c r="A7" s="482">
        <v>2</v>
      </c>
      <c r="B7" s="2910"/>
      <c r="C7" s="2905" t="s">
        <v>4370</v>
      </c>
      <c r="D7" s="2905" t="s">
        <v>4371</v>
      </c>
      <c r="E7" s="1519" t="s">
        <v>4372</v>
      </c>
      <c r="F7" s="1514"/>
      <c r="G7" s="1514"/>
      <c r="H7" s="1514"/>
      <c r="I7" s="1514"/>
      <c r="J7" s="1515">
        <f t="shared" ref="J7:J12" si="0">SUM(F7:I7)</f>
        <v>0</v>
      </c>
      <c r="K7" s="1516"/>
      <c r="L7" s="1516"/>
      <c r="M7" s="1516"/>
      <c r="N7" s="1516"/>
      <c r="O7" s="1516"/>
      <c r="P7" s="1514">
        <f>F7</f>
        <v>0</v>
      </c>
      <c r="Q7" s="1514">
        <f>G7</f>
        <v>0</v>
      </c>
      <c r="R7" s="1514"/>
      <c r="S7" s="1514"/>
      <c r="T7" s="1515">
        <f t="shared" ref="T7:T12" si="1">SUM(P7:S7)</f>
        <v>0</v>
      </c>
      <c r="U7" s="1517" t="e">
        <f>T7/'表05-1'!$D$269</f>
        <v>#DIV/0!</v>
      </c>
      <c r="V7" s="1517" t="e">
        <f>T7/'表05-1'!$D$257</f>
        <v>#DIV/0!</v>
      </c>
      <c r="W7" s="1520"/>
      <c r="X7" s="1516"/>
      <c r="Y7" s="1521"/>
      <c r="Z7" s="1518"/>
    </row>
    <row r="8" spans="1:26">
      <c r="A8" s="482">
        <v>3</v>
      </c>
      <c r="B8" s="2910"/>
      <c r="C8" s="2910"/>
      <c r="D8" s="2921"/>
      <c r="E8" s="1519" t="s">
        <v>4373</v>
      </c>
      <c r="F8" s="1514"/>
      <c r="G8" s="1514"/>
      <c r="H8" s="1514"/>
      <c r="I8" s="1514"/>
      <c r="J8" s="1515">
        <f t="shared" si="0"/>
        <v>0</v>
      </c>
      <c r="K8" s="1516"/>
      <c r="L8" s="1516"/>
      <c r="M8" s="1516"/>
      <c r="N8" s="1516"/>
      <c r="O8" s="1516"/>
      <c r="P8" s="1514"/>
      <c r="Q8" s="1514"/>
      <c r="R8" s="1514"/>
      <c r="S8" s="1514"/>
      <c r="T8" s="1515">
        <f t="shared" si="1"/>
        <v>0</v>
      </c>
      <c r="U8" s="1517" t="e">
        <f>T8/'表05-1'!$D$269</f>
        <v>#DIV/0!</v>
      </c>
      <c r="V8" s="1517" t="e">
        <f>T8/'表05-1'!$D$257</f>
        <v>#DIV/0!</v>
      </c>
      <c r="W8" s="1520"/>
      <c r="X8" s="1516"/>
      <c r="Y8" s="1521"/>
      <c r="Z8" s="1518"/>
    </row>
    <row r="9" spans="1:26">
      <c r="A9" s="482">
        <v>4</v>
      </c>
      <c r="B9" s="2910"/>
      <c r="C9" s="2910"/>
      <c r="D9" s="2905" t="s">
        <v>4374</v>
      </c>
      <c r="E9" s="1519" t="s">
        <v>4375</v>
      </c>
      <c r="F9" s="1514"/>
      <c r="G9" s="1514"/>
      <c r="H9" s="1514"/>
      <c r="I9" s="1514"/>
      <c r="J9" s="1515">
        <f t="shared" si="0"/>
        <v>0</v>
      </c>
      <c r="K9" s="1516"/>
      <c r="L9" s="1516"/>
      <c r="M9" s="1516"/>
      <c r="N9" s="1516"/>
      <c r="O9" s="1516"/>
      <c r="P9" s="1514"/>
      <c r="Q9" s="1514"/>
      <c r="R9" s="1514"/>
      <c r="S9" s="1514"/>
      <c r="T9" s="1515">
        <f t="shared" si="1"/>
        <v>0</v>
      </c>
      <c r="U9" s="1517" t="e">
        <f>T9/'表05-1'!$D$269</f>
        <v>#DIV/0!</v>
      </c>
      <c r="V9" s="1517" t="e">
        <f>T9/'表05-1'!$D$257</f>
        <v>#DIV/0!</v>
      </c>
      <c r="W9" s="1520"/>
      <c r="X9" s="1516"/>
      <c r="Y9" s="1521"/>
      <c r="Z9" s="1518"/>
    </row>
    <row r="10" spans="1:26" ht="28.5">
      <c r="A10" s="482">
        <v>5</v>
      </c>
      <c r="B10" s="2910"/>
      <c r="C10" s="2910"/>
      <c r="D10" s="2921"/>
      <c r="E10" s="1519" t="s">
        <v>4376</v>
      </c>
      <c r="F10" s="1514"/>
      <c r="G10" s="1514"/>
      <c r="H10" s="1514"/>
      <c r="I10" s="1514"/>
      <c r="J10" s="1515">
        <f t="shared" si="0"/>
        <v>0</v>
      </c>
      <c r="K10" s="1516"/>
      <c r="L10" s="1516"/>
      <c r="M10" s="1516"/>
      <c r="N10" s="1516"/>
      <c r="O10" s="1516"/>
      <c r="P10" s="1514"/>
      <c r="Q10" s="1514"/>
      <c r="R10" s="1514"/>
      <c r="S10" s="1514"/>
      <c r="T10" s="1515">
        <f t="shared" si="1"/>
        <v>0</v>
      </c>
      <c r="U10" s="1517" t="e">
        <f>T10/'表05-1'!$D$269</f>
        <v>#DIV/0!</v>
      </c>
      <c r="V10" s="1517" t="e">
        <f>T10/'表05-1'!$D$257</f>
        <v>#DIV/0!</v>
      </c>
      <c r="W10" s="1520"/>
      <c r="X10" s="1516"/>
      <c r="Y10" s="1521"/>
      <c r="Z10" s="1518"/>
    </row>
    <row r="11" spans="1:26">
      <c r="A11" s="482">
        <v>6</v>
      </c>
      <c r="B11" s="2910"/>
      <c r="C11" s="2921"/>
      <c r="D11" s="2899" t="s">
        <v>3650</v>
      </c>
      <c r="E11" s="2900"/>
      <c r="F11" s="1522">
        <f>SUM(F7:F10)</f>
        <v>0</v>
      </c>
      <c r="G11" s="1522">
        <f>SUM(G7:G10)</f>
        <v>0</v>
      </c>
      <c r="H11" s="1514"/>
      <c r="I11" s="1514"/>
      <c r="J11" s="1515">
        <f t="shared" si="0"/>
        <v>0</v>
      </c>
      <c r="K11" s="1516"/>
      <c r="L11" s="1516"/>
      <c r="M11" s="1516"/>
      <c r="N11" s="1516"/>
      <c r="O11" s="1516"/>
      <c r="P11" s="1514">
        <f>F11</f>
        <v>0</v>
      </c>
      <c r="Q11" s="1514">
        <f>G11</f>
        <v>0</v>
      </c>
      <c r="R11" s="1514"/>
      <c r="S11" s="1514"/>
      <c r="T11" s="1515">
        <f t="shared" si="1"/>
        <v>0</v>
      </c>
      <c r="U11" s="1517" t="e">
        <f>T11/'表05-1'!$D$269</f>
        <v>#DIV/0!</v>
      </c>
      <c r="V11" s="1517" t="e">
        <f>T11/'表05-1'!$D$257</f>
        <v>#DIV/0!</v>
      </c>
      <c r="W11" s="1520"/>
      <c r="X11" s="1516"/>
      <c r="Y11" s="1520"/>
      <c r="Z11" s="1518"/>
    </row>
    <row r="12" spans="1:26">
      <c r="A12" s="482">
        <v>7</v>
      </c>
      <c r="B12" s="2921"/>
      <c r="C12" s="2899" t="s">
        <v>4152</v>
      </c>
      <c r="D12" s="2904"/>
      <c r="E12" s="2900"/>
      <c r="F12" s="1522">
        <f>F6+F11</f>
        <v>0</v>
      </c>
      <c r="G12" s="1522">
        <f>G6+G11</f>
        <v>0</v>
      </c>
      <c r="H12" s="1514"/>
      <c r="I12" s="1514"/>
      <c r="J12" s="1515">
        <f t="shared" si="0"/>
        <v>0</v>
      </c>
      <c r="K12" s="1516"/>
      <c r="L12" s="1516"/>
      <c r="M12" s="1516"/>
      <c r="N12" s="1516"/>
      <c r="O12" s="1516"/>
      <c r="P12" s="1514">
        <f>F12</f>
        <v>0</v>
      </c>
      <c r="Q12" s="1514">
        <f>G12</f>
        <v>0</v>
      </c>
      <c r="R12" s="1514"/>
      <c r="S12" s="1514"/>
      <c r="T12" s="1515">
        <f t="shared" si="1"/>
        <v>0</v>
      </c>
      <c r="U12" s="1517" t="e">
        <f>T12/'表05-1'!$D$269</f>
        <v>#DIV/0!</v>
      </c>
      <c r="V12" s="1517" t="e">
        <f>T12/'表05-1'!$D$257</f>
        <v>#DIV/0!</v>
      </c>
      <c r="W12" s="1520"/>
      <c r="X12" s="1516"/>
      <c r="Y12" s="1520"/>
      <c r="Z12" s="1518"/>
    </row>
    <row r="13" spans="1:26" ht="15.75" customHeight="1">
      <c r="A13" s="482">
        <v>8</v>
      </c>
      <c r="B13" s="2905" t="s">
        <v>4377</v>
      </c>
      <c r="C13" s="2905" t="s">
        <v>4368</v>
      </c>
      <c r="D13" s="2899" t="s">
        <v>4378</v>
      </c>
      <c r="E13" s="2922"/>
      <c r="F13" s="1516"/>
      <c r="G13" s="1516"/>
      <c r="H13" s="1516"/>
      <c r="I13" s="1516"/>
      <c r="J13" s="1516"/>
      <c r="K13" s="1514"/>
      <c r="L13" s="1514"/>
      <c r="M13" s="1514"/>
      <c r="N13" s="1514"/>
      <c r="O13" s="1514"/>
      <c r="P13" s="1514"/>
      <c r="Q13" s="1514"/>
      <c r="R13" s="1514"/>
      <c r="S13" s="1514"/>
      <c r="T13" s="1514"/>
      <c r="U13" s="1517" t="e">
        <f>T13/'表05-1'!$D$269</f>
        <v>#DIV/0!</v>
      </c>
      <c r="V13" s="1517" t="e">
        <f>T13/'表05-1'!$D$257</f>
        <v>#DIV/0!</v>
      </c>
      <c r="W13" s="1516"/>
      <c r="X13" s="1516"/>
      <c r="Y13" s="1516"/>
      <c r="Z13" s="1518"/>
    </row>
    <row r="14" spans="1:26" ht="15.75" customHeight="1">
      <c r="A14" s="482">
        <v>9</v>
      </c>
      <c r="B14" s="2910"/>
      <c r="C14" s="2910"/>
      <c r="D14" s="2899" t="s">
        <v>4379</v>
      </c>
      <c r="E14" s="2900"/>
      <c r="F14" s="1516"/>
      <c r="G14" s="1516"/>
      <c r="H14" s="1516"/>
      <c r="I14" s="1516"/>
      <c r="J14" s="1516"/>
      <c r="K14" s="1514"/>
      <c r="L14" s="1514"/>
      <c r="M14" s="1514"/>
      <c r="N14" s="1514"/>
      <c r="O14" s="1514"/>
      <c r="P14" s="1514"/>
      <c r="Q14" s="1514"/>
      <c r="R14" s="1514"/>
      <c r="S14" s="1514"/>
      <c r="T14" s="1514"/>
      <c r="U14" s="1517" t="e">
        <f>T14/'表05-1'!$D$269</f>
        <v>#DIV/0!</v>
      </c>
      <c r="V14" s="1517" t="e">
        <f>T14/'表05-1'!$D$257</f>
        <v>#DIV/0!</v>
      </c>
      <c r="W14" s="1516"/>
      <c r="X14" s="1516"/>
      <c r="Y14" s="1516"/>
      <c r="Z14" s="1518"/>
    </row>
    <row r="15" spans="1:26">
      <c r="A15" s="482">
        <v>10</v>
      </c>
      <c r="B15" s="2910"/>
      <c r="C15" s="2921"/>
      <c r="D15" s="2899" t="s">
        <v>3650</v>
      </c>
      <c r="E15" s="2900"/>
      <c r="F15" s="1516"/>
      <c r="G15" s="1516"/>
      <c r="H15" s="1516"/>
      <c r="I15" s="1516"/>
      <c r="J15" s="1516"/>
      <c r="K15" s="1514"/>
      <c r="L15" s="1514"/>
      <c r="M15" s="1514"/>
      <c r="N15" s="1514"/>
      <c r="O15" s="1514"/>
      <c r="P15" s="1514"/>
      <c r="Q15" s="1514"/>
      <c r="R15" s="1514"/>
      <c r="S15" s="1514"/>
      <c r="T15" s="1514"/>
      <c r="U15" s="1517" t="e">
        <f>T15/'表05-1'!$D$269</f>
        <v>#DIV/0!</v>
      </c>
      <c r="V15" s="1517" t="e">
        <f>T15/'表05-1'!$D$257</f>
        <v>#DIV/0!</v>
      </c>
      <c r="W15" s="1516"/>
      <c r="X15" s="1516"/>
      <c r="Y15" s="1516"/>
      <c r="Z15" s="1518"/>
    </row>
    <row r="16" spans="1:26" ht="15.75" customHeight="1">
      <c r="A16" s="482">
        <v>11</v>
      </c>
      <c r="B16" s="2910"/>
      <c r="C16" s="2905" t="s">
        <v>4370</v>
      </c>
      <c r="D16" s="2904" t="s">
        <v>4378</v>
      </c>
      <c r="E16" s="2900"/>
      <c r="F16" s="1516"/>
      <c r="G16" s="1516"/>
      <c r="H16" s="1516"/>
      <c r="I16" s="1516"/>
      <c r="J16" s="1516"/>
      <c r="K16" s="1514"/>
      <c r="L16" s="1514"/>
      <c r="M16" s="1514"/>
      <c r="N16" s="1514"/>
      <c r="O16" s="1514"/>
      <c r="P16" s="1514"/>
      <c r="Q16" s="1514"/>
      <c r="R16" s="1514"/>
      <c r="S16" s="1514"/>
      <c r="T16" s="1514"/>
      <c r="U16" s="1517" t="e">
        <f>T16/'表05-1'!$D$269</f>
        <v>#DIV/0!</v>
      </c>
      <c r="V16" s="1517" t="e">
        <f>T16/'表05-1'!$D$257</f>
        <v>#DIV/0!</v>
      </c>
      <c r="W16" s="1516"/>
      <c r="X16" s="1520"/>
      <c r="Y16" s="1523"/>
      <c r="Z16" s="1518"/>
    </row>
    <row r="17" spans="1:26" ht="15.75" customHeight="1">
      <c r="A17" s="482">
        <v>12</v>
      </c>
      <c r="B17" s="2910"/>
      <c r="C17" s="2910"/>
      <c r="D17" s="2904" t="s">
        <v>4379</v>
      </c>
      <c r="E17" s="2900"/>
      <c r="F17" s="1516"/>
      <c r="G17" s="1516"/>
      <c r="H17" s="1516"/>
      <c r="I17" s="1516"/>
      <c r="J17" s="1516"/>
      <c r="K17" s="1514"/>
      <c r="L17" s="1514"/>
      <c r="M17" s="1514"/>
      <c r="N17" s="1514"/>
      <c r="O17" s="1514"/>
      <c r="P17" s="1514"/>
      <c r="Q17" s="1514"/>
      <c r="R17" s="1514"/>
      <c r="S17" s="1514"/>
      <c r="T17" s="1514"/>
      <c r="U17" s="1517" t="e">
        <f>T17/'表05-1'!$D$269</f>
        <v>#DIV/0!</v>
      </c>
      <c r="V17" s="1517" t="e">
        <f>T17/'表05-1'!$D$257</f>
        <v>#DIV/0!</v>
      </c>
      <c r="W17" s="1516"/>
      <c r="X17" s="1520"/>
      <c r="Y17" s="1523"/>
      <c r="Z17" s="1518"/>
    </row>
    <row r="18" spans="1:26">
      <c r="A18" s="482">
        <v>13</v>
      </c>
      <c r="B18" s="2910"/>
      <c r="C18" s="2921"/>
      <c r="D18" s="2904" t="s">
        <v>3650</v>
      </c>
      <c r="E18" s="2900"/>
      <c r="F18" s="1516"/>
      <c r="G18" s="1516"/>
      <c r="H18" s="1516"/>
      <c r="I18" s="1516"/>
      <c r="J18" s="1516"/>
      <c r="K18" s="1514"/>
      <c r="L18" s="1514"/>
      <c r="M18" s="1514"/>
      <c r="N18" s="1514"/>
      <c r="O18" s="1514"/>
      <c r="P18" s="1514"/>
      <c r="Q18" s="1514"/>
      <c r="R18" s="1514"/>
      <c r="S18" s="1514"/>
      <c r="T18" s="1514"/>
      <c r="U18" s="1517" t="e">
        <f>T18/'表05-1'!$D$269</f>
        <v>#DIV/0!</v>
      </c>
      <c r="V18" s="1517" t="e">
        <f>T18/'表05-1'!$D$257</f>
        <v>#DIV/0!</v>
      </c>
      <c r="W18" s="1516"/>
      <c r="X18" s="1520"/>
      <c r="Y18" s="1520"/>
      <c r="Z18" s="1518"/>
    </row>
    <row r="19" spans="1:26">
      <c r="A19" s="482">
        <v>14</v>
      </c>
      <c r="B19" s="2921"/>
      <c r="C19" s="2899" t="s">
        <v>4152</v>
      </c>
      <c r="D19" s="2904"/>
      <c r="E19" s="2900"/>
      <c r="F19" s="1516"/>
      <c r="G19" s="1516"/>
      <c r="H19" s="1516"/>
      <c r="I19" s="1516"/>
      <c r="J19" s="1516"/>
      <c r="K19" s="1514"/>
      <c r="L19" s="1514"/>
      <c r="M19" s="1514"/>
      <c r="N19" s="1514"/>
      <c r="O19" s="1514"/>
      <c r="P19" s="1514"/>
      <c r="Q19" s="1514"/>
      <c r="R19" s="1514"/>
      <c r="S19" s="1514"/>
      <c r="T19" s="1514"/>
      <c r="U19" s="1517" t="e">
        <f>T19/'表05-1'!$D$269</f>
        <v>#DIV/0!</v>
      </c>
      <c r="V19" s="1517" t="e">
        <f>T19/'表05-1'!$D$257</f>
        <v>#DIV/0!</v>
      </c>
      <c r="W19" s="1516"/>
      <c r="X19" s="1520"/>
      <c r="Y19" s="1520"/>
      <c r="Z19" s="1518"/>
    </row>
    <row r="20" spans="1:26">
      <c r="A20" s="482">
        <v>15</v>
      </c>
      <c r="B20" s="2915" t="s">
        <v>4380</v>
      </c>
      <c r="C20" s="2918" t="s">
        <v>3653</v>
      </c>
      <c r="D20" s="2919"/>
      <c r="E20" s="2920"/>
      <c r="F20" s="1514"/>
      <c r="G20" s="1514"/>
      <c r="H20" s="1514"/>
      <c r="I20" s="1514"/>
      <c r="J20" s="1514"/>
      <c r="K20" s="1514"/>
      <c r="L20" s="1514"/>
      <c r="M20" s="1514"/>
      <c r="N20" s="1514"/>
      <c r="O20" s="1514"/>
      <c r="P20" s="1514"/>
      <c r="Q20" s="1514"/>
      <c r="R20" s="1514"/>
      <c r="S20" s="1514"/>
      <c r="T20" s="1515">
        <f t="shared" ref="T20:T27" si="2">SUM(P20:S20)</f>
        <v>0</v>
      </c>
      <c r="U20" s="1517" t="e">
        <f>T20/'表05-1'!$D$269</f>
        <v>#DIV/0!</v>
      </c>
      <c r="V20" s="1517" t="e">
        <f>T20/'表05-1'!$D$257</f>
        <v>#DIV/0!</v>
      </c>
      <c r="W20" s="1520"/>
      <c r="X20" s="1520"/>
      <c r="Y20" s="1523"/>
      <c r="Z20" s="1518"/>
    </row>
    <row r="21" spans="1:26">
      <c r="A21" s="482">
        <v>16</v>
      </c>
      <c r="B21" s="2916"/>
      <c r="C21" s="2918" t="s">
        <v>3654</v>
      </c>
      <c r="D21" s="2919"/>
      <c r="E21" s="2920"/>
      <c r="F21" s="1514"/>
      <c r="G21" s="1514"/>
      <c r="H21" s="1514"/>
      <c r="I21" s="1514"/>
      <c r="J21" s="1514"/>
      <c r="K21" s="1514"/>
      <c r="L21" s="1514"/>
      <c r="M21" s="1514"/>
      <c r="N21" s="1514"/>
      <c r="O21" s="1514"/>
      <c r="P21" s="1514"/>
      <c r="Q21" s="1514"/>
      <c r="R21" s="1514"/>
      <c r="S21" s="1514"/>
      <c r="T21" s="1515">
        <f t="shared" si="2"/>
        <v>0</v>
      </c>
      <c r="U21" s="1517" t="e">
        <f>T21/'表05-1'!$D$269</f>
        <v>#DIV/0!</v>
      </c>
      <c r="V21" s="1517" t="e">
        <f>T21/'表05-1'!$D$257</f>
        <v>#DIV/0!</v>
      </c>
      <c r="W21" s="1520"/>
      <c r="X21" s="1520"/>
      <c r="Y21" s="1520"/>
      <c r="Z21" s="1518"/>
    </row>
    <row r="22" spans="1:26">
      <c r="A22" s="482">
        <v>17</v>
      </c>
      <c r="B22" s="2916"/>
      <c r="C22" s="2918" t="s">
        <v>3655</v>
      </c>
      <c r="D22" s="2919"/>
      <c r="E22" s="2920"/>
      <c r="F22" s="1514"/>
      <c r="G22" s="1514"/>
      <c r="H22" s="1514"/>
      <c r="I22" s="1514"/>
      <c r="J22" s="1514"/>
      <c r="K22" s="1514"/>
      <c r="L22" s="1514"/>
      <c r="M22" s="1514"/>
      <c r="N22" s="1514"/>
      <c r="O22" s="1514"/>
      <c r="P22" s="1514"/>
      <c r="Q22" s="1514"/>
      <c r="R22" s="1514"/>
      <c r="S22" s="1514"/>
      <c r="T22" s="1515">
        <f t="shared" si="2"/>
        <v>0</v>
      </c>
      <c r="U22" s="1517" t="e">
        <f>T22/'表05-1'!$D$269</f>
        <v>#DIV/0!</v>
      </c>
      <c r="V22" s="1517" t="e">
        <f>T22/'表05-1'!$D$257</f>
        <v>#DIV/0!</v>
      </c>
      <c r="W22" s="1520"/>
      <c r="X22" s="1520"/>
      <c r="Y22" s="1523"/>
      <c r="Z22" s="1518"/>
    </row>
    <row r="23" spans="1:26">
      <c r="A23" s="482">
        <v>18</v>
      </c>
      <c r="B23" s="2916"/>
      <c r="C23" s="2918" t="s">
        <v>3656</v>
      </c>
      <c r="D23" s="2919"/>
      <c r="E23" s="2920"/>
      <c r="F23" s="1514"/>
      <c r="G23" s="1514"/>
      <c r="H23" s="1514"/>
      <c r="I23" s="1514"/>
      <c r="J23" s="1514"/>
      <c r="K23" s="1514"/>
      <c r="L23" s="1514"/>
      <c r="M23" s="1514"/>
      <c r="N23" s="1514"/>
      <c r="O23" s="1514"/>
      <c r="P23" s="1514"/>
      <c r="Q23" s="1514"/>
      <c r="R23" s="1514"/>
      <c r="S23" s="1514"/>
      <c r="T23" s="1515">
        <f t="shared" si="2"/>
        <v>0</v>
      </c>
      <c r="U23" s="1517" t="e">
        <f>T23/'表05-1'!$D$269</f>
        <v>#DIV/0!</v>
      </c>
      <c r="V23" s="1517" t="e">
        <f>T23/'表05-1'!$D$257</f>
        <v>#DIV/0!</v>
      </c>
      <c r="W23" s="1520"/>
      <c r="X23" s="1520"/>
      <c r="Y23" s="1520"/>
      <c r="Z23" s="1518"/>
    </row>
    <row r="24" spans="1:26">
      <c r="A24" s="482">
        <v>19</v>
      </c>
      <c r="B24" s="2917"/>
      <c r="C24" s="2899" t="s">
        <v>4152</v>
      </c>
      <c r="D24" s="2904"/>
      <c r="E24" s="2900"/>
      <c r="F24" s="1514"/>
      <c r="G24" s="1514"/>
      <c r="H24" s="1514"/>
      <c r="I24" s="1514"/>
      <c r="J24" s="1514"/>
      <c r="K24" s="1514"/>
      <c r="L24" s="1514"/>
      <c r="M24" s="1514"/>
      <c r="N24" s="1514"/>
      <c r="O24" s="1514"/>
      <c r="P24" s="1514"/>
      <c r="Q24" s="1514"/>
      <c r="R24" s="1514"/>
      <c r="S24" s="1514"/>
      <c r="T24" s="1515">
        <f t="shared" si="2"/>
        <v>0</v>
      </c>
      <c r="U24" s="1517" t="e">
        <f>T24/'表05-1'!$D$269</f>
        <v>#DIV/0!</v>
      </c>
      <c r="V24" s="1517" t="e">
        <f>T24/'表05-1'!$D$257</f>
        <v>#DIV/0!</v>
      </c>
      <c r="W24" s="1520"/>
      <c r="X24" s="1520"/>
      <c r="Y24" s="1520"/>
      <c r="Z24" s="1518"/>
    </row>
    <row r="25" spans="1:26">
      <c r="A25" s="482">
        <v>20</v>
      </c>
      <c r="B25" s="2899" t="s">
        <v>4381</v>
      </c>
      <c r="C25" s="2904"/>
      <c r="D25" s="2904"/>
      <c r="E25" s="2900"/>
      <c r="F25" s="1522">
        <f>F6+F15</f>
        <v>0</v>
      </c>
      <c r="G25" s="1522">
        <f>G6+G15</f>
        <v>0</v>
      </c>
      <c r="H25" s="1522"/>
      <c r="I25" s="1522"/>
      <c r="J25" s="1515">
        <f>SUM(F25:I25)</f>
        <v>0</v>
      </c>
      <c r="K25" s="1514"/>
      <c r="L25" s="1514"/>
      <c r="M25" s="1514"/>
      <c r="N25" s="1514"/>
      <c r="O25" s="1514"/>
      <c r="P25" s="1522">
        <f>P6+P15</f>
        <v>0</v>
      </c>
      <c r="Q25" s="1522">
        <f>Q6+Q15</f>
        <v>0</v>
      </c>
      <c r="R25" s="1522"/>
      <c r="S25" s="1522"/>
      <c r="T25" s="1515">
        <f t="shared" si="2"/>
        <v>0</v>
      </c>
      <c r="U25" s="1517" t="e">
        <f>T25/'表05-1'!$D$269</f>
        <v>#DIV/0!</v>
      </c>
      <c r="V25" s="1517" t="e">
        <f>T25/'表05-1'!$D$257</f>
        <v>#DIV/0!</v>
      </c>
      <c r="W25" s="1516"/>
      <c r="X25" s="1516"/>
      <c r="Y25" s="1516"/>
      <c r="Z25" s="1518"/>
    </row>
    <row r="26" spans="1:26">
      <c r="A26" s="482">
        <v>21</v>
      </c>
      <c r="B26" s="2899" t="s">
        <v>3657</v>
      </c>
      <c r="C26" s="2904"/>
      <c r="D26" s="2904"/>
      <c r="E26" s="2900"/>
      <c r="F26" s="1522">
        <f>F11+F18</f>
        <v>0</v>
      </c>
      <c r="G26" s="1522">
        <f>G11+G18</f>
        <v>0</v>
      </c>
      <c r="H26" s="1522"/>
      <c r="I26" s="1522"/>
      <c r="J26" s="1515">
        <f>SUM(F26:I26)</f>
        <v>0</v>
      </c>
      <c r="K26" s="1514"/>
      <c r="L26" s="1514"/>
      <c r="M26" s="1514"/>
      <c r="N26" s="1514"/>
      <c r="O26" s="1514"/>
      <c r="P26" s="1522">
        <f>P11+P18</f>
        <v>0</v>
      </c>
      <c r="Q26" s="1522">
        <f>Q11+Q18</f>
        <v>0</v>
      </c>
      <c r="R26" s="1522"/>
      <c r="S26" s="1522"/>
      <c r="T26" s="1515">
        <f t="shared" si="2"/>
        <v>0</v>
      </c>
      <c r="U26" s="1517" t="e">
        <f>T26/'表05-1'!$D$269</f>
        <v>#DIV/0!</v>
      </c>
      <c r="V26" s="1517" t="e">
        <f>T26/'表05-1'!$D$257</f>
        <v>#DIV/0!</v>
      </c>
      <c r="W26" s="1520"/>
      <c r="X26" s="1520"/>
      <c r="Y26" s="1520"/>
      <c r="Z26" s="1518"/>
    </row>
    <row r="27" spans="1:26">
      <c r="A27" s="482">
        <v>22</v>
      </c>
      <c r="B27" s="2899" t="s">
        <v>4382</v>
      </c>
      <c r="C27" s="2904"/>
      <c r="D27" s="2904"/>
      <c r="E27" s="2900"/>
      <c r="F27" s="1522">
        <f>F12+F19+F24</f>
        <v>0</v>
      </c>
      <c r="G27" s="1522">
        <f>G12+G19+G24</f>
        <v>0</v>
      </c>
      <c r="H27" s="1522"/>
      <c r="I27" s="1522"/>
      <c r="J27" s="1515">
        <f>SUM(F27:I27)</f>
        <v>0</v>
      </c>
      <c r="K27" s="1514"/>
      <c r="L27" s="1514"/>
      <c r="M27" s="1514"/>
      <c r="N27" s="1514"/>
      <c r="O27" s="1514"/>
      <c r="P27" s="1522">
        <f>P12+P19+P24</f>
        <v>0</v>
      </c>
      <c r="Q27" s="1522">
        <f>Q12+Q19+Q24</f>
        <v>0</v>
      </c>
      <c r="R27" s="1522"/>
      <c r="S27" s="1522"/>
      <c r="T27" s="1515">
        <f t="shared" si="2"/>
        <v>0</v>
      </c>
      <c r="U27" s="1517" t="e">
        <f>T27/'表05-1'!$D$269</f>
        <v>#DIV/0!</v>
      </c>
      <c r="V27" s="1517" t="e">
        <f>T27/'表05-1'!$D$257</f>
        <v>#DIV/0!</v>
      </c>
      <c r="W27" s="1516"/>
      <c r="X27" s="1516"/>
      <c r="Y27" s="1516"/>
      <c r="Z27" s="1518"/>
    </row>
    <row r="29" spans="1:26">
      <c r="A29" s="2690" t="s">
        <v>8457</v>
      </c>
      <c r="B29" s="2690"/>
    </row>
    <row r="30" spans="1:26">
      <c r="A30" s="2690">
        <v>1</v>
      </c>
      <c r="B30" s="2691" t="s">
        <v>8458</v>
      </c>
    </row>
    <row r="31" spans="1:26">
      <c r="A31" s="2692">
        <v>2</v>
      </c>
      <c r="B31" s="2689" t="s">
        <v>8459</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30"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tabColor rgb="FFFFFF00"/>
    <pageSetUpPr fitToPage="1"/>
  </sheetPr>
  <dimension ref="A1:V32"/>
  <sheetViews>
    <sheetView view="pageBreakPreview" zoomScale="115" zoomScaleNormal="100" zoomScaleSheetLayoutView="115" workbookViewId="0"/>
  </sheetViews>
  <sheetFormatPr defaultColWidth="9" defaultRowHeight="16.5"/>
  <cols>
    <col min="1" max="1" width="9" style="59"/>
    <col min="2" max="2" width="5.25" style="59" customWidth="1"/>
    <col min="3" max="3" width="11.75" style="59" customWidth="1"/>
    <col min="4" max="4" width="16.125" style="59" customWidth="1"/>
    <col min="5" max="5" width="5.75" style="59" customWidth="1"/>
    <col min="6" max="6" width="12.375" style="59" customWidth="1"/>
    <col min="7" max="7" width="5" style="59" customWidth="1"/>
    <col min="8" max="8" width="8.5" style="59" customWidth="1"/>
    <col min="9" max="9" width="11" style="59" customWidth="1"/>
    <col min="10" max="13" width="11.25" style="59" customWidth="1"/>
    <col min="14" max="14" width="11.5" style="59" bestFit="1" customWidth="1"/>
    <col min="15" max="15" width="9.125" style="59" bestFit="1" customWidth="1"/>
    <col min="16" max="16" width="12.25" style="59" bestFit="1" customWidth="1"/>
    <col min="17" max="18" width="16.75" style="59" bestFit="1" customWidth="1"/>
    <col min="19" max="19" width="8" style="59" bestFit="1" customWidth="1"/>
    <col min="20" max="20" width="11.625" style="59" bestFit="1" customWidth="1"/>
    <col min="21" max="21" width="9.75" style="59" bestFit="1" customWidth="1"/>
    <col min="22" max="22" width="12.25" style="59" bestFit="1" customWidth="1"/>
    <col min="23" max="16384" width="9" style="33"/>
  </cols>
  <sheetData>
    <row r="1" spans="1:22">
      <c r="A1" s="2186" t="str">
        <f>+封面!A3&amp;" "&amp;封面!A2</f>
        <v xml:space="preserve"> 中央再保險股份有限公司 年度檢查報表</v>
      </c>
    </row>
    <row r="2" spans="1:22">
      <c r="A2" s="1489" t="s">
        <v>4340</v>
      </c>
    </row>
    <row r="3" spans="1:22">
      <c r="A3" s="2935" t="s">
        <v>227</v>
      </c>
      <c r="B3" s="2936" t="s">
        <v>1149</v>
      </c>
      <c r="C3" s="2936" t="s">
        <v>1150</v>
      </c>
      <c r="D3" s="2936" t="s">
        <v>1151</v>
      </c>
      <c r="E3" s="2911" t="s">
        <v>1152</v>
      </c>
      <c r="F3" s="2935" t="s">
        <v>1181</v>
      </c>
      <c r="G3" s="2911" t="s">
        <v>1153</v>
      </c>
      <c r="H3" s="2911" t="s">
        <v>1154</v>
      </c>
      <c r="I3" s="2911" t="s">
        <v>1155</v>
      </c>
      <c r="J3" s="2935" t="s">
        <v>1156</v>
      </c>
      <c r="K3" s="2935"/>
      <c r="L3" s="2935"/>
      <c r="M3" s="2935"/>
      <c r="N3" s="2935" t="s">
        <v>1157</v>
      </c>
      <c r="O3" s="2935" t="s">
        <v>1158</v>
      </c>
      <c r="P3" s="2935"/>
      <c r="Q3" s="2935"/>
      <c r="R3" s="2935"/>
      <c r="S3" s="2935" t="s">
        <v>1159</v>
      </c>
      <c r="T3" s="2935"/>
      <c r="U3" s="2935"/>
      <c r="V3" s="2935" t="s">
        <v>1160</v>
      </c>
    </row>
    <row r="4" spans="1:22" ht="28.5">
      <c r="A4" s="2935"/>
      <c r="B4" s="2936"/>
      <c r="C4" s="2936"/>
      <c r="D4" s="2936"/>
      <c r="E4" s="2937"/>
      <c r="F4" s="2935"/>
      <c r="G4" s="2937"/>
      <c r="H4" s="2937"/>
      <c r="I4" s="2937"/>
      <c r="J4" s="2693" t="s">
        <v>8460</v>
      </c>
      <c r="K4" s="128" t="s">
        <v>1161</v>
      </c>
      <c r="L4" s="128" t="s">
        <v>1162</v>
      </c>
      <c r="M4" s="128" t="s">
        <v>1163</v>
      </c>
      <c r="N4" s="2935"/>
      <c r="O4" s="128" t="s">
        <v>1164</v>
      </c>
      <c r="P4" s="128" t="s">
        <v>1165</v>
      </c>
      <c r="Q4" s="128" t="s">
        <v>1166</v>
      </c>
      <c r="R4" s="128" t="s">
        <v>1167</v>
      </c>
      <c r="S4" s="128" t="s">
        <v>1168</v>
      </c>
      <c r="T4" s="128" t="s">
        <v>1169</v>
      </c>
      <c r="U4" s="1490" t="s">
        <v>1170</v>
      </c>
      <c r="V4" s="2935"/>
    </row>
    <row r="5" spans="1:22">
      <c r="A5" s="2935"/>
      <c r="B5" s="129" t="s">
        <v>66</v>
      </c>
      <c r="C5" s="129" t="s">
        <v>67</v>
      </c>
      <c r="D5" s="129" t="s">
        <v>68</v>
      </c>
      <c r="E5" s="129" t="s">
        <v>69</v>
      </c>
      <c r="F5" s="129" t="s">
        <v>70</v>
      </c>
      <c r="G5" s="129" t="s">
        <v>71</v>
      </c>
      <c r="H5" s="129" t="s">
        <v>72</v>
      </c>
      <c r="I5" s="129" t="s">
        <v>73</v>
      </c>
      <c r="J5" s="129" t="s">
        <v>74</v>
      </c>
      <c r="K5" s="129" t="s">
        <v>75</v>
      </c>
      <c r="L5" s="129" t="s">
        <v>225</v>
      </c>
      <c r="M5" s="129" t="s">
        <v>226</v>
      </c>
      <c r="N5" s="129" t="s">
        <v>274</v>
      </c>
      <c r="O5" s="129" t="s">
        <v>275</v>
      </c>
      <c r="P5" s="129" t="s">
        <v>276</v>
      </c>
      <c r="Q5" s="129" t="s">
        <v>277</v>
      </c>
      <c r="R5" s="129" t="s">
        <v>278</v>
      </c>
      <c r="S5" s="129" t="s">
        <v>138</v>
      </c>
      <c r="T5" s="129" t="s">
        <v>139</v>
      </c>
      <c r="U5" s="129" t="s">
        <v>140</v>
      </c>
      <c r="V5" s="129" t="s">
        <v>141</v>
      </c>
    </row>
    <row r="6" spans="1:22">
      <c r="A6" s="1491" t="s">
        <v>1028</v>
      </c>
      <c r="B6" s="133"/>
      <c r="C6" s="1492"/>
      <c r="D6" s="1492"/>
      <c r="E6" s="1493"/>
      <c r="F6" s="1493"/>
      <c r="G6" s="1493"/>
      <c r="H6" s="1493"/>
      <c r="I6" s="1493"/>
      <c r="J6" s="133"/>
      <c r="K6" s="1494"/>
      <c r="L6" s="1495"/>
      <c r="M6" s="133"/>
      <c r="N6" s="1496"/>
      <c r="O6" s="1497"/>
      <c r="P6" s="1496"/>
      <c r="Q6" s="1497"/>
      <c r="R6" s="1497"/>
      <c r="S6" s="1496"/>
      <c r="T6" s="1496"/>
      <c r="U6" s="1496"/>
      <c r="V6" s="1496"/>
    </row>
    <row r="7" spans="1:22">
      <c r="A7" s="1491" t="s">
        <v>76</v>
      </c>
      <c r="B7" s="133"/>
      <c r="C7" s="1492"/>
      <c r="D7" s="1492"/>
      <c r="E7" s="1493"/>
      <c r="F7" s="1493"/>
      <c r="G7" s="1493"/>
      <c r="H7" s="1493"/>
      <c r="I7" s="1493"/>
      <c r="J7" s="133"/>
      <c r="K7" s="133"/>
      <c r="L7" s="1495"/>
      <c r="M7" s="133"/>
      <c r="N7" s="1496"/>
      <c r="O7" s="1497"/>
      <c r="P7" s="1496"/>
      <c r="Q7" s="1497"/>
      <c r="R7" s="1497"/>
      <c r="S7" s="1496"/>
      <c r="T7" s="1496"/>
      <c r="U7" s="1496"/>
      <c r="V7" s="1496"/>
    </row>
    <row r="8" spans="1:22">
      <c r="A8" s="1491" t="s">
        <v>77</v>
      </c>
      <c r="B8" s="133"/>
      <c r="C8" s="1492"/>
      <c r="D8" s="1492"/>
      <c r="E8" s="1493"/>
      <c r="F8" s="1493"/>
      <c r="G8" s="1493"/>
      <c r="H8" s="1493"/>
      <c r="I8" s="1493"/>
      <c r="J8" s="133"/>
      <c r="K8" s="133"/>
      <c r="L8" s="1495"/>
      <c r="M8" s="133"/>
      <c r="N8" s="1496"/>
      <c r="O8" s="1497"/>
      <c r="P8" s="1496"/>
      <c r="Q8" s="1497"/>
      <c r="R8" s="1497"/>
      <c r="S8" s="1496"/>
      <c r="T8" s="1496"/>
      <c r="U8" s="1496"/>
      <c r="V8" s="1496"/>
    </row>
    <row r="9" spans="1:22">
      <c r="A9" s="1491" t="s">
        <v>78</v>
      </c>
      <c r="B9" s="133"/>
      <c r="C9" s="1492"/>
      <c r="D9" s="1492"/>
      <c r="E9" s="1493"/>
      <c r="F9" s="1493"/>
      <c r="G9" s="1493"/>
      <c r="H9" s="1493"/>
      <c r="I9" s="1493"/>
      <c r="J9" s="133"/>
      <c r="K9" s="133"/>
      <c r="L9" s="1495"/>
      <c r="M9" s="133"/>
      <c r="N9" s="1496"/>
      <c r="O9" s="1497"/>
      <c r="P9" s="1496"/>
      <c r="Q9" s="1497"/>
      <c r="R9" s="1497"/>
      <c r="S9" s="1496"/>
      <c r="T9" s="1496"/>
      <c r="U9" s="1496"/>
      <c r="V9" s="1496"/>
    </row>
    <row r="10" spans="1:22">
      <c r="A10" s="1491" t="s">
        <v>79</v>
      </c>
      <c r="B10" s="133"/>
      <c r="C10" s="1492"/>
      <c r="D10" s="1492"/>
      <c r="E10" s="1493"/>
      <c r="F10" s="1493"/>
      <c r="G10" s="1493"/>
      <c r="H10" s="1493"/>
      <c r="I10" s="1493"/>
      <c r="J10" s="133"/>
      <c r="K10" s="133"/>
      <c r="L10" s="1495"/>
      <c r="M10" s="133"/>
      <c r="N10" s="1496"/>
      <c r="O10" s="1497"/>
      <c r="P10" s="1496"/>
      <c r="Q10" s="1497"/>
      <c r="R10" s="1497"/>
      <c r="S10" s="1496"/>
      <c r="T10" s="1496"/>
      <c r="U10" s="1496"/>
      <c r="V10" s="1496"/>
    </row>
    <row r="11" spans="1:22">
      <c r="A11" s="1491" t="s">
        <v>80</v>
      </c>
      <c r="B11" s="133"/>
      <c r="C11" s="1492"/>
      <c r="D11" s="1492"/>
      <c r="E11" s="1493"/>
      <c r="F11" s="1493"/>
      <c r="G11" s="1493"/>
      <c r="H11" s="1493"/>
      <c r="I11" s="1493"/>
      <c r="J11" s="133"/>
      <c r="K11" s="133"/>
      <c r="L11" s="1495"/>
      <c r="M11" s="133"/>
      <c r="N11" s="1496"/>
      <c r="O11" s="1497"/>
      <c r="P11" s="1496"/>
      <c r="Q11" s="1497"/>
      <c r="R11" s="1497"/>
      <c r="S11" s="1496"/>
      <c r="T11" s="1496"/>
      <c r="U11" s="1496"/>
      <c r="V11" s="1496"/>
    </row>
    <row r="12" spans="1:22">
      <c r="A12" s="1491" t="s">
        <v>81</v>
      </c>
      <c r="B12" s="1498"/>
      <c r="C12" s="1499"/>
      <c r="D12" s="1492"/>
      <c r="E12" s="1493"/>
      <c r="F12" s="1493"/>
      <c r="G12" s="1493"/>
      <c r="H12" s="1493"/>
      <c r="I12" s="1493"/>
      <c r="J12" s="133"/>
      <c r="K12" s="133"/>
      <c r="L12" s="1495"/>
      <c r="M12" s="133"/>
      <c r="N12" s="1496"/>
      <c r="O12" s="1497"/>
      <c r="P12" s="1496"/>
      <c r="Q12" s="1497"/>
      <c r="R12" s="1497"/>
      <c r="S12" s="1496"/>
      <c r="T12" s="1496"/>
      <c r="U12" s="1496"/>
      <c r="V12" s="1496"/>
    </row>
    <row r="13" spans="1:22">
      <c r="A13" s="1491" t="s">
        <v>82</v>
      </c>
      <c r="B13" s="1500"/>
      <c r="C13" s="1500"/>
      <c r="D13" s="1500"/>
      <c r="E13" s="1501"/>
      <c r="F13" s="1501"/>
      <c r="G13" s="1501"/>
      <c r="H13" s="1501"/>
      <c r="I13" s="1501"/>
      <c r="J13" s="1500"/>
      <c r="K13" s="1500"/>
      <c r="L13" s="1502"/>
      <c r="M13" s="1503"/>
      <c r="N13" s="1496"/>
      <c r="O13" s="1497"/>
      <c r="P13" s="1496"/>
      <c r="Q13" s="1497"/>
      <c r="R13" s="1497"/>
      <c r="S13" s="1504"/>
      <c r="T13" s="1504"/>
      <c r="U13" s="1504"/>
      <c r="V13" s="1504"/>
    </row>
    <row r="14" spans="1:22">
      <c r="A14" s="1491" t="s">
        <v>83</v>
      </c>
      <c r="B14" s="1500"/>
      <c r="C14" s="1500"/>
      <c r="D14" s="1500"/>
      <c r="E14" s="1501"/>
      <c r="F14" s="1501"/>
      <c r="G14" s="1501"/>
      <c r="H14" s="1501"/>
      <c r="I14" s="1501"/>
      <c r="J14" s="1500"/>
      <c r="K14" s="1500"/>
      <c r="L14" s="1502"/>
      <c r="M14" s="1503"/>
      <c r="N14" s="1496"/>
      <c r="O14" s="1497"/>
      <c r="P14" s="1496"/>
      <c r="Q14" s="1497"/>
      <c r="R14" s="1497"/>
      <c r="S14" s="1504"/>
      <c r="T14" s="1504"/>
      <c r="U14" s="1504"/>
      <c r="V14" s="1504"/>
    </row>
    <row r="15" spans="1:22">
      <c r="A15" s="1491" t="s">
        <v>84</v>
      </c>
      <c r="B15" s="1500"/>
      <c r="C15" s="1500"/>
      <c r="D15" s="1500"/>
      <c r="E15" s="1501"/>
      <c r="F15" s="1501"/>
      <c r="G15" s="1501"/>
      <c r="H15" s="1501"/>
      <c r="I15" s="1501"/>
      <c r="J15" s="1500"/>
      <c r="K15" s="1500"/>
      <c r="L15" s="1502"/>
      <c r="M15" s="1503"/>
      <c r="N15" s="1496"/>
      <c r="O15" s="1497"/>
      <c r="P15" s="1496"/>
      <c r="Q15" s="1497"/>
      <c r="R15" s="1497"/>
      <c r="S15" s="1504"/>
      <c r="T15" s="1504"/>
      <c r="U15" s="1504"/>
      <c r="V15" s="1504"/>
    </row>
    <row r="16" spans="1:22">
      <c r="A16" s="1491" t="s">
        <v>10</v>
      </c>
      <c r="B16" s="1500"/>
      <c r="C16" s="1500"/>
      <c r="D16" s="1500"/>
      <c r="E16" s="1501"/>
      <c r="F16" s="1501"/>
      <c r="G16" s="1501"/>
      <c r="H16" s="1501"/>
      <c r="I16" s="1501"/>
      <c r="J16" s="1500"/>
      <c r="K16" s="1500"/>
      <c r="L16" s="1502"/>
      <c r="M16" s="1503"/>
      <c r="N16" s="1496"/>
      <c r="O16" s="1497"/>
      <c r="P16" s="1496"/>
      <c r="Q16" s="1497"/>
      <c r="R16" s="1497"/>
      <c r="S16" s="1504"/>
      <c r="T16" s="1504"/>
      <c r="U16" s="1504"/>
      <c r="V16" s="1504"/>
    </row>
    <row r="17" spans="1:22">
      <c r="A17" s="1491" t="s">
        <v>12</v>
      </c>
      <c r="B17" s="1500"/>
      <c r="C17" s="1500"/>
      <c r="D17" s="1503"/>
      <c r="E17" s="1501"/>
      <c r="F17" s="1501"/>
      <c r="G17" s="1501"/>
      <c r="H17" s="1501"/>
      <c r="I17" s="1501"/>
      <c r="J17" s="1500"/>
      <c r="K17" s="1500"/>
      <c r="L17" s="1502"/>
      <c r="M17" s="1503"/>
      <c r="N17" s="1496"/>
      <c r="O17" s="1497"/>
      <c r="P17" s="1496"/>
      <c r="Q17" s="1497"/>
      <c r="R17" s="1497"/>
      <c r="S17" s="1504"/>
      <c r="T17" s="1504"/>
      <c r="U17" s="1504"/>
      <c r="V17" s="1504"/>
    </row>
    <row r="18" spans="1:22">
      <c r="A18" s="1491" t="s">
        <v>14</v>
      </c>
      <c r="B18" s="1500"/>
      <c r="C18" s="1500"/>
      <c r="D18" s="1503"/>
      <c r="E18" s="1501"/>
      <c r="F18" s="1501"/>
      <c r="G18" s="1501"/>
      <c r="H18" s="1501"/>
      <c r="I18" s="1501"/>
      <c r="J18" s="1500"/>
      <c r="K18" s="1500"/>
      <c r="L18" s="1502"/>
      <c r="M18" s="1503"/>
      <c r="N18" s="1496"/>
      <c r="O18" s="1497"/>
      <c r="P18" s="1496"/>
      <c r="Q18" s="1497"/>
      <c r="R18" s="1497"/>
      <c r="S18" s="1504"/>
      <c r="T18" s="1504"/>
      <c r="U18" s="1504"/>
      <c r="V18" s="1504"/>
    </row>
    <row r="19" spans="1:22">
      <c r="A19" s="1491" t="s">
        <v>16</v>
      </c>
      <c r="B19" s="2938" t="s">
        <v>4341</v>
      </c>
      <c r="C19" s="1505" t="s">
        <v>4342</v>
      </c>
      <c r="D19" s="1506"/>
      <c r="E19" s="1506"/>
      <c r="F19" s="1506"/>
      <c r="G19" s="1506"/>
      <c r="H19" s="1506"/>
      <c r="I19" s="1507"/>
      <c r="J19" s="1507"/>
      <c r="K19" s="1507"/>
      <c r="L19" s="1507"/>
      <c r="M19" s="1507"/>
      <c r="N19" s="1506"/>
      <c r="O19" s="1506"/>
      <c r="P19" s="1506"/>
      <c r="Q19" s="1506"/>
      <c r="R19" s="1506"/>
      <c r="S19" s="1506"/>
      <c r="T19" s="1506"/>
      <c r="U19" s="1506"/>
      <c r="V19" s="1506"/>
    </row>
    <row r="20" spans="1:22">
      <c r="A20" s="1491">
        <v>15</v>
      </c>
      <c r="B20" s="2939"/>
      <c r="C20" s="1505" t="s">
        <v>4343</v>
      </c>
      <c r="D20" s="1508"/>
      <c r="E20" s="1508"/>
      <c r="F20" s="1508"/>
      <c r="G20" s="1508"/>
      <c r="H20" s="1508"/>
      <c r="I20" s="1507"/>
      <c r="J20" s="1507"/>
      <c r="K20" s="1507"/>
      <c r="L20" s="1507"/>
      <c r="M20" s="1507"/>
      <c r="N20" s="1508"/>
      <c r="O20" s="1508"/>
      <c r="P20" s="1508"/>
      <c r="Q20" s="1508"/>
      <c r="R20" s="1508"/>
      <c r="S20" s="1508"/>
      <c r="T20" s="1508"/>
      <c r="U20" s="1508"/>
      <c r="V20" s="1508"/>
    </row>
    <row r="21" spans="1:22">
      <c r="A21" s="1491" t="s">
        <v>1171</v>
      </c>
      <c r="B21" s="2940" t="s">
        <v>4344</v>
      </c>
      <c r="C21" s="2941"/>
      <c r="D21" s="1508"/>
      <c r="E21" s="1508"/>
      <c r="F21" s="1508"/>
      <c r="G21" s="1508"/>
      <c r="H21" s="1508"/>
      <c r="I21" s="1507"/>
      <c r="J21" s="1507"/>
      <c r="K21" s="1507"/>
      <c r="L21" s="1507"/>
      <c r="M21" s="1507"/>
      <c r="N21" s="1508"/>
      <c r="O21" s="1508"/>
      <c r="P21" s="1508"/>
      <c r="Q21" s="1508"/>
      <c r="R21" s="1508"/>
      <c r="S21" s="1508"/>
      <c r="T21" s="1508"/>
      <c r="U21" s="1508"/>
      <c r="V21" s="1508"/>
    </row>
    <row r="22" spans="1:22">
      <c r="A22" s="1509" t="s">
        <v>380</v>
      </c>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10">
        <v>1</v>
      </c>
      <c r="B23" s="57" t="s">
        <v>4345</v>
      </c>
      <c r="C23" s="57"/>
      <c r="D23" s="57"/>
      <c r="E23" s="57"/>
      <c r="F23" s="57"/>
      <c r="G23" s="57"/>
      <c r="H23" s="57"/>
      <c r="I23" s="57"/>
      <c r="J23" s="57"/>
      <c r="K23" s="57"/>
      <c r="L23" s="57"/>
      <c r="M23" s="57"/>
      <c r="N23" s="57"/>
      <c r="O23" s="57"/>
      <c r="P23" s="57"/>
      <c r="Q23" s="57"/>
      <c r="R23" s="57"/>
      <c r="S23" s="57"/>
      <c r="T23" s="57"/>
      <c r="U23" s="57"/>
      <c r="V23" s="57"/>
    </row>
    <row r="24" spans="1:22">
      <c r="A24" s="1510">
        <v>2</v>
      </c>
      <c r="B24" s="33" t="s">
        <v>4346</v>
      </c>
      <c r="C24" s="57"/>
      <c r="D24" s="57"/>
      <c r="E24" s="57"/>
      <c r="F24" s="57"/>
      <c r="G24" s="57"/>
      <c r="H24" s="57"/>
      <c r="I24" s="57"/>
      <c r="J24" s="57"/>
      <c r="K24" s="57"/>
      <c r="L24" s="57"/>
      <c r="M24" s="57"/>
      <c r="N24" s="57"/>
      <c r="O24" s="57"/>
      <c r="P24" s="57"/>
      <c r="Q24" s="57"/>
      <c r="R24" s="57"/>
      <c r="S24" s="57"/>
      <c r="T24" s="57"/>
      <c r="U24" s="57"/>
      <c r="V24" s="57"/>
    </row>
    <row r="25" spans="1:22">
      <c r="A25" s="1510">
        <v>3</v>
      </c>
      <c r="B25" s="33" t="s">
        <v>4347</v>
      </c>
      <c r="C25" s="57"/>
      <c r="D25" s="57"/>
      <c r="E25" s="57"/>
      <c r="F25" s="57"/>
      <c r="G25" s="57"/>
      <c r="H25" s="57"/>
      <c r="I25" s="57"/>
      <c r="J25" s="57"/>
      <c r="K25" s="57"/>
      <c r="L25" s="57"/>
      <c r="M25" s="57"/>
      <c r="N25" s="57"/>
      <c r="O25" s="57"/>
      <c r="P25" s="57"/>
      <c r="Q25" s="57"/>
      <c r="R25" s="57"/>
      <c r="S25" s="57"/>
      <c r="T25" s="57"/>
      <c r="U25" s="57"/>
      <c r="V25" s="57"/>
    </row>
    <row r="26" spans="1:22">
      <c r="A26" s="1510">
        <v>4</v>
      </c>
      <c r="B26" s="29" t="s">
        <v>4348</v>
      </c>
      <c r="C26" s="57"/>
      <c r="D26" s="57"/>
      <c r="E26" s="57"/>
      <c r="F26" s="57"/>
      <c r="G26" s="57"/>
      <c r="H26" s="57"/>
      <c r="I26" s="57"/>
      <c r="J26" s="57"/>
      <c r="K26" s="57"/>
      <c r="L26" s="57"/>
      <c r="M26" s="57"/>
      <c r="N26" s="57"/>
      <c r="O26" s="57"/>
      <c r="P26" s="57"/>
      <c r="Q26" s="57"/>
      <c r="R26" s="57"/>
      <c r="S26" s="57"/>
      <c r="T26" s="57"/>
      <c r="U26" s="57"/>
      <c r="V26" s="57"/>
    </row>
    <row r="27" spans="1:22">
      <c r="A27" s="1510">
        <v>5</v>
      </c>
      <c r="B27" s="59" t="s">
        <v>4349</v>
      </c>
      <c r="C27" s="57"/>
      <c r="D27" s="57"/>
      <c r="E27" s="57"/>
      <c r="F27" s="57"/>
      <c r="G27" s="57"/>
      <c r="H27" s="57"/>
      <c r="I27" s="57"/>
      <c r="J27" s="57"/>
      <c r="K27" s="57"/>
      <c r="L27" s="57"/>
      <c r="M27" s="57"/>
      <c r="N27" s="57"/>
      <c r="O27" s="57"/>
      <c r="P27" s="57"/>
      <c r="Q27" s="57"/>
      <c r="R27" s="57"/>
      <c r="S27" s="57"/>
      <c r="T27" s="57"/>
      <c r="U27" s="57"/>
      <c r="V27" s="57"/>
    </row>
    <row r="28" spans="1:22">
      <c r="A28" s="1510">
        <v>6</v>
      </c>
      <c r="B28" s="458" t="s">
        <v>1172</v>
      </c>
      <c r="C28" s="57"/>
      <c r="D28" s="57"/>
      <c r="E28" s="57"/>
      <c r="F28" s="57"/>
      <c r="G28" s="57"/>
      <c r="H28" s="57"/>
      <c r="I28" s="57"/>
      <c r="J28" s="57"/>
      <c r="K28" s="57"/>
      <c r="L28" s="57"/>
      <c r="M28" s="57"/>
      <c r="N28" s="57"/>
      <c r="O28" s="57"/>
      <c r="P28" s="57"/>
      <c r="Q28" s="57"/>
      <c r="R28" s="57"/>
      <c r="S28" s="57"/>
      <c r="T28" s="57"/>
      <c r="U28" s="57"/>
      <c r="V28" s="57"/>
    </row>
    <row r="29" spans="1:22">
      <c r="A29" s="1510">
        <v>7</v>
      </c>
      <c r="B29" s="470" t="s">
        <v>4350</v>
      </c>
      <c r="C29" s="57"/>
      <c r="D29" s="57"/>
      <c r="E29" s="57"/>
      <c r="F29" s="57"/>
      <c r="G29" s="57"/>
      <c r="H29" s="57"/>
      <c r="I29" s="57"/>
      <c r="J29" s="57"/>
      <c r="K29" s="57"/>
      <c r="L29" s="57"/>
      <c r="M29" s="57"/>
      <c r="N29" s="57"/>
      <c r="O29" s="57"/>
      <c r="P29" s="57"/>
      <c r="Q29" s="57"/>
      <c r="R29" s="57"/>
      <c r="S29" s="57"/>
      <c r="T29" s="57"/>
      <c r="U29" s="57"/>
      <c r="V29" s="57"/>
    </row>
    <row r="30" spans="1:22">
      <c r="A30" s="1510">
        <v>8</v>
      </c>
      <c r="B30" s="29" t="s">
        <v>4351</v>
      </c>
      <c r="C30" s="1511"/>
      <c r="D30" s="1511"/>
      <c r="E30" s="1511"/>
      <c r="F30" s="1511"/>
      <c r="G30" s="1511"/>
      <c r="H30" s="1511"/>
      <c r="I30" s="1511"/>
      <c r="J30" s="1511"/>
      <c r="K30" s="1511"/>
      <c r="L30" s="1511"/>
      <c r="M30" s="1511"/>
      <c r="N30" s="1511"/>
      <c r="O30" s="1511"/>
      <c r="P30" s="1511"/>
      <c r="Q30" s="1511"/>
      <c r="R30" s="1511"/>
    </row>
    <row r="31" spans="1:22">
      <c r="A31" s="1510">
        <v>9</v>
      </c>
      <c r="B31" s="29" t="s">
        <v>4352</v>
      </c>
    </row>
    <row r="32" spans="1:22">
      <c r="A32" s="2688" t="s">
        <v>8461</v>
      </c>
      <c r="B32" s="2689" t="s">
        <v>8459</v>
      </c>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30"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pane="topRight"/>
      <selection pane="bottomLeft"/>
      <selection pane="bottomRight"/>
    </sheetView>
  </sheetViews>
  <sheetFormatPr defaultColWidth="9" defaultRowHeight="16.5"/>
  <cols>
    <col min="1" max="1" width="5.125" style="1252" customWidth="1"/>
    <col min="2" max="2" width="9" style="1252"/>
    <col min="3" max="3" width="12.25" style="1252" customWidth="1"/>
    <col min="4" max="8" width="9" style="1252"/>
    <col min="9" max="9" width="9.125" style="1252" customWidth="1"/>
    <col min="10" max="10" width="14.875" style="1252" customWidth="1"/>
    <col min="11" max="13" width="9" style="1252"/>
    <col min="14" max="14" width="16.25" style="1252" customWidth="1"/>
    <col min="15" max="15" width="14.625" style="1252" customWidth="1"/>
    <col min="16" max="16" width="15.375" style="1252" customWidth="1"/>
    <col min="17" max="17" width="20.375" style="1252" customWidth="1"/>
    <col min="18" max="18" width="15.625" style="1252" customWidth="1"/>
    <col min="19" max="19" width="15.25" style="1252" customWidth="1"/>
    <col min="20" max="20" width="15.375" style="1252" customWidth="1"/>
    <col min="21" max="21" width="13.625" style="33" customWidth="1"/>
    <col min="22" max="22" width="13" style="33" customWidth="1"/>
    <col min="23" max="23" width="13.125" style="33" customWidth="1"/>
    <col min="24" max="24" width="12" style="1252" customWidth="1"/>
    <col min="25" max="16384" width="9" style="1252"/>
  </cols>
  <sheetData>
    <row r="1" spans="1:26" ht="17.25">
      <c r="A1" s="2186" t="str">
        <f>+封面!A3&amp;" "&amp;封面!A2</f>
        <v xml:space="preserve"> 中央再保險股份有限公司 年度檢查報表</v>
      </c>
      <c r="B1" s="1249"/>
      <c r="C1" s="58"/>
      <c r="D1" s="58"/>
      <c r="E1" s="58"/>
      <c r="F1" s="1250"/>
      <c r="G1" s="58"/>
      <c r="H1" s="58"/>
      <c r="I1" s="58"/>
      <c r="J1" s="58"/>
      <c r="K1" s="58"/>
      <c r="L1" s="58"/>
      <c r="M1" s="58"/>
      <c r="N1" s="58"/>
      <c r="O1" s="58"/>
      <c r="P1" s="58"/>
      <c r="Q1" s="58"/>
      <c r="R1" s="58"/>
      <c r="S1" s="58"/>
      <c r="T1" s="58"/>
      <c r="U1" s="1465"/>
      <c r="V1" s="1465"/>
      <c r="W1" s="1465"/>
      <c r="X1" s="58"/>
      <c r="Y1" s="1251" t="s">
        <v>4176</v>
      </c>
    </row>
    <row r="2" spans="1:26" ht="17.25" thickBot="1">
      <c r="A2" s="1251" t="s">
        <v>4332</v>
      </c>
      <c r="B2" s="1251"/>
      <c r="C2" s="58"/>
      <c r="D2" s="58"/>
      <c r="E2" s="58"/>
      <c r="F2" s="1250"/>
      <c r="G2" s="58"/>
      <c r="H2" s="58"/>
      <c r="I2" s="58"/>
      <c r="J2" s="58"/>
      <c r="K2" s="58"/>
      <c r="L2" s="58"/>
      <c r="M2" s="58"/>
      <c r="N2" s="58"/>
      <c r="O2" s="58"/>
      <c r="P2" s="58"/>
      <c r="Q2" s="58"/>
      <c r="R2" s="58"/>
      <c r="S2" s="58"/>
      <c r="T2" s="58"/>
      <c r="U2" s="1465"/>
      <c r="V2" s="1465"/>
      <c r="W2" s="1465"/>
      <c r="X2" s="58"/>
      <c r="Y2" s="58"/>
    </row>
    <row r="3" spans="1:26" ht="16.5" customHeight="1">
      <c r="A3" s="2942" t="s">
        <v>3625</v>
      </c>
      <c r="B3" s="2945" t="s">
        <v>4232</v>
      </c>
      <c r="C3" s="2947" t="s">
        <v>4233</v>
      </c>
      <c r="D3" s="2947"/>
      <c r="E3" s="2945" t="s">
        <v>4234</v>
      </c>
      <c r="F3" s="2945"/>
      <c r="G3" s="2945"/>
      <c r="H3" s="2945"/>
      <c r="I3" s="2945"/>
      <c r="J3" s="2958" t="s">
        <v>4235</v>
      </c>
      <c r="K3" s="2945" t="s">
        <v>4236</v>
      </c>
      <c r="L3" s="2952" t="s">
        <v>4237</v>
      </c>
      <c r="M3" s="2952" t="s">
        <v>4238</v>
      </c>
      <c r="N3" s="2945" t="s">
        <v>4239</v>
      </c>
      <c r="O3" s="2945" t="s">
        <v>4240</v>
      </c>
      <c r="P3" s="2945" t="s">
        <v>4241</v>
      </c>
      <c r="Q3" s="2945" t="s">
        <v>4242</v>
      </c>
      <c r="R3" s="2947" t="s">
        <v>4243</v>
      </c>
      <c r="S3" s="2945" t="s">
        <v>4244</v>
      </c>
      <c r="T3" s="2956" t="s">
        <v>4245</v>
      </c>
      <c r="U3" s="2954" t="s">
        <v>4296</v>
      </c>
      <c r="V3" s="2954" t="s">
        <v>4297</v>
      </c>
      <c r="W3" s="2954" t="s">
        <v>4298</v>
      </c>
      <c r="X3" s="2945" t="s">
        <v>4246</v>
      </c>
      <c r="Y3" s="2945" t="s">
        <v>4247</v>
      </c>
      <c r="Z3" s="2950" t="s">
        <v>4248</v>
      </c>
    </row>
    <row r="4" spans="1:26" ht="28.5">
      <c r="A4" s="2943"/>
      <c r="B4" s="2946"/>
      <c r="C4" s="2948"/>
      <c r="D4" s="2948"/>
      <c r="E4" s="1119" t="s">
        <v>4249</v>
      </c>
      <c r="F4" s="1119" t="s">
        <v>4250</v>
      </c>
      <c r="G4" s="1120" t="s">
        <v>4251</v>
      </c>
      <c r="H4" s="1120" t="s">
        <v>4252</v>
      </c>
      <c r="I4" s="1120" t="s">
        <v>4253</v>
      </c>
      <c r="J4" s="2953"/>
      <c r="K4" s="2946"/>
      <c r="L4" s="2953"/>
      <c r="M4" s="2953"/>
      <c r="N4" s="2948"/>
      <c r="O4" s="2948"/>
      <c r="P4" s="2946"/>
      <c r="Q4" s="2946"/>
      <c r="R4" s="2948"/>
      <c r="S4" s="2946"/>
      <c r="T4" s="2957"/>
      <c r="U4" s="2955"/>
      <c r="V4" s="2955"/>
      <c r="W4" s="2955"/>
      <c r="X4" s="2946"/>
      <c r="Y4" s="2946"/>
      <c r="Z4" s="2951"/>
    </row>
    <row r="5" spans="1:26" ht="17.25" thickBot="1">
      <c r="A5" s="2944"/>
      <c r="B5" s="1123" t="s">
        <v>66</v>
      </c>
      <c r="C5" s="2949" t="s">
        <v>67</v>
      </c>
      <c r="D5" s="2949"/>
      <c r="E5" s="1123" t="s">
        <v>68</v>
      </c>
      <c r="F5" s="1123" t="s">
        <v>69</v>
      </c>
      <c r="G5" s="1123" t="s">
        <v>70</v>
      </c>
      <c r="H5" s="1123" t="s">
        <v>71</v>
      </c>
      <c r="I5" s="1123" t="s">
        <v>72</v>
      </c>
      <c r="J5" s="1123" t="s">
        <v>454</v>
      </c>
      <c r="K5" s="1123" t="s">
        <v>455</v>
      </c>
      <c r="L5" s="1123" t="s">
        <v>456</v>
      </c>
      <c r="M5" s="1123" t="s">
        <v>457</v>
      </c>
      <c r="N5" s="1123" t="s">
        <v>1220</v>
      </c>
      <c r="O5" s="1123" t="s">
        <v>458</v>
      </c>
      <c r="P5" s="1123" t="s">
        <v>459</v>
      </c>
      <c r="Q5" s="1123" t="s">
        <v>460</v>
      </c>
      <c r="R5" s="1123" t="s">
        <v>461</v>
      </c>
      <c r="S5" s="1123" t="s">
        <v>462</v>
      </c>
      <c r="T5" s="1123" t="s">
        <v>463</v>
      </c>
      <c r="U5" s="1374" t="s">
        <v>1196</v>
      </c>
      <c r="V5" s="1374" t="s">
        <v>465</v>
      </c>
      <c r="W5" s="1374" t="s">
        <v>1197</v>
      </c>
      <c r="X5" s="1466" t="s">
        <v>1198</v>
      </c>
      <c r="Y5" s="1466" t="s">
        <v>1199</v>
      </c>
      <c r="Z5" s="1466" t="s">
        <v>1200</v>
      </c>
    </row>
    <row r="6" spans="1:26" ht="14.25" customHeight="1">
      <c r="A6" s="1253">
        <v>1</v>
      </c>
      <c r="B6" s="2961" t="s">
        <v>4254</v>
      </c>
      <c r="C6" s="2964" t="s">
        <v>4255</v>
      </c>
      <c r="D6" s="2967" t="s">
        <v>4323</v>
      </c>
      <c r="E6" s="1254" t="s">
        <v>4257</v>
      </c>
      <c r="F6" s="1255"/>
      <c r="G6" s="1256"/>
      <c r="H6" s="1256"/>
      <c r="I6" s="1256"/>
      <c r="J6" s="1256"/>
      <c r="K6" s="1257"/>
      <c r="L6" s="1257"/>
      <c r="M6" s="1257"/>
      <c r="N6" s="1257"/>
      <c r="O6" s="1257"/>
      <c r="P6" s="1259"/>
      <c r="Q6" s="1257"/>
      <c r="R6" s="1257"/>
      <c r="S6" s="1257"/>
      <c r="T6" s="1259"/>
      <c r="U6" s="1376"/>
      <c r="V6" s="1376"/>
      <c r="W6" s="1376"/>
      <c r="X6" s="1257"/>
      <c r="Y6" s="1257"/>
      <c r="Z6" s="1260"/>
    </row>
    <row r="7" spans="1:26">
      <c r="A7" s="1261">
        <v>2</v>
      </c>
      <c r="B7" s="2962"/>
      <c r="C7" s="2965"/>
      <c r="D7" s="2968"/>
      <c r="E7" s="1262"/>
      <c r="F7" s="1262"/>
      <c r="G7" s="1263"/>
      <c r="H7" s="1263"/>
      <c r="I7" s="1263"/>
      <c r="J7" s="1263"/>
      <c r="K7" s="1264"/>
      <c r="L7" s="1264"/>
      <c r="M7" s="1264"/>
      <c r="N7" s="1264"/>
      <c r="O7" s="1264"/>
      <c r="P7" s="1266"/>
      <c r="Q7" s="1264"/>
      <c r="R7" s="1264"/>
      <c r="S7" s="1264"/>
      <c r="T7" s="1266"/>
      <c r="U7" s="1377"/>
      <c r="V7" s="1377"/>
      <c r="W7" s="1377"/>
      <c r="X7" s="1264"/>
      <c r="Y7" s="1264"/>
      <c r="Z7" s="1267"/>
    </row>
    <row r="8" spans="1:26">
      <c r="A8" s="1261">
        <v>3</v>
      </c>
      <c r="B8" s="2962"/>
      <c r="C8" s="2965"/>
      <c r="D8" s="2968"/>
      <c r="E8" s="1262"/>
      <c r="F8" s="1262"/>
      <c r="G8" s="1263"/>
      <c r="H8" s="1263"/>
      <c r="I8" s="1263"/>
      <c r="J8" s="1263"/>
      <c r="K8" s="1264"/>
      <c r="L8" s="1264"/>
      <c r="M8" s="1264"/>
      <c r="N8" s="1264"/>
      <c r="O8" s="1264"/>
      <c r="P8" s="1266"/>
      <c r="Q8" s="1264"/>
      <c r="R8" s="1264"/>
      <c r="S8" s="1264"/>
      <c r="T8" s="1266"/>
      <c r="U8" s="1377"/>
      <c r="V8" s="1377"/>
      <c r="W8" s="1377"/>
      <c r="X8" s="1264"/>
      <c r="Y8" s="1264"/>
      <c r="Z8" s="1267"/>
    </row>
    <row r="9" spans="1:26">
      <c r="A9" s="1261">
        <v>4</v>
      </c>
      <c r="B9" s="2962"/>
      <c r="C9" s="2965"/>
      <c r="D9" s="2968"/>
      <c r="E9" s="1262"/>
      <c r="F9" s="1262"/>
      <c r="G9" s="1263"/>
      <c r="H9" s="1263"/>
      <c r="I9" s="1263"/>
      <c r="J9" s="1263"/>
      <c r="K9" s="1264"/>
      <c r="L9" s="1264"/>
      <c r="M9" s="1264"/>
      <c r="N9" s="1264"/>
      <c r="O9" s="1264"/>
      <c r="P9" s="1266"/>
      <c r="Q9" s="1264"/>
      <c r="R9" s="1264"/>
      <c r="S9" s="1264"/>
      <c r="T9" s="1266"/>
      <c r="U9" s="1377"/>
      <c r="V9" s="1377"/>
      <c r="W9" s="1377"/>
      <c r="X9" s="1264"/>
      <c r="Y9" s="1264"/>
      <c r="Z9" s="1267"/>
    </row>
    <row r="10" spans="1:26">
      <c r="A10" s="1261">
        <v>5</v>
      </c>
      <c r="B10" s="2962"/>
      <c r="C10" s="2965"/>
      <c r="D10" s="2968"/>
      <c r="E10" s="1262"/>
      <c r="F10" s="1262"/>
      <c r="G10" s="1263"/>
      <c r="H10" s="1263"/>
      <c r="I10" s="1263"/>
      <c r="J10" s="1263"/>
      <c r="K10" s="1264"/>
      <c r="L10" s="1264"/>
      <c r="M10" s="1264"/>
      <c r="N10" s="1264"/>
      <c r="O10" s="1264"/>
      <c r="P10" s="1266"/>
      <c r="Q10" s="1264"/>
      <c r="R10" s="1264"/>
      <c r="S10" s="1264"/>
      <c r="T10" s="1266"/>
      <c r="U10" s="1377"/>
      <c r="V10" s="1377"/>
      <c r="W10" s="1377"/>
      <c r="X10" s="1264"/>
      <c r="Y10" s="1264"/>
      <c r="Z10" s="1267"/>
    </row>
    <row r="11" spans="1:26">
      <c r="A11" s="1261">
        <v>6</v>
      </c>
      <c r="B11" s="2962"/>
      <c r="C11" s="2965"/>
      <c r="D11" s="2968"/>
      <c r="E11" s="1262"/>
      <c r="F11" s="1262"/>
      <c r="G11" s="1263"/>
      <c r="H11" s="1263"/>
      <c r="I11" s="1263"/>
      <c r="J11" s="1263"/>
      <c r="K11" s="1264"/>
      <c r="L11" s="1264"/>
      <c r="M11" s="1264"/>
      <c r="N11" s="1264"/>
      <c r="O11" s="1264"/>
      <c r="P11" s="1266"/>
      <c r="Q11" s="1264"/>
      <c r="R11" s="1264"/>
      <c r="S11" s="1264"/>
      <c r="T11" s="1266"/>
      <c r="U11" s="1377"/>
      <c r="V11" s="1377"/>
      <c r="W11" s="1377"/>
      <c r="X11" s="1264"/>
      <c r="Y11" s="1264"/>
      <c r="Z11" s="1267"/>
    </row>
    <row r="12" spans="1:26">
      <c r="A12" s="1261">
        <v>7</v>
      </c>
      <c r="B12" s="2962"/>
      <c r="C12" s="2965"/>
      <c r="D12" s="2968"/>
      <c r="E12" s="1262"/>
      <c r="F12" s="1262"/>
      <c r="G12" s="1263"/>
      <c r="H12" s="1263"/>
      <c r="I12" s="1263"/>
      <c r="J12" s="1263"/>
      <c r="K12" s="1264"/>
      <c r="L12" s="1264"/>
      <c r="M12" s="1264"/>
      <c r="N12" s="1264"/>
      <c r="O12" s="1264"/>
      <c r="P12" s="1266"/>
      <c r="Q12" s="1264"/>
      <c r="R12" s="1264"/>
      <c r="S12" s="1264"/>
      <c r="T12" s="1266"/>
      <c r="U12" s="1377"/>
      <c r="V12" s="1377"/>
      <c r="W12" s="1377"/>
      <c r="X12" s="1264"/>
      <c r="Y12" s="1264"/>
      <c r="Z12" s="1267"/>
    </row>
    <row r="13" spans="1:26">
      <c r="A13" s="1261">
        <v>8</v>
      </c>
      <c r="B13" s="2962"/>
      <c r="C13" s="2965"/>
      <c r="D13" s="2968"/>
      <c r="E13" s="1262"/>
      <c r="F13" s="1262"/>
      <c r="G13" s="1263"/>
      <c r="H13" s="1263"/>
      <c r="I13" s="1263"/>
      <c r="J13" s="1263"/>
      <c r="K13" s="1264"/>
      <c r="L13" s="1264"/>
      <c r="M13" s="1264"/>
      <c r="N13" s="1264"/>
      <c r="O13" s="1264"/>
      <c r="P13" s="1266"/>
      <c r="Q13" s="1264"/>
      <c r="R13" s="1264"/>
      <c r="S13" s="1264"/>
      <c r="T13" s="1266"/>
      <c r="U13" s="1377"/>
      <c r="V13" s="1377"/>
      <c r="W13" s="1377"/>
      <c r="X13" s="1264"/>
      <c r="Y13" s="1264"/>
      <c r="Z13" s="1267"/>
    </row>
    <row r="14" spans="1:26">
      <c r="A14" s="1261">
        <v>9</v>
      </c>
      <c r="B14" s="2962"/>
      <c r="C14" s="2965"/>
      <c r="D14" s="2968"/>
      <c r="E14" s="1262"/>
      <c r="F14" s="1262"/>
      <c r="G14" s="1263"/>
      <c r="H14" s="1263"/>
      <c r="I14" s="1263"/>
      <c r="J14" s="1263"/>
      <c r="K14" s="1264"/>
      <c r="L14" s="1264"/>
      <c r="M14" s="1264"/>
      <c r="N14" s="1264"/>
      <c r="O14" s="1264"/>
      <c r="P14" s="1266"/>
      <c r="Q14" s="1264"/>
      <c r="R14" s="1264"/>
      <c r="S14" s="1264"/>
      <c r="T14" s="1266"/>
      <c r="U14" s="1377"/>
      <c r="V14" s="1377"/>
      <c r="W14" s="1377"/>
      <c r="X14" s="1264"/>
      <c r="Y14" s="1264"/>
      <c r="Z14" s="1267"/>
    </row>
    <row r="15" spans="1:26">
      <c r="A15" s="1261">
        <v>10</v>
      </c>
      <c r="B15" s="2962"/>
      <c r="C15" s="2965"/>
      <c r="D15" s="2968"/>
      <c r="E15" s="1262"/>
      <c r="F15" s="1262"/>
      <c r="G15" s="1263"/>
      <c r="H15" s="1263"/>
      <c r="I15" s="1263"/>
      <c r="J15" s="1263"/>
      <c r="K15" s="1264"/>
      <c r="L15" s="1264"/>
      <c r="M15" s="1264"/>
      <c r="N15" s="1264"/>
      <c r="O15" s="1264"/>
      <c r="P15" s="1266"/>
      <c r="Q15" s="1264"/>
      <c r="R15" s="1264"/>
      <c r="S15" s="1264"/>
      <c r="T15" s="1266"/>
      <c r="U15" s="1377"/>
      <c r="V15" s="1377"/>
      <c r="W15" s="1377"/>
      <c r="X15" s="1264"/>
      <c r="Y15" s="1264"/>
      <c r="Z15" s="1267"/>
    </row>
    <row r="16" spans="1:26">
      <c r="A16" s="1261">
        <v>11</v>
      </c>
      <c r="B16" s="2962"/>
      <c r="C16" s="2965"/>
      <c r="D16" s="2968"/>
      <c r="E16" s="1262"/>
      <c r="F16" s="1262"/>
      <c r="G16" s="1263"/>
      <c r="H16" s="1263"/>
      <c r="I16" s="1263"/>
      <c r="J16" s="1263"/>
      <c r="K16" s="1264"/>
      <c r="L16" s="1264"/>
      <c r="M16" s="1264"/>
      <c r="N16" s="1264"/>
      <c r="O16" s="1264"/>
      <c r="P16" s="1266"/>
      <c r="Q16" s="1264"/>
      <c r="R16" s="1264"/>
      <c r="S16" s="1264"/>
      <c r="T16" s="1266"/>
      <c r="U16" s="1377"/>
      <c r="V16" s="1377"/>
      <c r="W16" s="1377"/>
      <c r="X16" s="1264"/>
      <c r="Y16" s="1264"/>
      <c r="Z16" s="1267"/>
    </row>
    <row r="17" spans="1:26">
      <c r="A17" s="1261">
        <v>12</v>
      </c>
      <c r="B17" s="2962"/>
      <c r="C17" s="2965"/>
      <c r="D17" s="2968"/>
      <c r="E17" s="1262"/>
      <c r="F17" s="1262"/>
      <c r="G17" s="1263"/>
      <c r="H17" s="1263"/>
      <c r="I17" s="1263"/>
      <c r="J17" s="1263"/>
      <c r="K17" s="1264"/>
      <c r="L17" s="1264"/>
      <c r="M17" s="1264"/>
      <c r="N17" s="1264"/>
      <c r="O17" s="1264"/>
      <c r="P17" s="1266"/>
      <c r="Q17" s="1264"/>
      <c r="R17" s="1264"/>
      <c r="S17" s="1264"/>
      <c r="T17" s="1266"/>
      <c r="U17" s="1377"/>
      <c r="V17" s="1377"/>
      <c r="W17" s="1377"/>
      <c r="X17" s="1264"/>
      <c r="Y17" s="1264"/>
      <c r="Z17" s="1267"/>
    </row>
    <row r="18" spans="1:26">
      <c r="A18" s="1261">
        <v>13</v>
      </c>
      <c r="B18" s="2962"/>
      <c r="C18" s="2965"/>
      <c r="D18" s="1395" t="s">
        <v>4305</v>
      </c>
      <c r="E18" s="1269"/>
      <c r="F18" s="1269"/>
      <c r="G18" s="1270"/>
      <c r="H18" s="1270"/>
      <c r="I18" s="1270"/>
      <c r="J18" s="1270"/>
      <c r="K18" s="1271"/>
      <c r="L18" s="1271"/>
      <c r="M18" s="1271"/>
      <c r="N18" s="1264">
        <f>SUM(N6:N17)</f>
        <v>0</v>
      </c>
      <c r="O18" s="1264">
        <f>SUM(O6:O17)</f>
        <v>0</v>
      </c>
      <c r="P18" s="1264">
        <f>SUM(P6:P17)</f>
        <v>0</v>
      </c>
      <c r="Q18" s="1271"/>
      <c r="R18" s="1264">
        <f>SUM(R6:R17)</f>
        <v>0</v>
      </c>
      <c r="S18" s="1271"/>
      <c r="T18" s="1272"/>
      <c r="U18" s="1377"/>
      <c r="V18" s="1377"/>
      <c r="W18" s="1377"/>
      <c r="X18" s="1271"/>
      <c r="Y18" s="1271"/>
      <c r="Z18" s="1450"/>
    </row>
    <row r="19" spans="1:26" ht="14.25" customHeight="1">
      <c r="A19" s="1261">
        <v>14</v>
      </c>
      <c r="B19" s="2962"/>
      <c r="C19" s="2965"/>
      <c r="D19" s="2969" t="s">
        <v>4333</v>
      </c>
      <c r="E19" s="1262"/>
      <c r="F19" s="1262"/>
      <c r="G19" s="1263"/>
      <c r="H19" s="1263"/>
      <c r="I19" s="1263"/>
      <c r="J19" s="1263"/>
      <c r="K19" s="1264"/>
      <c r="L19" s="1264"/>
      <c r="M19" s="1264"/>
      <c r="N19" s="1264"/>
      <c r="O19" s="1264"/>
      <c r="P19" s="1266"/>
      <c r="Q19" s="1264"/>
      <c r="R19" s="1264"/>
      <c r="S19" s="1264"/>
      <c r="T19" s="1266"/>
      <c r="U19" s="1377"/>
      <c r="V19" s="1377"/>
      <c r="W19" s="1377"/>
      <c r="X19" s="1264"/>
      <c r="Y19" s="1264"/>
      <c r="Z19" s="1267"/>
    </row>
    <row r="20" spans="1:26">
      <c r="A20" s="1261">
        <v>15</v>
      </c>
      <c r="B20" s="2962"/>
      <c r="C20" s="2965"/>
      <c r="D20" s="2968"/>
      <c r="E20" s="1262"/>
      <c r="F20" s="1262"/>
      <c r="G20" s="1263"/>
      <c r="H20" s="1263"/>
      <c r="I20" s="1263"/>
      <c r="J20" s="1263"/>
      <c r="K20" s="1264"/>
      <c r="L20" s="1264"/>
      <c r="M20" s="1264"/>
      <c r="N20" s="1264"/>
      <c r="O20" s="1264"/>
      <c r="P20" s="1266"/>
      <c r="Q20" s="1264"/>
      <c r="R20" s="1264"/>
      <c r="S20" s="1264"/>
      <c r="T20" s="1266"/>
      <c r="U20" s="1377"/>
      <c r="V20" s="1377"/>
      <c r="W20" s="1377"/>
      <c r="X20" s="1264"/>
      <c r="Y20" s="1264"/>
      <c r="Z20" s="1267"/>
    </row>
    <row r="21" spans="1:26">
      <c r="A21" s="1261">
        <v>16</v>
      </c>
      <c r="B21" s="2962"/>
      <c r="C21" s="2965"/>
      <c r="D21" s="2968"/>
      <c r="E21" s="1262"/>
      <c r="F21" s="1262"/>
      <c r="G21" s="1263"/>
      <c r="H21" s="1263"/>
      <c r="I21" s="1263"/>
      <c r="J21" s="1263"/>
      <c r="K21" s="1264"/>
      <c r="L21" s="1264"/>
      <c r="M21" s="1264"/>
      <c r="N21" s="1264"/>
      <c r="O21" s="1264"/>
      <c r="P21" s="1266"/>
      <c r="Q21" s="1264"/>
      <c r="R21" s="1264"/>
      <c r="S21" s="1264"/>
      <c r="T21" s="1266"/>
      <c r="U21" s="1377"/>
      <c r="V21" s="1377"/>
      <c r="W21" s="1377"/>
      <c r="X21" s="1264"/>
      <c r="Y21" s="1264"/>
      <c r="Z21" s="1267"/>
    </row>
    <row r="22" spans="1:26">
      <c r="A22" s="1261">
        <v>17</v>
      </c>
      <c r="B22" s="2962"/>
      <c r="C22" s="2965"/>
      <c r="D22" s="2968"/>
      <c r="E22" s="1262"/>
      <c r="F22" s="1262"/>
      <c r="G22" s="1263"/>
      <c r="H22" s="1263"/>
      <c r="I22" s="1263"/>
      <c r="J22" s="1263"/>
      <c r="K22" s="1264"/>
      <c r="L22" s="1264"/>
      <c r="M22" s="1264"/>
      <c r="N22" s="1264"/>
      <c r="O22" s="1264"/>
      <c r="P22" s="1266"/>
      <c r="Q22" s="1264"/>
      <c r="R22" s="1264"/>
      <c r="S22" s="1264"/>
      <c r="T22" s="1266"/>
      <c r="U22" s="1377"/>
      <c r="V22" s="1377"/>
      <c r="W22" s="1377"/>
      <c r="X22" s="1264"/>
      <c r="Y22" s="1264"/>
      <c r="Z22" s="1267"/>
    </row>
    <row r="23" spans="1:26">
      <c r="A23" s="1261">
        <v>18</v>
      </c>
      <c r="B23" s="2962"/>
      <c r="C23" s="2965"/>
      <c r="D23" s="2968"/>
      <c r="E23" s="1262"/>
      <c r="F23" s="1262"/>
      <c r="G23" s="1263"/>
      <c r="H23" s="1263"/>
      <c r="I23" s="1263"/>
      <c r="J23" s="1263"/>
      <c r="K23" s="1264"/>
      <c r="L23" s="1264"/>
      <c r="M23" s="1264"/>
      <c r="N23" s="1264"/>
      <c r="O23" s="1264"/>
      <c r="P23" s="1266"/>
      <c r="Q23" s="1264"/>
      <c r="R23" s="1264"/>
      <c r="S23" s="1264"/>
      <c r="T23" s="1266"/>
      <c r="U23" s="1377"/>
      <c r="V23" s="1377"/>
      <c r="W23" s="1377"/>
      <c r="X23" s="1264"/>
      <c r="Y23" s="1264"/>
      <c r="Z23" s="1267"/>
    </row>
    <row r="24" spans="1:26">
      <c r="A24" s="1261">
        <v>19</v>
      </c>
      <c r="B24" s="2962"/>
      <c r="C24" s="2965"/>
      <c r="D24" s="2968"/>
      <c r="E24" s="1262"/>
      <c r="F24" s="1262"/>
      <c r="G24" s="1263"/>
      <c r="H24" s="1263"/>
      <c r="I24" s="1263"/>
      <c r="J24" s="1263"/>
      <c r="K24" s="1264"/>
      <c r="L24" s="1264"/>
      <c r="M24" s="1264"/>
      <c r="N24" s="1264"/>
      <c r="O24" s="1264"/>
      <c r="P24" s="1266"/>
      <c r="Q24" s="1264"/>
      <c r="R24" s="1264"/>
      <c r="S24" s="1264"/>
      <c r="T24" s="1266"/>
      <c r="U24" s="1377"/>
      <c r="V24" s="1377"/>
      <c r="W24" s="1377"/>
      <c r="X24" s="1264"/>
      <c r="Y24" s="1264"/>
      <c r="Z24" s="1267"/>
    </row>
    <row r="25" spans="1:26">
      <c r="A25" s="1261">
        <v>20</v>
      </c>
      <c r="B25" s="2962"/>
      <c r="C25" s="2965"/>
      <c r="D25" s="2968"/>
      <c r="E25" s="1262"/>
      <c r="F25" s="1262"/>
      <c r="G25" s="1263"/>
      <c r="H25" s="1263"/>
      <c r="I25" s="1263"/>
      <c r="J25" s="1263"/>
      <c r="K25" s="1264"/>
      <c r="L25" s="1264"/>
      <c r="M25" s="1264"/>
      <c r="N25" s="1264"/>
      <c r="O25" s="1264"/>
      <c r="P25" s="1266"/>
      <c r="Q25" s="1264"/>
      <c r="R25" s="1264"/>
      <c r="S25" s="1264"/>
      <c r="T25" s="1266"/>
      <c r="U25" s="1377"/>
      <c r="V25" s="1377"/>
      <c r="W25" s="1377"/>
      <c r="X25" s="1264"/>
      <c r="Y25" s="1264"/>
      <c r="Z25" s="1267"/>
    </row>
    <row r="26" spans="1:26">
      <c r="A26" s="1261">
        <v>21</v>
      </c>
      <c r="B26" s="2962"/>
      <c r="C26" s="2965"/>
      <c r="D26" s="2968"/>
      <c r="E26" s="1262"/>
      <c r="F26" s="1262"/>
      <c r="G26" s="1263"/>
      <c r="H26" s="1263"/>
      <c r="I26" s="1263"/>
      <c r="J26" s="1263"/>
      <c r="K26" s="1264"/>
      <c r="L26" s="1264"/>
      <c r="M26" s="1264"/>
      <c r="N26" s="1264"/>
      <c r="O26" s="1264"/>
      <c r="P26" s="1266"/>
      <c r="Q26" s="1264"/>
      <c r="R26" s="1264"/>
      <c r="S26" s="1264"/>
      <c r="T26" s="1266"/>
      <c r="U26" s="1377"/>
      <c r="V26" s="1377"/>
      <c r="W26" s="1377"/>
      <c r="X26" s="1264"/>
      <c r="Y26" s="1264"/>
      <c r="Z26" s="1267"/>
    </row>
    <row r="27" spans="1:26">
      <c r="A27" s="1261">
        <v>22</v>
      </c>
      <c r="B27" s="2962"/>
      <c r="C27" s="2965"/>
      <c r="D27" s="2968"/>
      <c r="E27" s="1262"/>
      <c r="F27" s="1262"/>
      <c r="G27" s="1263"/>
      <c r="H27" s="1263"/>
      <c r="I27" s="1263"/>
      <c r="J27" s="1263"/>
      <c r="K27" s="1264"/>
      <c r="L27" s="1264"/>
      <c r="M27" s="1264"/>
      <c r="N27" s="1264"/>
      <c r="O27" s="1264"/>
      <c r="P27" s="1266"/>
      <c r="Q27" s="1264"/>
      <c r="R27" s="1264"/>
      <c r="S27" s="1264"/>
      <c r="T27" s="1266"/>
      <c r="U27" s="1377"/>
      <c r="V27" s="1377"/>
      <c r="W27" s="1377"/>
      <c r="X27" s="1264"/>
      <c r="Y27" s="1264"/>
      <c r="Z27" s="1267"/>
    </row>
    <row r="28" spans="1:26">
      <c r="A28" s="1261">
        <v>23</v>
      </c>
      <c r="B28" s="2962"/>
      <c r="C28" s="2965"/>
      <c r="D28" s="2968"/>
      <c r="E28" s="1262"/>
      <c r="F28" s="1262"/>
      <c r="G28" s="1263"/>
      <c r="H28" s="1263"/>
      <c r="I28" s="1263"/>
      <c r="J28" s="1263"/>
      <c r="K28" s="1264"/>
      <c r="L28" s="1264"/>
      <c r="M28" s="1264"/>
      <c r="N28" s="1264"/>
      <c r="O28" s="1264"/>
      <c r="P28" s="1266"/>
      <c r="Q28" s="1264"/>
      <c r="R28" s="1264"/>
      <c r="S28" s="1264"/>
      <c r="T28" s="1266"/>
      <c r="U28" s="1377"/>
      <c r="V28" s="1377"/>
      <c r="W28" s="1377"/>
      <c r="X28" s="1264"/>
      <c r="Y28" s="1264"/>
      <c r="Z28" s="1267"/>
    </row>
    <row r="29" spans="1:26">
      <c r="A29" s="1261">
        <v>24</v>
      </c>
      <c r="B29" s="2962"/>
      <c r="C29" s="2965"/>
      <c r="D29" s="2968"/>
      <c r="E29" s="1262"/>
      <c r="F29" s="1262"/>
      <c r="G29" s="1263"/>
      <c r="H29" s="1263"/>
      <c r="I29" s="1263"/>
      <c r="J29" s="1263"/>
      <c r="K29" s="1264"/>
      <c r="L29" s="1264"/>
      <c r="M29" s="1264"/>
      <c r="N29" s="1264"/>
      <c r="O29" s="1264"/>
      <c r="P29" s="1266"/>
      <c r="Q29" s="1264"/>
      <c r="R29" s="1264"/>
      <c r="S29" s="1264"/>
      <c r="T29" s="1266"/>
      <c r="U29" s="1377"/>
      <c r="V29" s="1377"/>
      <c r="W29" s="1377"/>
      <c r="X29" s="1264"/>
      <c r="Y29" s="1264"/>
      <c r="Z29" s="1267"/>
    </row>
    <row r="30" spans="1:26">
      <c r="A30" s="1261">
        <v>25</v>
      </c>
      <c r="B30" s="2962"/>
      <c r="C30" s="2965"/>
      <c r="D30" s="2968"/>
      <c r="E30" s="1262"/>
      <c r="F30" s="1262"/>
      <c r="G30" s="1263"/>
      <c r="H30" s="1263"/>
      <c r="I30" s="1263"/>
      <c r="J30" s="1263"/>
      <c r="K30" s="1264"/>
      <c r="L30" s="1264"/>
      <c r="M30" s="1264"/>
      <c r="N30" s="1264"/>
      <c r="O30" s="1264"/>
      <c r="P30" s="1266"/>
      <c r="Q30" s="1264"/>
      <c r="R30" s="1264"/>
      <c r="S30" s="1264"/>
      <c r="T30" s="1266"/>
      <c r="U30" s="1377"/>
      <c r="V30" s="1377"/>
      <c r="W30" s="1377"/>
      <c r="X30" s="1264"/>
      <c r="Y30" s="1264"/>
      <c r="Z30" s="1267"/>
    </row>
    <row r="31" spans="1:26" ht="17.25" thickBot="1">
      <c r="A31" s="1261">
        <v>26</v>
      </c>
      <c r="B31" s="2962"/>
      <c r="C31" s="2966"/>
      <c r="D31" s="1273" t="s">
        <v>3514</v>
      </c>
      <c r="E31" s="1274"/>
      <c r="F31" s="1274"/>
      <c r="G31" s="1274"/>
      <c r="H31" s="1274"/>
      <c r="I31" s="1274"/>
      <c r="J31" s="1274"/>
      <c r="K31" s="1274"/>
      <c r="L31" s="1274"/>
      <c r="M31" s="1274"/>
      <c r="N31" s="1275">
        <f>SUM(N19:N30)</f>
        <v>0</v>
      </c>
      <c r="O31" s="1275">
        <f>SUM(O19:O30)</f>
        <v>0</v>
      </c>
      <c r="P31" s="1275">
        <f>SUM(P19:P30)</f>
        <v>0</v>
      </c>
      <c r="Q31" s="1276"/>
      <c r="R31" s="1275">
        <f>SUM(R19:R30)</f>
        <v>0</v>
      </c>
      <c r="S31" s="1276"/>
      <c r="T31" s="1276"/>
      <c r="U31" s="1379"/>
      <c r="V31" s="1379"/>
      <c r="W31" s="1379"/>
      <c r="X31" s="1276"/>
      <c r="Y31" s="1276"/>
      <c r="Z31" s="1453"/>
    </row>
    <row r="32" spans="1:26" ht="16.5" customHeight="1">
      <c r="A32" s="1261">
        <v>27</v>
      </c>
      <c r="B32" s="2962"/>
      <c r="C32" s="2964" t="s">
        <v>4259</v>
      </c>
      <c r="D32" s="2970" t="s">
        <v>4321</v>
      </c>
      <c r="E32" s="1255"/>
      <c r="F32" s="1255"/>
      <c r="G32" s="1256"/>
      <c r="H32" s="1256"/>
      <c r="I32" s="1256"/>
      <c r="J32" s="1256"/>
      <c r="K32" s="1257"/>
      <c r="L32" s="1257"/>
      <c r="M32" s="1257"/>
      <c r="N32" s="1257"/>
      <c r="O32" s="1257"/>
      <c r="P32" s="1259"/>
      <c r="Q32" s="1257"/>
      <c r="R32" s="1257"/>
      <c r="S32" s="1257"/>
      <c r="T32" s="1259"/>
      <c r="U32" s="1377"/>
      <c r="V32" s="1377"/>
      <c r="W32" s="1377"/>
      <c r="X32" s="1257"/>
      <c r="Y32" s="1257"/>
      <c r="Z32" s="1260"/>
    </row>
    <row r="33" spans="1:26">
      <c r="A33" s="1261">
        <v>28</v>
      </c>
      <c r="B33" s="2962"/>
      <c r="C33" s="2965"/>
      <c r="D33" s="2971"/>
      <c r="E33" s="1262"/>
      <c r="F33" s="1262"/>
      <c r="G33" s="1263"/>
      <c r="H33" s="1263"/>
      <c r="I33" s="1263"/>
      <c r="J33" s="1263"/>
      <c r="K33" s="1264"/>
      <c r="L33" s="1264"/>
      <c r="M33" s="1264"/>
      <c r="N33" s="1264"/>
      <c r="O33" s="1264"/>
      <c r="P33" s="1266"/>
      <c r="Q33" s="1264"/>
      <c r="R33" s="1264"/>
      <c r="S33" s="1264"/>
      <c r="T33" s="1266"/>
      <c r="U33" s="1377"/>
      <c r="V33" s="1377"/>
      <c r="W33" s="1377"/>
      <c r="X33" s="1264"/>
      <c r="Y33" s="1264"/>
      <c r="Z33" s="1267"/>
    </row>
    <row r="34" spans="1:26">
      <c r="A34" s="1261">
        <v>29</v>
      </c>
      <c r="B34" s="2962"/>
      <c r="C34" s="2965"/>
      <c r="D34" s="2971"/>
      <c r="E34" s="1262"/>
      <c r="F34" s="1262"/>
      <c r="G34" s="1263"/>
      <c r="H34" s="1263"/>
      <c r="I34" s="1263"/>
      <c r="J34" s="1263"/>
      <c r="K34" s="1264"/>
      <c r="L34" s="1264"/>
      <c r="M34" s="1264"/>
      <c r="N34" s="1264"/>
      <c r="O34" s="1264"/>
      <c r="P34" s="1266"/>
      <c r="Q34" s="1264"/>
      <c r="R34" s="1264"/>
      <c r="S34" s="1264"/>
      <c r="T34" s="1266"/>
      <c r="U34" s="1377"/>
      <c r="V34" s="1377"/>
      <c r="W34" s="1377"/>
      <c r="X34" s="1264"/>
      <c r="Y34" s="1264"/>
      <c r="Z34" s="1267"/>
    </row>
    <row r="35" spans="1:26">
      <c r="A35" s="1261">
        <v>30</v>
      </c>
      <c r="B35" s="2962"/>
      <c r="C35" s="2965"/>
      <c r="D35" s="2971"/>
      <c r="E35" s="1262"/>
      <c r="F35" s="1262"/>
      <c r="G35" s="1263"/>
      <c r="H35" s="1263"/>
      <c r="I35" s="1263"/>
      <c r="J35" s="1263"/>
      <c r="K35" s="1264"/>
      <c r="L35" s="1264"/>
      <c r="M35" s="1264"/>
      <c r="N35" s="1264"/>
      <c r="O35" s="1264"/>
      <c r="P35" s="1266"/>
      <c r="Q35" s="1264"/>
      <c r="R35" s="1264"/>
      <c r="S35" s="1264"/>
      <c r="T35" s="1266"/>
      <c r="U35" s="1377"/>
      <c r="V35" s="1377"/>
      <c r="W35" s="1377"/>
      <c r="X35" s="1264"/>
      <c r="Y35" s="1264"/>
      <c r="Z35" s="1267"/>
    </row>
    <row r="36" spans="1:26">
      <c r="A36" s="1261">
        <v>31</v>
      </c>
      <c r="B36" s="2962"/>
      <c r="C36" s="2965"/>
      <c r="D36" s="2971"/>
      <c r="E36" s="1262"/>
      <c r="F36" s="1262"/>
      <c r="G36" s="1263"/>
      <c r="H36" s="1263"/>
      <c r="I36" s="1263"/>
      <c r="J36" s="1263"/>
      <c r="K36" s="1264"/>
      <c r="L36" s="1264"/>
      <c r="M36" s="1264"/>
      <c r="N36" s="1264"/>
      <c r="O36" s="1264"/>
      <c r="P36" s="1266"/>
      <c r="Q36" s="1264"/>
      <c r="R36" s="1264"/>
      <c r="S36" s="1264"/>
      <c r="T36" s="1266"/>
      <c r="U36" s="1377"/>
      <c r="V36" s="1377"/>
      <c r="W36" s="1377"/>
      <c r="X36" s="1264"/>
      <c r="Y36" s="1264"/>
      <c r="Z36" s="1267"/>
    </row>
    <row r="37" spans="1:26">
      <c r="A37" s="1261">
        <v>32</v>
      </c>
      <c r="B37" s="2962"/>
      <c r="C37" s="2965"/>
      <c r="D37" s="2971"/>
      <c r="E37" s="1262"/>
      <c r="F37" s="1262"/>
      <c r="G37" s="1263"/>
      <c r="H37" s="1263"/>
      <c r="I37" s="1263"/>
      <c r="J37" s="1263"/>
      <c r="K37" s="1264"/>
      <c r="L37" s="1264"/>
      <c r="M37" s="1264"/>
      <c r="N37" s="1264"/>
      <c r="O37" s="1264"/>
      <c r="P37" s="1266"/>
      <c r="Q37" s="1264"/>
      <c r="R37" s="1264"/>
      <c r="S37" s="1264"/>
      <c r="T37" s="1266"/>
      <c r="U37" s="1377"/>
      <c r="V37" s="1377"/>
      <c r="W37" s="1377"/>
      <c r="X37" s="1264"/>
      <c r="Y37" s="1264"/>
      <c r="Z37" s="1267"/>
    </row>
    <row r="38" spans="1:26">
      <c r="A38" s="1261">
        <v>33</v>
      </c>
      <c r="B38" s="2962"/>
      <c r="C38" s="2965"/>
      <c r="D38" s="2971"/>
      <c r="E38" s="1262"/>
      <c r="F38" s="1262"/>
      <c r="G38" s="1263"/>
      <c r="H38" s="1263"/>
      <c r="I38" s="1263"/>
      <c r="J38" s="1263"/>
      <c r="K38" s="1264"/>
      <c r="L38" s="1264"/>
      <c r="M38" s="1264"/>
      <c r="N38" s="1264"/>
      <c r="O38" s="1264"/>
      <c r="P38" s="1266"/>
      <c r="Q38" s="1264"/>
      <c r="R38" s="1264"/>
      <c r="S38" s="1264"/>
      <c r="T38" s="1266"/>
      <c r="U38" s="1377"/>
      <c r="V38" s="1377"/>
      <c r="W38" s="1377"/>
      <c r="X38" s="1264"/>
      <c r="Y38" s="1264"/>
      <c r="Z38" s="1267"/>
    </row>
    <row r="39" spans="1:26">
      <c r="A39" s="1261">
        <v>34</v>
      </c>
      <c r="B39" s="2962"/>
      <c r="C39" s="2965"/>
      <c r="D39" s="2971"/>
      <c r="E39" s="1262"/>
      <c r="F39" s="1262"/>
      <c r="G39" s="1263"/>
      <c r="H39" s="1263"/>
      <c r="I39" s="1263"/>
      <c r="J39" s="1263"/>
      <c r="K39" s="1264"/>
      <c r="L39" s="1264"/>
      <c r="M39" s="1264"/>
      <c r="N39" s="1264"/>
      <c r="O39" s="1264"/>
      <c r="P39" s="1266"/>
      <c r="Q39" s="1264"/>
      <c r="R39" s="1264"/>
      <c r="S39" s="1264"/>
      <c r="T39" s="1266"/>
      <c r="U39" s="1377"/>
      <c r="V39" s="1377"/>
      <c r="W39" s="1377"/>
      <c r="X39" s="1264"/>
      <c r="Y39" s="1264"/>
      <c r="Z39" s="1267"/>
    </row>
    <row r="40" spans="1:26">
      <c r="A40" s="1261">
        <v>35</v>
      </c>
      <c r="B40" s="2962"/>
      <c r="C40" s="2965"/>
      <c r="D40" s="2971"/>
      <c r="E40" s="1262"/>
      <c r="F40" s="1262"/>
      <c r="G40" s="1263"/>
      <c r="H40" s="1263"/>
      <c r="I40" s="1263"/>
      <c r="J40" s="1263"/>
      <c r="K40" s="1264"/>
      <c r="L40" s="1264"/>
      <c r="M40" s="1264"/>
      <c r="N40" s="1264"/>
      <c r="O40" s="1264"/>
      <c r="P40" s="1266"/>
      <c r="Q40" s="1264"/>
      <c r="R40" s="1264"/>
      <c r="S40" s="1264"/>
      <c r="T40" s="1266"/>
      <c r="U40" s="1377"/>
      <c r="V40" s="1377"/>
      <c r="W40" s="1377"/>
      <c r="X40" s="1264"/>
      <c r="Y40" s="1264"/>
      <c r="Z40" s="1267"/>
    </row>
    <row r="41" spans="1:26">
      <c r="A41" s="1261">
        <v>36</v>
      </c>
      <c r="B41" s="2962"/>
      <c r="C41" s="2965"/>
      <c r="D41" s="2972"/>
      <c r="E41" s="1262"/>
      <c r="F41" s="1262"/>
      <c r="G41" s="1263"/>
      <c r="H41" s="1263"/>
      <c r="I41" s="1263"/>
      <c r="J41" s="1263"/>
      <c r="K41" s="1264"/>
      <c r="L41" s="1264"/>
      <c r="M41" s="1264"/>
      <c r="N41" s="1264"/>
      <c r="O41" s="1264"/>
      <c r="P41" s="1266"/>
      <c r="Q41" s="1264"/>
      <c r="R41" s="1264"/>
      <c r="S41" s="1264"/>
      <c r="T41" s="1266"/>
      <c r="U41" s="1377"/>
      <c r="V41" s="1377"/>
      <c r="W41" s="1377"/>
      <c r="X41" s="1264"/>
      <c r="Y41" s="1264"/>
      <c r="Z41" s="1267"/>
    </row>
    <row r="42" spans="1:26">
      <c r="A42" s="1261">
        <v>37</v>
      </c>
      <c r="B42" s="2962"/>
      <c r="C42" s="2965"/>
      <c r="D42" s="1395" t="s">
        <v>4305</v>
      </c>
      <c r="E42" s="1271"/>
      <c r="F42" s="1271"/>
      <c r="G42" s="1271"/>
      <c r="H42" s="1271"/>
      <c r="I42" s="1271"/>
      <c r="J42" s="1271"/>
      <c r="K42" s="1271"/>
      <c r="L42" s="1271"/>
      <c r="M42" s="1271"/>
      <c r="N42" s="1264">
        <f>SUM(N32:N41)</f>
        <v>0</v>
      </c>
      <c r="O42" s="1264">
        <f>SUM(O32:O41)</f>
        <v>0</v>
      </c>
      <c r="P42" s="1264">
        <f>SUM(P32:P41)</f>
        <v>0</v>
      </c>
      <c r="Q42" s="1271"/>
      <c r="R42" s="1264">
        <f>SUM(R32:R41)</f>
        <v>0</v>
      </c>
      <c r="S42" s="1271"/>
      <c r="T42" s="1272"/>
      <c r="U42" s="1377"/>
      <c r="V42" s="1377"/>
      <c r="W42" s="1377"/>
      <c r="X42" s="1271"/>
      <c r="Y42" s="1271"/>
      <c r="Z42" s="1450"/>
    </row>
    <row r="43" spans="1:26" ht="14.25" customHeight="1">
      <c r="A43" s="1261">
        <v>38</v>
      </c>
      <c r="B43" s="2962"/>
      <c r="C43" s="2965"/>
      <c r="D43" s="2973" t="s">
        <v>4322</v>
      </c>
      <c r="E43" s="1262"/>
      <c r="F43" s="1262"/>
      <c r="G43" s="1263"/>
      <c r="H43" s="1263"/>
      <c r="I43" s="1263"/>
      <c r="J43" s="1263"/>
      <c r="K43" s="1264"/>
      <c r="L43" s="1264"/>
      <c r="M43" s="1264"/>
      <c r="N43" s="1264"/>
      <c r="O43" s="1264"/>
      <c r="P43" s="1266"/>
      <c r="Q43" s="1264"/>
      <c r="R43" s="1264"/>
      <c r="S43" s="1264"/>
      <c r="T43" s="1266"/>
      <c r="U43" s="1377"/>
      <c r="V43" s="1377"/>
      <c r="W43" s="1377"/>
      <c r="X43" s="1264"/>
      <c r="Y43" s="1264"/>
      <c r="Z43" s="1267"/>
    </row>
    <row r="44" spans="1:26">
      <c r="A44" s="1261">
        <v>39</v>
      </c>
      <c r="B44" s="2962"/>
      <c r="C44" s="2965"/>
      <c r="D44" s="2971"/>
      <c r="E44" s="1262"/>
      <c r="F44" s="1262"/>
      <c r="G44" s="1263"/>
      <c r="H44" s="1263"/>
      <c r="I44" s="1263"/>
      <c r="J44" s="1263"/>
      <c r="K44" s="1264"/>
      <c r="L44" s="1264"/>
      <c r="M44" s="1264"/>
      <c r="N44" s="1264"/>
      <c r="O44" s="1264"/>
      <c r="P44" s="1266"/>
      <c r="Q44" s="1264"/>
      <c r="R44" s="1264"/>
      <c r="S44" s="1264"/>
      <c r="T44" s="1266"/>
      <c r="U44" s="1377"/>
      <c r="V44" s="1377"/>
      <c r="W44" s="1377"/>
      <c r="X44" s="1264"/>
      <c r="Y44" s="1264"/>
      <c r="Z44" s="1267"/>
    </row>
    <row r="45" spans="1:26">
      <c r="A45" s="1261">
        <v>40</v>
      </c>
      <c r="B45" s="2962"/>
      <c r="C45" s="2965"/>
      <c r="D45" s="2971"/>
      <c r="E45" s="1262"/>
      <c r="F45" s="1262"/>
      <c r="G45" s="1263"/>
      <c r="H45" s="1263"/>
      <c r="I45" s="1263"/>
      <c r="J45" s="1263"/>
      <c r="K45" s="1264"/>
      <c r="L45" s="1264"/>
      <c r="M45" s="1264"/>
      <c r="N45" s="1264"/>
      <c r="O45" s="1264"/>
      <c r="P45" s="1266"/>
      <c r="Q45" s="1264"/>
      <c r="R45" s="1264"/>
      <c r="S45" s="1264"/>
      <c r="T45" s="1266"/>
      <c r="U45" s="1377"/>
      <c r="V45" s="1377"/>
      <c r="W45" s="1377"/>
      <c r="X45" s="1264"/>
      <c r="Y45" s="1264"/>
      <c r="Z45" s="1267"/>
    </row>
    <row r="46" spans="1:26">
      <c r="A46" s="1261">
        <v>41</v>
      </c>
      <c r="B46" s="2962"/>
      <c r="C46" s="2965"/>
      <c r="D46" s="2971"/>
      <c r="E46" s="1262"/>
      <c r="F46" s="1262"/>
      <c r="G46" s="1263"/>
      <c r="H46" s="1263"/>
      <c r="I46" s="1263"/>
      <c r="J46" s="1263"/>
      <c r="K46" s="1264"/>
      <c r="L46" s="1264"/>
      <c r="M46" s="1264"/>
      <c r="N46" s="1264"/>
      <c r="O46" s="1264"/>
      <c r="P46" s="1266"/>
      <c r="Q46" s="1264"/>
      <c r="R46" s="1264"/>
      <c r="S46" s="1264"/>
      <c r="T46" s="1266"/>
      <c r="U46" s="1377"/>
      <c r="V46" s="1377"/>
      <c r="W46" s="1377"/>
      <c r="X46" s="1264"/>
      <c r="Y46" s="1264"/>
      <c r="Z46" s="1267"/>
    </row>
    <row r="47" spans="1:26">
      <c r="A47" s="1261">
        <v>42</v>
      </c>
      <c r="B47" s="2962"/>
      <c r="C47" s="2965"/>
      <c r="D47" s="2971"/>
      <c r="E47" s="1262"/>
      <c r="F47" s="1262"/>
      <c r="G47" s="1263"/>
      <c r="H47" s="1263"/>
      <c r="I47" s="1263"/>
      <c r="J47" s="1263"/>
      <c r="K47" s="1264"/>
      <c r="L47" s="1264"/>
      <c r="M47" s="1264"/>
      <c r="N47" s="1264"/>
      <c r="O47" s="1264"/>
      <c r="P47" s="1266"/>
      <c r="Q47" s="1264"/>
      <c r="R47" s="1264"/>
      <c r="S47" s="1264"/>
      <c r="T47" s="1266"/>
      <c r="U47" s="1377"/>
      <c r="V47" s="1377"/>
      <c r="W47" s="1377"/>
      <c r="X47" s="1264"/>
      <c r="Y47" s="1264"/>
      <c r="Z47" s="1267"/>
    </row>
    <row r="48" spans="1:26">
      <c r="A48" s="1261">
        <v>43</v>
      </c>
      <c r="B48" s="2962"/>
      <c r="C48" s="2965"/>
      <c r="D48" s="2971"/>
      <c r="E48" s="1262"/>
      <c r="F48" s="1262"/>
      <c r="G48" s="1263"/>
      <c r="H48" s="1263"/>
      <c r="I48" s="1263"/>
      <c r="J48" s="1263"/>
      <c r="K48" s="1264"/>
      <c r="L48" s="1264"/>
      <c r="M48" s="1264"/>
      <c r="N48" s="1264"/>
      <c r="O48" s="1264"/>
      <c r="P48" s="1266"/>
      <c r="Q48" s="1264"/>
      <c r="R48" s="1264"/>
      <c r="S48" s="1264"/>
      <c r="T48" s="1266"/>
      <c r="U48" s="1377"/>
      <c r="V48" s="1377"/>
      <c r="W48" s="1377"/>
      <c r="X48" s="1264"/>
      <c r="Y48" s="1264"/>
      <c r="Z48" s="1267"/>
    </row>
    <row r="49" spans="1:26">
      <c r="A49" s="1261">
        <v>44</v>
      </c>
      <c r="B49" s="2962"/>
      <c r="C49" s="2965"/>
      <c r="D49" s="2971"/>
      <c r="E49" s="1262"/>
      <c r="F49" s="1262"/>
      <c r="G49" s="1263"/>
      <c r="H49" s="1263"/>
      <c r="I49" s="1263"/>
      <c r="J49" s="1263"/>
      <c r="K49" s="1264"/>
      <c r="L49" s="1264"/>
      <c r="M49" s="1264"/>
      <c r="N49" s="1264"/>
      <c r="O49" s="1264"/>
      <c r="P49" s="1266"/>
      <c r="Q49" s="1264"/>
      <c r="R49" s="1264"/>
      <c r="S49" s="1264"/>
      <c r="T49" s="1266"/>
      <c r="U49" s="1377"/>
      <c r="V49" s="1377"/>
      <c r="W49" s="1377"/>
      <c r="X49" s="1264"/>
      <c r="Y49" s="1264"/>
      <c r="Z49" s="1267"/>
    </row>
    <row r="50" spans="1:26">
      <c r="A50" s="1261">
        <v>45</v>
      </c>
      <c r="B50" s="2962"/>
      <c r="C50" s="2965"/>
      <c r="D50" s="2971"/>
      <c r="E50" s="1262"/>
      <c r="F50" s="1262"/>
      <c r="G50" s="1263"/>
      <c r="H50" s="1263"/>
      <c r="I50" s="1263"/>
      <c r="J50" s="1263"/>
      <c r="K50" s="1264"/>
      <c r="L50" s="1264"/>
      <c r="M50" s="1264"/>
      <c r="N50" s="1264"/>
      <c r="O50" s="1264"/>
      <c r="P50" s="1266"/>
      <c r="Q50" s="1264"/>
      <c r="R50" s="1264"/>
      <c r="S50" s="1264"/>
      <c r="T50" s="1266"/>
      <c r="U50" s="1377"/>
      <c r="V50" s="1377"/>
      <c r="W50" s="1377"/>
      <c r="X50" s="1264"/>
      <c r="Y50" s="1264"/>
      <c r="Z50" s="1267"/>
    </row>
    <row r="51" spans="1:26">
      <c r="A51" s="1261">
        <v>46</v>
      </c>
      <c r="B51" s="2962"/>
      <c r="C51" s="2965"/>
      <c r="D51" s="2971"/>
      <c r="E51" s="1262"/>
      <c r="F51" s="1262"/>
      <c r="G51" s="1263"/>
      <c r="H51" s="1263"/>
      <c r="I51" s="1263"/>
      <c r="J51" s="1263"/>
      <c r="K51" s="1264"/>
      <c r="L51" s="1264"/>
      <c r="M51" s="1264"/>
      <c r="N51" s="1264"/>
      <c r="O51" s="1264"/>
      <c r="P51" s="1266"/>
      <c r="Q51" s="1264"/>
      <c r="R51" s="1264"/>
      <c r="S51" s="1264"/>
      <c r="T51" s="1266"/>
      <c r="U51" s="1377"/>
      <c r="V51" s="1377"/>
      <c r="W51" s="1377"/>
      <c r="X51" s="1264"/>
      <c r="Y51" s="1264"/>
      <c r="Z51" s="1267"/>
    </row>
    <row r="52" spans="1:26">
      <c r="A52" s="1261">
        <v>47</v>
      </c>
      <c r="B52" s="2962"/>
      <c r="C52" s="2965"/>
      <c r="D52" s="2972"/>
      <c r="E52" s="1262"/>
      <c r="F52" s="1262"/>
      <c r="G52" s="1263"/>
      <c r="H52" s="1263"/>
      <c r="I52" s="1263"/>
      <c r="J52" s="1263"/>
      <c r="K52" s="1264"/>
      <c r="L52" s="1264"/>
      <c r="M52" s="1264"/>
      <c r="N52" s="1264"/>
      <c r="O52" s="1264"/>
      <c r="P52" s="1266"/>
      <c r="Q52" s="1264"/>
      <c r="R52" s="1264"/>
      <c r="S52" s="1264"/>
      <c r="T52" s="1266"/>
      <c r="U52" s="1377"/>
      <c r="V52" s="1377"/>
      <c r="W52" s="1377"/>
      <c r="X52" s="1264"/>
      <c r="Y52" s="1264"/>
      <c r="Z52" s="1267"/>
    </row>
    <row r="53" spans="1:26" ht="17.25" thickBot="1">
      <c r="A53" s="1261">
        <v>48</v>
      </c>
      <c r="B53" s="2962"/>
      <c r="C53" s="2966"/>
      <c r="D53" s="1273" t="s">
        <v>3514</v>
      </c>
      <c r="E53" s="1276"/>
      <c r="F53" s="1276"/>
      <c r="G53" s="1276"/>
      <c r="H53" s="1276"/>
      <c r="I53" s="1276"/>
      <c r="J53" s="1276"/>
      <c r="K53" s="1276"/>
      <c r="L53" s="1276"/>
      <c r="M53" s="1276"/>
      <c r="N53" s="1275">
        <f>SUM(N43:N52)</f>
        <v>0</v>
      </c>
      <c r="O53" s="1275">
        <f>SUM(O43:O52)</f>
        <v>0</v>
      </c>
      <c r="P53" s="1275">
        <f>SUM(P43:P52)</f>
        <v>0</v>
      </c>
      <c r="Q53" s="1276"/>
      <c r="R53" s="1275">
        <f>SUM(R43:R52)</f>
        <v>0</v>
      </c>
      <c r="S53" s="1276"/>
      <c r="T53" s="1276"/>
      <c r="U53" s="1379"/>
      <c r="V53" s="1379"/>
      <c r="W53" s="1379"/>
      <c r="X53" s="1276"/>
      <c r="Y53" s="1276"/>
      <c r="Z53" s="1453"/>
    </row>
    <row r="54" spans="1:26" ht="17.649999999999999" customHeight="1">
      <c r="A54" s="1380">
        <v>49</v>
      </c>
      <c r="B54" s="2962"/>
      <c r="C54" s="2979" t="s">
        <v>4299</v>
      </c>
      <c r="D54" s="2982" t="s">
        <v>4300</v>
      </c>
      <c r="E54" s="1467"/>
      <c r="F54" s="1467"/>
      <c r="G54" s="1467"/>
      <c r="H54" s="1467"/>
      <c r="I54" s="1467"/>
      <c r="J54" s="1256" t="s">
        <v>4334</v>
      </c>
      <c r="K54" s="1467"/>
      <c r="L54" s="1467"/>
      <c r="M54" s="1467"/>
      <c r="N54" s="1467"/>
      <c r="O54" s="1467"/>
      <c r="P54" s="1467"/>
      <c r="Q54" s="1257" t="s">
        <v>4302</v>
      </c>
      <c r="R54" s="1467"/>
      <c r="S54" s="1257" t="s">
        <v>4303</v>
      </c>
      <c r="T54" s="1467"/>
      <c r="U54" s="1467"/>
      <c r="V54" s="1467"/>
      <c r="W54" s="1467"/>
      <c r="X54" s="1467"/>
      <c r="Y54" s="1467"/>
      <c r="Z54" s="33"/>
    </row>
    <row r="55" spans="1:26">
      <c r="A55" s="1380">
        <v>50</v>
      </c>
      <c r="B55" s="2962"/>
      <c r="C55" s="2980"/>
      <c r="D55" s="2983"/>
      <c r="E55" s="1468"/>
      <c r="F55" s="1468"/>
      <c r="G55" s="1468"/>
      <c r="H55" s="1468"/>
      <c r="I55" s="1468"/>
      <c r="J55" s="1469" t="s">
        <v>4334</v>
      </c>
      <c r="K55" s="1468"/>
      <c r="L55" s="1468"/>
      <c r="M55" s="1468"/>
      <c r="N55" s="1468"/>
      <c r="O55" s="1468"/>
      <c r="P55" s="1468"/>
      <c r="Q55" s="1264" t="s">
        <v>4302</v>
      </c>
      <c r="R55" s="1468"/>
      <c r="S55" s="1264" t="s">
        <v>4303</v>
      </c>
      <c r="T55" s="1468"/>
      <c r="U55" s="1468"/>
      <c r="V55" s="1468"/>
      <c r="W55" s="1468"/>
      <c r="X55" s="1468"/>
      <c r="Y55" s="1468"/>
      <c r="Z55" s="33"/>
    </row>
    <row r="56" spans="1:26">
      <c r="A56" s="1380">
        <v>51</v>
      </c>
      <c r="B56" s="2962"/>
      <c r="C56" s="2980"/>
      <c r="D56" s="2983"/>
      <c r="E56" s="1468"/>
      <c r="F56" s="1468"/>
      <c r="G56" s="1468"/>
      <c r="H56" s="1468"/>
      <c r="I56" s="1468"/>
      <c r="J56" s="1469" t="s">
        <v>4334</v>
      </c>
      <c r="K56" s="1468"/>
      <c r="L56" s="1468"/>
      <c r="M56" s="1468"/>
      <c r="N56" s="1468"/>
      <c r="O56" s="1468"/>
      <c r="P56" s="1468"/>
      <c r="Q56" s="1264" t="s">
        <v>4302</v>
      </c>
      <c r="R56" s="1468"/>
      <c r="S56" s="1264" t="s">
        <v>4303</v>
      </c>
      <c r="T56" s="1468"/>
      <c r="U56" s="1468"/>
      <c r="V56" s="1468"/>
      <c r="W56" s="1468"/>
      <c r="X56" s="1468"/>
      <c r="Y56" s="1468"/>
      <c r="Z56" s="33"/>
    </row>
    <row r="57" spans="1:26">
      <c r="A57" s="1380">
        <v>52</v>
      </c>
      <c r="B57" s="2962"/>
      <c r="C57" s="2980"/>
      <c r="D57" s="2983"/>
      <c r="E57" s="1468"/>
      <c r="F57" s="1468"/>
      <c r="G57" s="1468"/>
      <c r="H57" s="1468"/>
      <c r="I57" s="1468"/>
      <c r="J57" s="1469" t="s">
        <v>4334</v>
      </c>
      <c r="K57" s="1468"/>
      <c r="L57" s="1468"/>
      <c r="M57" s="1468"/>
      <c r="N57" s="1468"/>
      <c r="O57" s="1468"/>
      <c r="P57" s="1468"/>
      <c r="Q57" s="1264" t="s">
        <v>4302</v>
      </c>
      <c r="R57" s="1468"/>
      <c r="S57" s="1264" t="s">
        <v>4303</v>
      </c>
      <c r="T57" s="1468"/>
      <c r="U57" s="1468"/>
      <c r="V57" s="1468"/>
      <c r="W57" s="1468"/>
      <c r="X57" s="1468"/>
      <c r="Y57" s="1468"/>
      <c r="Z57" s="33"/>
    </row>
    <row r="58" spans="1:26">
      <c r="A58" s="1380">
        <v>53</v>
      </c>
      <c r="B58" s="2962"/>
      <c r="C58" s="2980"/>
      <c r="D58" s="2983"/>
      <c r="E58" s="1468"/>
      <c r="F58" s="1468"/>
      <c r="G58" s="1468"/>
      <c r="H58" s="1468"/>
      <c r="I58" s="1468"/>
      <c r="J58" s="1469" t="s">
        <v>4334</v>
      </c>
      <c r="K58" s="1468"/>
      <c r="L58" s="1468"/>
      <c r="M58" s="1468"/>
      <c r="N58" s="1468"/>
      <c r="O58" s="1468"/>
      <c r="P58" s="1468"/>
      <c r="Q58" s="1264" t="s">
        <v>4302</v>
      </c>
      <c r="R58" s="1468"/>
      <c r="S58" s="1264" t="s">
        <v>4303</v>
      </c>
      <c r="T58" s="1468"/>
      <c r="U58" s="1468"/>
      <c r="V58" s="1468"/>
      <c r="W58" s="1468"/>
      <c r="X58" s="1468"/>
      <c r="Y58" s="1468"/>
      <c r="Z58" s="33"/>
    </row>
    <row r="59" spans="1:26">
      <c r="A59" s="1380">
        <v>54</v>
      </c>
      <c r="B59" s="2962"/>
      <c r="C59" s="2980"/>
      <c r="D59" s="2983"/>
      <c r="E59" s="1468"/>
      <c r="F59" s="1468"/>
      <c r="G59" s="1468"/>
      <c r="H59" s="1468"/>
      <c r="I59" s="1468"/>
      <c r="J59" s="1469" t="s">
        <v>4334</v>
      </c>
      <c r="K59" s="1468"/>
      <c r="L59" s="1468"/>
      <c r="M59" s="1468"/>
      <c r="N59" s="1468"/>
      <c r="O59" s="1468"/>
      <c r="P59" s="1468"/>
      <c r="Q59" s="1264" t="s">
        <v>4302</v>
      </c>
      <c r="R59" s="1468"/>
      <c r="S59" s="1264" t="s">
        <v>4303</v>
      </c>
      <c r="T59" s="1468"/>
      <c r="U59" s="1468"/>
      <c r="V59" s="1468"/>
      <c r="W59" s="1468"/>
      <c r="X59" s="1468"/>
      <c r="Y59" s="1468"/>
      <c r="Z59" s="33"/>
    </row>
    <row r="60" spans="1:26">
      <c r="A60" s="1380">
        <v>55</v>
      </c>
      <c r="B60" s="2962"/>
      <c r="C60" s="2980"/>
      <c r="D60" s="2983"/>
      <c r="E60" s="1468"/>
      <c r="F60" s="1468"/>
      <c r="G60" s="1468"/>
      <c r="H60" s="1468"/>
      <c r="I60" s="1468"/>
      <c r="J60" s="1469" t="s">
        <v>4334</v>
      </c>
      <c r="K60" s="1468"/>
      <c r="L60" s="1468"/>
      <c r="M60" s="1468"/>
      <c r="N60" s="1468"/>
      <c r="O60" s="1468"/>
      <c r="P60" s="1468"/>
      <c r="Q60" s="1264" t="s">
        <v>4302</v>
      </c>
      <c r="R60" s="1468"/>
      <c r="S60" s="1264" t="s">
        <v>4303</v>
      </c>
      <c r="T60" s="1468"/>
      <c r="U60" s="1468"/>
      <c r="V60" s="1468"/>
      <c r="W60" s="1468"/>
      <c r="X60" s="1468"/>
      <c r="Y60" s="1468"/>
      <c r="Z60" s="33"/>
    </row>
    <row r="61" spans="1:26">
      <c r="A61" s="1380">
        <v>56</v>
      </c>
      <c r="B61" s="2962"/>
      <c r="C61" s="2980"/>
      <c r="D61" s="2983"/>
      <c r="E61" s="1468"/>
      <c r="F61" s="1468"/>
      <c r="G61" s="1468"/>
      <c r="H61" s="1468"/>
      <c r="I61" s="1468"/>
      <c r="J61" s="1469" t="s">
        <v>4334</v>
      </c>
      <c r="K61" s="1468"/>
      <c r="L61" s="1468"/>
      <c r="M61" s="1468"/>
      <c r="N61" s="1468"/>
      <c r="O61" s="1468"/>
      <c r="P61" s="1468"/>
      <c r="Q61" s="1264" t="s">
        <v>4302</v>
      </c>
      <c r="R61" s="1468"/>
      <c r="S61" s="1264" t="s">
        <v>4303</v>
      </c>
      <c r="T61" s="1468"/>
      <c r="U61" s="1468"/>
      <c r="V61" s="1468"/>
      <c r="W61" s="1468"/>
      <c r="X61" s="1468"/>
      <c r="Y61" s="1468"/>
      <c r="Z61" s="33"/>
    </row>
    <row r="62" spans="1:26">
      <c r="A62" s="1380">
        <v>57</v>
      </c>
      <c r="B62" s="2962"/>
      <c r="C62" s="2980"/>
      <c r="D62" s="2983"/>
      <c r="E62" s="1468"/>
      <c r="F62" s="1468"/>
      <c r="G62" s="1468"/>
      <c r="H62" s="1468"/>
      <c r="I62" s="1468"/>
      <c r="J62" s="1469" t="s">
        <v>4334</v>
      </c>
      <c r="K62" s="1468"/>
      <c r="L62" s="1468"/>
      <c r="M62" s="1468"/>
      <c r="N62" s="1468"/>
      <c r="O62" s="1468"/>
      <c r="P62" s="1468"/>
      <c r="Q62" s="1264" t="s">
        <v>4302</v>
      </c>
      <c r="R62" s="1468"/>
      <c r="S62" s="1264" t="s">
        <v>4303</v>
      </c>
      <c r="T62" s="1468"/>
      <c r="U62" s="1468"/>
      <c r="V62" s="1468"/>
      <c r="W62" s="1468"/>
      <c r="X62" s="1468"/>
      <c r="Y62" s="1468"/>
      <c r="Z62" s="33"/>
    </row>
    <row r="63" spans="1:26">
      <c r="A63" s="1380">
        <v>58</v>
      </c>
      <c r="B63" s="2962"/>
      <c r="C63" s="2980"/>
      <c r="D63" s="2984"/>
      <c r="E63" s="1467"/>
      <c r="F63" s="1467"/>
      <c r="G63" s="1467"/>
      <c r="H63" s="1467"/>
      <c r="I63" s="1467"/>
      <c r="J63" s="1469" t="s">
        <v>4334</v>
      </c>
      <c r="K63" s="1467"/>
      <c r="L63" s="1467"/>
      <c r="M63" s="1467"/>
      <c r="N63" s="1467"/>
      <c r="O63" s="1467"/>
      <c r="P63" s="1467"/>
      <c r="Q63" s="1264" t="s">
        <v>4302</v>
      </c>
      <c r="R63" s="1467"/>
      <c r="S63" s="1264" t="s">
        <v>4303</v>
      </c>
      <c r="T63" s="1467"/>
      <c r="U63" s="1467"/>
      <c r="V63" s="1467"/>
      <c r="W63" s="1467"/>
      <c r="X63" s="1467"/>
      <c r="Y63" s="1467"/>
      <c r="Z63" s="33"/>
    </row>
    <row r="64" spans="1:26">
      <c r="A64" s="1380">
        <v>59</v>
      </c>
      <c r="B64" s="2962"/>
      <c r="C64" s="2980"/>
      <c r="D64" s="1395" t="s">
        <v>4305</v>
      </c>
      <c r="E64" s="1397"/>
      <c r="F64" s="1397"/>
      <c r="G64" s="1397"/>
      <c r="H64" s="1397"/>
      <c r="I64" s="1397"/>
      <c r="J64" s="1397"/>
      <c r="K64" s="1397"/>
      <c r="L64" s="1397"/>
      <c r="M64" s="1397"/>
      <c r="N64" s="1468">
        <f>SUM(N54:N63)</f>
        <v>0</v>
      </c>
      <c r="O64" s="1468">
        <f>SUM(O54:O63)</f>
        <v>0</v>
      </c>
      <c r="P64" s="1468">
        <f>SUM(P54:P63)</f>
        <v>0</v>
      </c>
      <c r="Q64" s="1397"/>
      <c r="R64" s="1468">
        <f>SUM(R54:R63)</f>
        <v>0</v>
      </c>
      <c r="S64" s="1397"/>
      <c r="T64" s="1397"/>
      <c r="U64" s="1397"/>
      <c r="V64" s="1397"/>
      <c r="W64" s="1397"/>
      <c r="X64" s="1397"/>
      <c r="Y64" s="1397"/>
      <c r="Z64" s="33"/>
    </row>
    <row r="65" spans="1:26" ht="17.649999999999999" customHeight="1">
      <c r="A65" s="1380">
        <v>60</v>
      </c>
      <c r="B65" s="2962"/>
      <c r="C65" s="2980"/>
      <c r="D65" s="2983" t="s">
        <v>4306</v>
      </c>
      <c r="E65" s="1470"/>
      <c r="F65" s="1470"/>
      <c r="G65" s="1471"/>
      <c r="H65" s="1471"/>
      <c r="I65" s="1471"/>
      <c r="J65" s="1472" t="s">
        <v>4334</v>
      </c>
      <c r="K65" s="1473"/>
      <c r="L65" s="1473"/>
      <c r="M65" s="1473"/>
      <c r="N65" s="1473"/>
      <c r="O65" s="1473"/>
      <c r="P65" s="1474"/>
      <c r="Q65" s="1303" t="s">
        <v>4302</v>
      </c>
      <c r="R65" s="1473"/>
      <c r="S65" s="1303" t="s">
        <v>4303</v>
      </c>
      <c r="T65" s="1474"/>
      <c r="U65" s="1474"/>
      <c r="V65" s="1474"/>
      <c r="W65" s="1474"/>
      <c r="X65" s="1475"/>
      <c r="Y65" s="1473"/>
      <c r="Z65" s="33"/>
    </row>
    <row r="66" spans="1:26" ht="17.25">
      <c r="A66" s="1380">
        <v>61</v>
      </c>
      <c r="B66" s="2962"/>
      <c r="C66" s="2980"/>
      <c r="D66" s="2983"/>
      <c r="E66" s="1476"/>
      <c r="F66" s="1476"/>
      <c r="G66" s="1477"/>
      <c r="H66" s="1477"/>
      <c r="I66" s="1477"/>
      <c r="J66" s="1469" t="s">
        <v>4334</v>
      </c>
      <c r="K66" s="1468"/>
      <c r="L66" s="1468"/>
      <c r="M66" s="1468"/>
      <c r="N66" s="1468"/>
      <c r="O66" s="1468"/>
      <c r="P66" s="1478"/>
      <c r="Q66" s="1264" t="s">
        <v>4302</v>
      </c>
      <c r="R66" s="1468"/>
      <c r="S66" s="1264" t="s">
        <v>4303</v>
      </c>
      <c r="T66" s="1478"/>
      <c r="U66" s="1478"/>
      <c r="V66" s="1478"/>
      <c r="W66" s="1478"/>
      <c r="X66" s="1479"/>
      <c r="Y66" s="1468"/>
      <c r="Z66" s="33"/>
    </row>
    <row r="67" spans="1:26" ht="17.25">
      <c r="A67" s="1380">
        <v>62</v>
      </c>
      <c r="B67" s="2962"/>
      <c r="C67" s="2980"/>
      <c r="D67" s="2983"/>
      <c r="E67" s="1476"/>
      <c r="F67" s="1476"/>
      <c r="G67" s="1477"/>
      <c r="H67" s="1477"/>
      <c r="I67" s="1477"/>
      <c r="J67" s="1469" t="s">
        <v>4334</v>
      </c>
      <c r="K67" s="1468"/>
      <c r="L67" s="1468"/>
      <c r="M67" s="1468"/>
      <c r="N67" s="1468"/>
      <c r="O67" s="1468"/>
      <c r="P67" s="1478"/>
      <c r="Q67" s="1264" t="s">
        <v>4302</v>
      </c>
      <c r="R67" s="1468"/>
      <c r="S67" s="1264" t="s">
        <v>4303</v>
      </c>
      <c r="T67" s="1478"/>
      <c r="U67" s="1478"/>
      <c r="V67" s="1478"/>
      <c r="W67" s="1478"/>
      <c r="X67" s="1479"/>
      <c r="Y67" s="1468"/>
      <c r="Z67" s="33"/>
    </row>
    <row r="68" spans="1:26" ht="17.25">
      <c r="A68" s="1380">
        <v>63</v>
      </c>
      <c r="B68" s="2962"/>
      <c r="C68" s="2980"/>
      <c r="D68" s="2983"/>
      <c r="E68" s="1476"/>
      <c r="F68" s="1476"/>
      <c r="G68" s="1477"/>
      <c r="H68" s="1477"/>
      <c r="I68" s="1477"/>
      <c r="J68" s="1469" t="s">
        <v>4334</v>
      </c>
      <c r="K68" s="1468"/>
      <c r="L68" s="1468"/>
      <c r="M68" s="1468"/>
      <c r="N68" s="1468"/>
      <c r="O68" s="1468"/>
      <c r="P68" s="1478"/>
      <c r="Q68" s="1264" t="s">
        <v>4302</v>
      </c>
      <c r="R68" s="1468"/>
      <c r="S68" s="1264" t="s">
        <v>4303</v>
      </c>
      <c r="T68" s="1478"/>
      <c r="U68" s="1478"/>
      <c r="V68" s="1478"/>
      <c r="W68" s="1478"/>
      <c r="X68" s="1479"/>
      <c r="Y68" s="1468"/>
      <c r="Z68" s="33"/>
    </row>
    <row r="69" spans="1:26" ht="17.25">
      <c r="A69" s="1380">
        <v>64</v>
      </c>
      <c r="B69" s="2962"/>
      <c r="C69" s="2980"/>
      <c r="D69" s="2983"/>
      <c r="E69" s="1476"/>
      <c r="F69" s="1476"/>
      <c r="G69" s="1477"/>
      <c r="H69" s="1477"/>
      <c r="I69" s="1477"/>
      <c r="J69" s="1469" t="s">
        <v>4334</v>
      </c>
      <c r="K69" s="1468"/>
      <c r="L69" s="1468"/>
      <c r="M69" s="1468"/>
      <c r="N69" s="1468"/>
      <c r="O69" s="1468"/>
      <c r="P69" s="1478"/>
      <c r="Q69" s="1264" t="s">
        <v>4302</v>
      </c>
      <c r="R69" s="1468"/>
      <c r="S69" s="1264" t="s">
        <v>4303</v>
      </c>
      <c r="T69" s="1478"/>
      <c r="U69" s="1478"/>
      <c r="V69" s="1478"/>
      <c r="W69" s="1478"/>
      <c r="X69" s="1479"/>
      <c r="Y69" s="1468"/>
      <c r="Z69" s="33"/>
    </row>
    <row r="70" spans="1:26" ht="17.25">
      <c r="A70" s="1380">
        <v>65</v>
      </c>
      <c r="B70" s="2962"/>
      <c r="C70" s="2980"/>
      <c r="D70" s="2983"/>
      <c r="E70" s="1476"/>
      <c r="F70" s="1476"/>
      <c r="G70" s="1477"/>
      <c r="H70" s="1477"/>
      <c r="I70" s="1477"/>
      <c r="J70" s="1469" t="s">
        <v>4334</v>
      </c>
      <c r="K70" s="1468"/>
      <c r="L70" s="1468"/>
      <c r="M70" s="1468"/>
      <c r="N70" s="1468"/>
      <c r="O70" s="1468"/>
      <c r="P70" s="1478"/>
      <c r="Q70" s="1264" t="s">
        <v>4302</v>
      </c>
      <c r="R70" s="1468"/>
      <c r="S70" s="1264" t="s">
        <v>4303</v>
      </c>
      <c r="T70" s="1478"/>
      <c r="U70" s="1478"/>
      <c r="V70" s="1478"/>
      <c r="W70" s="1478"/>
      <c r="X70" s="1479"/>
      <c r="Y70" s="1468"/>
      <c r="Z70" s="33"/>
    </row>
    <row r="71" spans="1:26" ht="17.25">
      <c r="A71" s="1380">
        <v>66</v>
      </c>
      <c r="B71" s="2962"/>
      <c r="C71" s="2980"/>
      <c r="D71" s="2983"/>
      <c r="E71" s="1476"/>
      <c r="F71" s="1476"/>
      <c r="G71" s="1477"/>
      <c r="H71" s="1477"/>
      <c r="I71" s="1477"/>
      <c r="J71" s="1469" t="s">
        <v>4334</v>
      </c>
      <c r="K71" s="1468"/>
      <c r="L71" s="1468"/>
      <c r="M71" s="1468"/>
      <c r="N71" s="1468"/>
      <c r="O71" s="1468"/>
      <c r="P71" s="1478"/>
      <c r="Q71" s="1264" t="s">
        <v>4302</v>
      </c>
      <c r="R71" s="1468"/>
      <c r="S71" s="1264" t="s">
        <v>4303</v>
      </c>
      <c r="T71" s="1478"/>
      <c r="U71" s="1478"/>
      <c r="V71" s="1478"/>
      <c r="W71" s="1478"/>
      <c r="X71" s="1479"/>
      <c r="Y71" s="1468"/>
      <c r="Z71" s="33"/>
    </row>
    <row r="72" spans="1:26" ht="17.25">
      <c r="A72" s="1380">
        <v>67</v>
      </c>
      <c r="B72" s="2962"/>
      <c r="C72" s="2980"/>
      <c r="D72" s="2983"/>
      <c r="E72" s="1476"/>
      <c r="F72" s="1476"/>
      <c r="G72" s="1477"/>
      <c r="H72" s="1477"/>
      <c r="I72" s="1477"/>
      <c r="J72" s="1469" t="s">
        <v>4334</v>
      </c>
      <c r="K72" s="1468"/>
      <c r="L72" s="1468"/>
      <c r="M72" s="1468"/>
      <c r="N72" s="1468"/>
      <c r="O72" s="1468"/>
      <c r="P72" s="1478"/>
      <c r="Q72" s="1264" t="s">
        <v>4302</v>
      </c>
      <c r="R72" s="1468"/>
      <c r="S72" s="1264" t="s">
        <v>4303</v>
      </c>
      <c r="T72" s="1478"/>
      <c r="U72" s="1478"/>
      <c r="V72" s="1478"/>
      <c r="W72" s="1478"/>
      <c r="X72" s="1479"/>
      <c r="Y72" s="1468"/>
      <c r="Z72" s="33"/>
    </row>
    <row r="73" spans="1:26" ht="17.25">
      <c r="A73" s="1380">
        <v>68</v>
      </c>
      <c r="B73" s="2962"/>
      <c r="C73" s="2980"/>
      <c r="D73" s="2983"/>
      <c r="E73" s="1476"/>
      <c r="F73" s="1476"/>
      <c r="G73" s="1477"/>
      <c r="H73" s="1477"/>
      <c r="I73" s="1477"/>
      <c r="J73" s="1469" t="s">
        <v>4334</v>
      </c>
      <c r="K73" s="1468"/>
      <c r="L73" s="1468"/>
      <c r="M73" s="1468"/>
      <c r="N73" s="1468"/>
      <c r="O73" s="1468"/>
      <c r="P73" s="1478"/>
      <c r="Q73" s="1264" t="s">
        <v>4302</v>
      </c>
      <c r="R73" s="1468"/>
      <c r="S73" s="1264" t="s">
        <v>4303</v>
      </c>
      <c r="T73" s="1478"/>
      <c r="U73" s="1478"/>
      <c r="V73" s="1478"/>
      <c r="W73" s="1478"/>
      <c r="X73" s="1479"/>
      <c r="Y73" s="1468"/>
      <c r="Z73" s="33"/>
    </row>
    <row r="74" spans="1:26" ht="17.25">
      <c r="A74" s="1380">
        <v>69</v>
      </c>
      <c r="B74" s="2962"/>
      <c r="C74" s="2980"/>
      <c r="D74" s="2984"/>
      <c r="E74" s="1476"/>
      <c r="F74" s="1476"/>
      <c r="G74" s="1477"/>
      <c r="H74" s="1477"/>
      <c r="I74" s="1477"/>
      <c r="J74" s="1469" t="s">
        <v>4334</v>
      </c>
      <c r="K74" s="1468"/>
      <c r="L74" s="1468"/>
      <c r="M74" s="1468"/>
      <c r="N74" s="1468"/>
      <c r="O74" s="1468"/>
      <c r="P74" s="1478"/>
      <c r="Q74" s="1264" t="s">
        <v>4302</v>
      </c>
      <c r="R74" s="1468"/>
      <c r="S74" s="1264" t="s">
        <v>4303</v>
      </c>
      <c r="T74" s="1478"/>
      <c r="U74" s="1478"/>
      <c r="V74" s="1478"/>
      <c r="W74" s="1478"/>
      <c r="X74" s="1479"/>
      <c r="Y74" s="1468"/>
      <c r="Z74" s="33"/>
    </row>
    <row r="75" spans="1:26" ht="17.25" thickBot="1">
      <c r="A75" s="1380">
        <v>70</v>
      </c>
      <c r="B75" s="2962"/>
      <c r="C75" s="2981"/>
      <c r="D75" s="1395" t="s">
        <v>4305</v>
      </c>
      <c r="E75" s="1397"/>
      <c r="F75" s="1397"/>
      <c r="G75" s="1397"/>
      <c r="H75" s="1397"/>
      <c r="I75" s="1397"/>
      <c r="J75" s="1397"/>
      <c r="K75" s="1397"/>
      <c r="L75" s="1397"/>
      <c r="M75" s="1397"/>
      <c r="N75" s="1468">
        <f>SUM(N65:N74)</f>
        <v>0</v>
      </c>
      <c r="O75" s="1468">
        <f>SUM(O65:O74)</f>
        <v>0</v>
      </c>
      <c r="P75" s="1468">
        <f>SUM(P65:P74)</f>
        <v>0</v>
      </c>
      <c r="Q75" s="1397"/>
      <c r="R75" s="1468">
        <f>SUM(R65:R74)</f>
        <v>0</v>
      </c>
      <c r="S75" s="1397"/>
      <c r="T75" s="1397"/>
      <c r="U75" s="1379"/>
      <c r="V75" s="1379"/>
      <c r="W75" s="1379"/>
      <c r="X75" s="1397"/>
      <c r="Y75" s="1397"/>
      <c r="Z75" s="33"/>
    </row>
    <row r="76" spans="1:26" ht="13.9" customHeight="1">
      <c r="A76" s="1380">
        <v>71</v>
      </c>
      <c r="B76" s="2962"/>
      <c r="C76" s="2974" t="s">
        <v>4307</v>
      </c>
      <c r="D76" s="2947" t="s">
        <v>4199</v>
      </c>
      <c r="E76" s="1255"/>
      <c r="F76" s="1255"/>
      <c r="G76" s="1256"/>
      <c r="H76" s="1256"/>
      <c r="I76" s="1256"/>
      <c r="J76" s="1256"/>
      <c r="K76" s="1257"/>
      <c r="L76" s="1257"/>
      <c r="M76" s="1257"/>
      <c r="N76" s="1257"/>
      <c r="O76" s="1257"/>
      <c r="P76" s="1259"/>
      <c r="Q76" s="1257"/>
      <c r="R76" s="1257"/>
      <c r="S76" s="1257"/>
      <c r="T76" s="1259"/>
      <c r="U76" s="1376"/>
      <c r="V76" s="1376"/>
      <c r="W76" s="1376"/>
      <c r="X76" s="1257"/>
      <c r="Y76" s="1257"/>
      <c r="Z76" s="1260"/>
    </row>
    <row r="77" spans="1:26" ht="13.9" customHeight="1">
      <c r="A77" s="1380">
        <v>72</v>
      </c>
      <c r="B77" s="2962"/>
      <c r="C77" s="2975"/>
      <c r="D77" s="2948"/>
      <c r="E77" s="1262"/>
      <c r="F77" s="1262"/>
      <c r="G77" s="1263"/>
      <c r="H77" s="1263"/>
      <c r="I77" s="1263"/>
      <c r="J77" s="1263"/>
      <c r="K77" s="1264"/>
      <c r="L77" s="1264"/>
      <c r="M77" s="1264"/>
      <c r="N77" s="1264"/>
      <c r="O77" s="1264"/>
      <c r="P77" s="1266"/>
      <c r="Q77" s="1264"/>
      <c r="R77" s="1264"/>
      <c r="S77" s="1264"/>
      <c r="T77" s="1266"/>
      <c r="U77" s="1377"/>
      <c r="V77" s="1377"/>
      <c r="W77" s="1377"/>
      <c r="X77" s="1264"/>
      <c r="Y77" s="1264"/>
      <c r="Z77" s="1267"/>
    </row>
    <row r="78" spans="1:26" ht="13.9" customHeight="1">
      <c r="A78" s="1380">
        <v>73</v>
      </c>
      <c r="B78" s="2962"/>
      <c r="C78" s="2975"/>
      <c r="D78" s="2948"/>
      <c r="E78" s="1262"/>
      <c r="F78" s="1262"/>
      <c r="G78" s="1263"/>
      <c r="H78" s="1263"/>
      <c r="I78" s="1263"/>
      <c r="J78" s="1263"/>
      <c r="K78" s="1264"/>
      <c r="L78" s="1264"/>
      <c r="M78" s="1264"/>
      <c r="N78" s="1264"/>
      <c r="O78" s="1264"/>
      <c r="P78" s="1266"/>
      <c r="Q78" s="1264"/>
      <c r="R78" s="1264"/>
      <c r="S78" s="1264"/>
      <c r="T78" s="1266"/>
      <c r="U78" s="1377"/>
      <c r="V78" s="1377"/>
      <c r="W78" s="1377"/>
      <c r="X78" s="1264"/>
      <c r="Y78" s="1264"/>
      <c r="Z78" s="1267"/>
    </row>
    <row r="79" spans="1:26" ht="13.9" customHeight="1">
      <c r="A79" s="1380">
        <v>74</v>
      </c>
      <c r="B79" s="2962"/>
      <c r="C79" s="2975"/>
      <c r="D79" s="2948"/>
      <c r="E79" s="1262"/>
      <c r="F79" s="1262"/>
      <c r="G79" s="1263"/>
      <c r="H79" s="1263"/>
      <c r="I79" s="1263"/>
      <c r="J79" s="1263"/>
      <c r="K79" s="1264"/>
      <c r="L79" s="1264"/>
      <c r="M79" s="1264"/>
      <c r="N79" s="1264"/>
      <c r="O79" s="1264"/>
      <c r="P79" s="1266"/>
      <c r="Q79" s="1264"/>
      <c r="R79" s="1264"/>
      <c r="S79" s="1264"/>
      <c r="T79" s="1266"/>
      <c r="U79" s="1377"/>
      <c r="V79" s="1377"/>
      <c r="W79" s="1377"/>
      <c r="X79" s="1264"/>
      <c r="Y79" s="1264"/>
      <c r="Z79" s="1267"/>
    </row>
    <row r="80" spans="1:26" ht="13.9" customHeight="1">
      <c r="A80" s="1380">
        <v>75</v>
      </c>
      <c r="B80" s="2962"/>
      <c r="C80" s="2975"/>
      <c r="D80" s="2948"/>
      <c r="E80" s="1262"/>
      <c r="F80" s="1262"/>
      <c r="G80" s="1263"/>
      <c r="H80" s="1263"/>
      <c r="I80" s="1263"/>
      <c r="J80" s="1263"/>
      <c r="K80" s="1264"/>
      <c r="L80" s="1264"/>
      <c r="M80" s="1264"/>
      <c r="N80" s="1264"/>
      <c r="O80" s="1264"/>
      <c r="P80" s="1266"/>
      <c r="Q80" s="1264"/>
      <c r="R80" s="1264"/>
      <c r="S80" s="1264"/>
      <c r="T80" s="1266"/>
      <c r="U80" s="1377"/>
      <c r="V80" s="1377"/>
      <c r="W80" s="1377"/>
      <c r="X80" s="1264"/>
      <c r="Y80" s="1264"/>
      <c r="Z80" s="1267"/>
    </row>
    <row r="81" spans="1:26" ht="13.9" customHeight="1">
      <c r="A81" s="1380">
        <v>76</v>
      </c>
      <c r="B81" s="2962"/>
      <c r="C81" s="2975"/>
      <c r="D81" s="2948"/>
      <c r="E81" s="1262"/>
      <c r="F81" s="1262"/>
      <c r="G81" s="1263"/>
      <c r="H81" s="1263"/>
      <c r="I81" s="1263"/>
      <c r="J81" s="1263"/>
      <c r="K81" s="1264"/>
      <c r="L81" s="1264"/>
      <c r="M81" s="1264"/>
      <c r="N81" s="1264"/>
      <c r="O81" s="1264"/>
      <c r="P81" s="1266"/>
      <c r="Q81" s="1264"/>
      <c r="R81" s="1264"/>
      <c r="S81" s="1264"/>
      <c r="T81" s="1266"/>
      <c r="U81" s="1377"/>
      <c r="V81" s="1377"/>
      <c r="W81" s="1377"/>
      <c r="X81" s="1264"/>
      <c r="Y81" s="1264"/>
      <c r="Z81" s="1267"/>
    </row>
    <row r="82" spans="1:26" ht="13.9" customHeight="1">
      <c r="A82" s="1380">
        <v>77</v>
      </c>
      <c r="B82" s="2962"/>
      <c r="C82" s="2975"/>
      <c r="D82" s="2948"/>
      <c r="E82" s="1262"/>
      <c r="F82" s="1262"/>
      <c r="G82" s="1263"/>
      <c r="H82" s="1263"/>
      <c r="I82" s="1263"/>
      <c r="J82" s="1263"/>
      <c r="K82" s="1264"/>
      <c r="L82" s="1264"/>
      <c r="M82" s="1264"/>
      <c r="N82" s="1264"/>
      <c r="O82" s="1264"/>
      <c r="P82" s="1266"/>
      <c r="Q82" s="1264"/>
      <c r="R82" s="1264"/>
      <c r="S82" s="1264"/>
      <c r="T82" s="1266"/>
      <c r="U82" s="1377"/>
      <c r="V82" s="1377"/>
      <c r="W82" s="1377"/>
      <c r="X82" s="1264"/>
      <c r="Y82" s="1264"/>
      <c r="Z82" s="1267"/>
    </row>
    <row r="83" spans="1:26" ht="13.9" customHeight="1">
      <c r="A83" s="1380">
        <v>78</v>
      </c>
      <c r="B83" s="2962"/>
      <c r="C83" s="2975"/>
      <c r="D83" s="2948"/>
      <c r="E83" s="1262"/>
      <c r="F83" s="1262"/>
      <c r="G83" s="1263"/>
      <c r="H83" s="1263"/>
      <c r="I83" s="1263"/>
      <c r="J83" s="1263"/>
      <c r="K83" s="1264"/>
      <c r="L83" s="1264"/>
      <c r="M83" s="1264"/>
      <c r="N83" s="1264"/>
      <c r="O83" s="1264"/>
      <c r="P83" s="1266"/>
      <c r="Q83" s="1264"/>
      <c r="R83" s="1264"/>
      <c r="S83" s="1264"/>
      <c r="T83" s="1266"/>
      <c r="U83" s="1377"/>
      <c r="V83" s="1377"/>
      <c r="W83" s="1377"/>
      <c r="X83" s="1264"/>
      <c r="Y83" s="1264"/>
      <c r="Z83" s="1267"/>
    </row>
    <row r="84" spans="1:26" ht="13.9" customHeight="1">
      <c r="A84" s="1380">
        <v>79</v>
      </c>
      <c r="B84" s="2962"/>
      <c r="C84" s="2975"/>
      <c r="D84" s="2948"/>
      <c r="E84" s="1262"/>
      <c r="F84" s="1262"/>
      <c r="G84" s="1263"/>
      <c r="H84" s="1263"/>
      <c r="I84" s="1263"/>
      <c r="J84" s="1263"/>
      <c r="K84" s="1264"/>
      <c r="L84" s="1264"/>
      <c r="M84" s="1264"/>
      <c r="N84" s="1264"/>
      <c r="O84" s="1264"/>
      <c r="P84" s="1266"/>
      <c r="Q84" s="1264"/>
      <c r="R84" s="1264"/>
      <c r="S84" s="1264"/>
      <c r="T84" s="1266"/>
      <c r="U84" s="1377"/>
      <c r="V84" s="1377"/>
      <c r="W84" s="1377"/>
      <c r="X84" s="1264"/>
      <c r="Y84" s="1264"/>
      <c r="Z84" s="1267"/>
    </row>
    <row r="85" spans="1:26" ht="13.9" customHeight="1">
      <c r="A85" s="1380">
        <v>80</v>
      </c>
      <c r="B85" s="2962"/>
      <c r="C85" s="2975"/>
      <c r="D85" s="2948"/>
      <c r="E85" s="1262"/>
      <c r="F85" s="1262"/>
      <c r="G85" s="1263"/>
      <c r="H85" s="1263"/>
      <c r="I85" s="1263"/>
      <c r="J85" s="1263"/>
      <c r="K85" s="1264"/>
      <c r="L85" s="1264"/>
      <c r="M85" s="1264"/>
      <c r="N85" s="1264"/>
      <c r="O85" s="1264"/>
      <c r="P85" s="1266"/>
      <c r="Q85" s="1264"/>
      <c r="R85" s="1264"/>
      <c r="S85" s="1264"/>
      <c r="T85" s="1266"/>
      <c r="U85" s="1377"/>
      <c r="V85" s="1377"/>
      <c r="W85" s="1377"/>
      <c r="X85" s="1264"/>
      <c r="Y85" s="1264"/>
      <c r="Z85" s="1267"/>
    </row>
    <row r="86" spans="1:26" ht="14.25" customHeight="1">
      <c r="A86" s="1380">
        <v>81</v>
      </c>
      <c r="B86" s="2962"/>
      <c r="C86" s="2975"/>
      <c r="D86" s="1279" t="s">
        <v>3514</v>
      </c>
      <c r="E86" s="1271"/>
      <c r="F86" s="1271"/>
      <c r="G86" s="1271"/>
      <c r="H86" s="1271"/>
      <c r="I86" s="1271"/>
      <c r="J86" s="1271"/>
      <c r="K86" s="1271"/>
      <c r="L86" s="1271"/>
      <c r="M86" s="1271"/>
      <c r="N86" s="1264">
        <f>SUM(N76:N85)</f>
        <v>0</v>
      </c>
      <c r="O86" s="1264">
        <f>SUM(O76:O85)</f>
        <v>0</v>
      </c>
      <c r="P86" s="1264">
        <f>SUM(P76:P85)</f>
        <v>0</v>
      </c>
      <c r="Q86" s="1271"/>
      <c r="R86" s="1264">
        <f>SUM(R76:R85)</f>
        <v>0</v>
      </c>
      <c r="S86" s="1271"/>
      <c r="T86" s="1271"/>
      <c r="U86" s="1397"/>
      <c r="V86" s="1397"/>
      <c r="W86" s="1397"/>
      <c r="X86" s="1271"/>
      <c r="Y86" s="1271"/>
      <c r="Z86" s="1450"/>
    </row>
    <row r="87" spans="1:26" ht="14.25" customHeight="1">
      <c r="A87" s="1380">
        <v>82</v>
      </c>
      <c r="B87" s="2962"/>
      <c r="C87" s="2975"/>
      <c r="D87" s="2977" t="s">
        <v>4323</v>
      </c>
      <c r="E87" s="1262"/>
      <c r="F87" s="1262"/>
      <c r="G87" s="1263"/>
      <c r="H87" s="1263"/>
      <c r="I87" s="1263"/>
      <c r="J87" s="1263"/>
      <c r="K87" s="1264"/>
      <c r="L87" s="1264"/>
      <c r="M87" s="1264"/>
      <c r="N87" s="1264"/>
      <c r="O87" s="1264"/>
      <c r="P87" s="1266"/>
      <c r="Q87" s="1264"/>
      <c r="R87" s="1264"/>
      <c r="S87" s="1264"/>
      <c r="T87" s="1266"/>
      <c r="U87" s="1377"/>
      <c r="V87" s="1377"/>
      <c r="W87" s="1377"/>
      <c r="X87" s="1264"/>
      <c r="Y87" s="1264"/>
      <c r="Z87" s="1267"/>
    </row>
    <row r="88" spans="1:26" ht="13.9" customHeight="1">
      <c r="A88" s="1380">
        <v>83</v>
      </c>
      <c r="B88" s="2962"/>
      <c r="C88" s="2975"/>
      <c r="D88" s="2978"/>
      <c r="E88" s="1262"/>
      <c r="F88" s="1262"/>
      <c r="G88" s="1263"/>
      <c r="H88" s="1263"/>
      <c r="I88" s="1263"/>
      <c r="J88" s="1263"/>
      <c r="K88" s="1264"/>
      <c r="L88" s="1264"/>
      <c r="M88" s="1264"/>
      <c r="N88" s="1264"/>
      <c r="O88" s="1264"/>
      <c r="P88" s="1266"/>
      <c r="Q88" s="1266"/>
      <c r="R88" s="1264"/>
      <c r="S88" s="1264"/>
      <c r="T88" s="1280"/>
      <c r="U88" s="1377"/>
      <c r="V88" s="1377"/>
      <c r="W88" s="1377"/>
      <c r="X88" s="1264"/>
      <c r="Y88" s="1264"/>
      <c r="Z88" s="1267"/>
    </row>
    <row r="89" spans="1:26" ht="13.9" customHeight="1">
      <c r="A89" s="1380">
        <v>84</v>
      </c>
      <c r="B89" s="2962"/>
      <c r="C89" s="2975"/>
      <c r="D89" s="2978"/>
      <c r="E89" s="1262"/>
      <c r="F89" s="1262"/>
      <c r="G89" s="1263"/>
      <c r="H89" s="1263"/>
      <c r="I89" s="1263"/>
      <c r="J89" s="1263"/>
      <c r="K89" s="1264"/>
      <c r="L89" s="1264"/>
      <c r="M89" s="1264"/>
      <c r="N89" s="1264"/>
      <c r="O89" s="1264"/>
      <c r="P89" s="1266"/>
      <c r="Q89" s="1266"/>
      <c r="R89" s="1264"/>
      <c r="S89" s="1264"/>
      <c r="T89" s="1280"/>
      <c r="U89" s="1377"/>
      <c r="V89" s="1377"/>
      <c r="W89" s="1377"/>
      <c r="X89" s="1264"/>
      <c r="Y89" s="1264"/>
      <c r="Z89" s="1267"/>
    </row>
    <row r="90" spans="1:26" ht="13.9" customHeight="1">
      <c r="A90" s="1380">
        <v>85</v>
      </c>
      <c r="B90" s="2962"/>
      <c r="C90" s="2975"/>
      <c r="D90" s="2978"/>
      <c r="E90" s="1262"/>
      <c r="F90" s="1262"/>
      <c r="G90" s="1263"/>
      <c r="H90" s="1263"/>
      <c r="I90" s="1263"/>
      <c r="J90" s="1263"/>
      <c r="K90" s="1264"/>
      <c r="L90" s="1264"/>
      <c r="M90" s="1264"/>
      <c r="N90" s="1264"/>
      <c r="O90" s="1264"/>
      <c r="P90" s="1266"/>
      <c r="Q90" s="1266"/>
      <c r="R90" s="1264"/>
      <c r="S90" s="1264"/>
      <c r="T90" s="1280"/>
      <c r="U90" s="1377"/>
      <c r="V90" s="1377"/>
      <c r="W90" s="1377"/>
      <c r="X90" s="1264"/>
      <c r="Y90" s="1264"/>
      <c r="Z90" s="1267"/>
    </row>
    <row r="91" spans="1:26" ht="13.9" customHeight="1">
      <c r="A91" s="1380">
        <v>86</v>
      </c>
      <c r="B91" s="2962"/>
      <c r="C91" s="2975"/>
      <c r="D91" s="2978"/>
      <c r="E91" s="1262"/>
      <c r="F91" s="1262"/>
      <c r="G91" s="1263"/>
      <c r="H91" s="1263"/>
      <c r="I91" s="1263"/>
      <c r="J91" s="1263"/>
      <c r="K91" s="1264"/>
      <c r="L91" s="1264"/>
      <c r="M91" s="1264"/>
      <c r="N91" s="1264"/>
      <c r="O91" s="1264"/>
      <c r="P91" s="1266"/>
      <c r="Q91" s="1266"/>
      <c r="R91" s="1264"/>
      <c r="S91" s="1264"/>
      <c r="T91" s="1280"/>
      <c r="U91" s="1377"/>
      <c r="V91" s="1377"/>
      <c r="W91" s="1377"/>
      <c r="X91" s="1264"/>
      <c r="Y91" s="1264"/>
      <c r="Z91" s="1267"/>
    </row>
    <row r="92" spans="1:26" ht="13.9" customHeight="1">
      <c r="A92" s="1380">
        <v>87</v>
      </c>
      <c r="B92" s="2962"/>
      <c r="C92" s="2975"/>
      <c r="D92" s="2978"/>
      <c r="E92" s="1262"/>
      <c r="F92" s="1262"/>
      <c r="G92" s="1263"/>
      <c r="H92" s="1263"/>
      <c r="I92" s="1263"/>
      <c r="J92" s="1263"/>
      <c r="K92" s="1264"/>
      <c r="L92" s="1264"/>
      <c r="M92" s="1264"/>
      <c r="N92" s="1264"/>
      <c r="O92" s="1264"/>
      <c r="P92" s="1266"/>
      <c r="Q92" s="1266"/>
      <c r="R92" s="1264"/>
      <c r="S92" s="1264"/>
      <c r="T92" s="1280"/>
      <c r="U92" s="1377"/>
      <c r="V92" s="1377"/>
      <c r="W92" s="1377"/>
      <c r="X92" s="1264"/>
      <c r="Y92" s="1264"/>
      <c r="Z92" s="1267"/>
    </row>
    <row r="93" spans="1:26" ht="13.9" customHeight="1">
      <c r="A93" s="1380">
        <v>88</v>
      </c>
      <c r="B93" s="2962"/>
      <c r="C93" s="2975"/>
      <c r="D93" s="2978"/>
      <c r="E93" s="1262"/>
      <c r="F93" s="1262"/>
      <c r="G93" s="1263"/>
      <c r="H93" s="1263"/>
      <c r="I93" s="1263"/>
      <c r="J93" s="1263"/>
      <c r="K93" s="1264"/>
      <c r="L93" s="1264"/>
      <c r="M93" s="1264"/>
      <c r="N93" s="1264"/>
      <c r="O93" s="1264"/>
      <c r="P93" s="1266"/>
      <c r="Q93" s="1266"/>
      <c r="R93" s="1264"/>
      <c r="S93" s="1264"/>
      <c r="T93" s="1280"/>
      <c r="U93" s="1377"/>
      <c r="V93" s="1377"/>
      <c r="W93" s="1377"/>
      <c r="X93" s="1264"/>
      <c r="Y93" s="1264"/>
      <c r="Z93" s="1267"/>
    </row>
    <row r="94" spans="1:26" ht="13.9" customHeight="1">
      <c r="A94" s="1380">
        <v>89</v>
      </c>
      <c r="B94" s="2962"/>
      <c r="C94" s="2975"/>
      <c r="D94" s="2978"/>
      <c r="E94" s="1262"/>
      <c r="F94" s="1262"/>
      <c r="G94" s="1263"/>
      <c r="H94" s="1263"/>
      <c r="I94" s="1263"/>
      <c r="J94" s="1263"/>
      <c r="K94" s="1264"/>
      <c r="L94" s="1264"/>
      <c r="M94" s="1264"/>
      <c r="N94" s="1264"/>
      <c r="O94" s="1264"/>
      <c r="P94" s="1266"/>
      <c r="Q94" s="1266"/>
      <c r="R94" s="1264"/>
      <c r="S94" s="1264"/>
      <c r="T94" s="1280"/>
      <c r="U94" s="1377"/>
      <c r="V94" s="1377"/>
      <c r="W94" s="1377"/>
      <c r="X94" s="1264"/>
      <c r="Y94" s="1264"/>
      <c r="Z94" s="1267"/>
    </row>
    <row r="95" spans="1:26" ht="13.9" customHeight="1">
      <c r="A95" s="1380">
        <v>90</v>
      </c>
      <c r="B95" s="2962"/>
      <c r="C95" s="2975"/>
      <c r="D95" s="2978"/>
      <c r="E95" s="1262"/>
      <c r="F95" s="1262"/>
      <c r="G95" s="1263"/>
      <c r="H95" s="1263"/>
      <c r="I95" s="1263"/>
      <c r="J95" s="1263"/>
      <c r="K95" s="1264"/>
      <c r="L95" s="1264"/>
      <c r="M95" s="1264"/>
      <c r="N95" s="1264"/>
      <c r="O95" s="1264"/>
      <c r="P95" s="1266"/>
      <c r="Q95" s="1266"/>
      <c r="R95" s="1264"/>
      <c r="S95" s="1264"/>
      <c r="T95" s="1280"/>
      <c r="U95" s="1377"/>
      <c r="V95" s="1377"/>
      <c r="W95" s="1377"/>
      <c r="X95" s="1264"/>
      <c r="Y95" s="1264"/>
      <c r="Z95" s="1267"/>
    </row>
    <row r="96" spans="1:26" ht="13.9" customHeight="1">
      <c r="A96" s="1380">
        <v>91</v>
      </c>
      <c r="B96" s="2962"/>
      <c r="C96" s="2975"/>
      <c r="D96" s="2978"/>
      <c r="E96" s="1262"/>
      <c r="F96" s="1262"/>
      <c r="G96" s="1263"/>
      <c r="H96" s="1263"/>
      <c r="I96" s="1263"/>
      <c r="J96" s="1263"/>
      <c r="K96" s="1264"/>
      <c r="L96" s="1264"/>
      <c r="M96" s="1264"/>
      <c r="N96" s="1264"/>
      <c r="O96" s="1264"/>
      <c r="P96" s="1266"/>
      <c r="Q96" s="1266"/>
      <c r="R96" s="1264"/>
      <c r="S96" s="1264"/>
      <c r="T96" s="1280"/>
      <c r="U96" s="1377"/>
      <c r="V96" s="1377"/>
      <c r="W96" s="1377"/>
      <c r="X96" s="1264"/>
      <c r="Y96" s="1264"/>
      <c r="Z96" s="1267"/>
    </row>
    <row r="97" spans="1:26">
      <c r="A97" s="1380">
        <v>92</v>
      </c>
      <c r="B97" s="2962"/>
      <c r="C97" s="2975"/>
      <c r="D97" s="1395" t="s">
        <v>4305</v>
      </c>
      <c r="E97" s="1271"/>
      <c r="F97" s="1271"/>
      <c r="G97" s="1271"/>
      <c r="H97" s="1271"/>
      <c r="I97" s="1271"/>
      <c r="J97" s="1271"/>
      <c r="K97" s="1271"/>
      <c r="L97" s="1271"/>
      <c r="M97" s="1271"/>
      <c r="N97" s="1264">
        <f>SUM(N87:N96)</f>
        <v>0</v>
      </c>
      <c r="O97" s="1264">
        <f>SUM(O87:O96)</f>
        <v>0</v>
      </c>
      <c r="P97" s="1264">
        <f>SUM(P87:P96)</f>
        <v>0</v>
      </c>
      <c r="Q97" s="1271"/>
      <c r="R97" s="1264">
        <f>SUM(R87:R96)</f>
        <v>0</v>
      </c>
      <c r="S97" s="1271"/>
      <c r="T97" s="1271"/>
      <c r="U97" s="1377"/>
      <c r="V97" s="1377"/>
      <c r="W97" s="1377"/>
      <c r="X97" s="1271"/>
      <c r="Y97" s="1271"/>
      <c r="Z97" s="1450"/>
    </row>
    <row r="98" spans="1:26" ht="14.25" customHeight="1">
      <c r="A98" s="1380">
        <v>93</v>
      </c>
      <c r="B98" s="2962"/>
      <c r="C98" s="2975"/>
      <c r="D98" s="2968" t="s">
        <v>4322</v>
      </c>
      <c r="E98" s="1262"/>
      <c r="F98" s="1262"/>
      <c r="G98" s="1263"/>
      <c r="H98" s="1263"/>
      <c r="I98" s="1263"/>
      <c r="J98" s="1263"/>
      <c r="K98" s="1264"/>
      <c r="L98" s="1264"/>
      <c r="M98" s="1264"/>
      <c r="N98" s="1264"/>
      <c r="O98" s="1264"/>
      <c r="P98" s="1266"/>
      <c r="Q98" s="1266"/>
      <c r="R98" s="1264"/>
      <c r="S98" s="1264"/>
      <c r="T98" s="1280"/>
      <c r="U98" s="1377"/>
      <c r="V98" s="1377"/>
      <c r="W98" s="1377"/>
      <c r="X98" s="1264"/>
      <c r="Y98" s="1264"/>
      <c r="Z98" s="1267"/>
    </row>
    <row r="99" spans="1:26" ht="13.9" customHeight="1">
      <c r="A99" s="1380">
        <v>94</v>
      </c>
      <c r="B99" s="2962"/>
      <c r="C99" s="2975"/>
      <c r="D99" s="2968"/>
      <c r="E99" s="1262"/>
      <c r="F99" s="1262"/>
      <c r="G99" s="1263"/>
      <c r="H99" s="1263"/>
      <c r="I99" s="1263"/>
      <c r="J99" s="1263"/>
      <c r="K99" s="1264"/>
      <c r="L99" s="1264"/>
      <c r="M99" s="1264"/>
      <c r="N99" s="1264"/>
      <c r="O99" s="1264"/>
      <c r="P99" s="1266"/>
      <c r="Q99" s="1266"/>
      <c r="R99" s="1264"/>
      <c r="S99" s="1264"/>
      <c r="T99" s="1280"/>
      <c r="U99" s="1377"/>
      <c r="V99" s="1377"/>
      <c r="W99" s="1377"/>
      <c r="X99" s="1264"/>
      <c r="Y99" s="1264"/>
      <c r="Z99" s="1267"/>
    </row>
    <row r="100" spans="1:26" ht="13.9" customHeight="1">
      <c r="A100" s="1380">
        <v>95</v>
      </c>
      <c r="B100" s="2962"/>
      <c r="C100" s="2975"/>
      <c r="D100" s="2968"/>
      <c r="E100" s="1262"/>
      <c r="F100" s="1262"/>
      <c r="G100" s="1263"/>
      <c r="H100" s="1263"/>
      <c r="I100" s="1263"/>
      <c r="J100" s="1263"/>
      <c r="K100" s="1264"/>
      <c r="L100" s="1264"/>
      <c r="M100" s="1264"/>
      <c r="N100" s="1264"/>
      <c r="O100" s="1264"/>
      <c r="P100" s="1266"/>
      <c r="Q100" s="1266"/>
      <c r="R100" s="1264"/>
      <c r="S100" s="1264"/>
      <c r="T100" s="1280"/>
      <c r="U100" s="1377"/>
      <c r="V100" s="1377"/>
      <c r="W100" s="1377"/>
      <c r="X100" s="1264"/>
      <c r="Y100" s="1264"/>
      <c r="Z100" s="1267"/>
    </row>
    <row r="101" spans="1:26" ht="13.9" customHeight="1">
      <c r="A101" s="1380">
        <v>96</v>
      </c>
      <c r="B101" s="2962"/>
      <c r="C101" s="2975"/>
      <c r="D101" s="2968"/>
      <c r="E101" s="1262"/>
      <c r="F101" s="1262"/>
      <c r="G101" s="1263"/>
      <c r="H101" s="1263"/>
      <c r="I101" s="1263"/>
      <c r="J101" s="1263"/>
      <c r="K101" s="1264"/>
      <c r="L101" s="1264"/>
      <c r="M101" s="1264"/>
      <c r="N101" s="1264"/>
      <c r="O101" s="1264"/>
      <c r="P101" s="1266"/>
      <c r="Q101" s="1266"/>
      <c r="R101" s="1264"/>
      <c r="S101" s="1264"/>
      <c r="T101" s="1280"/>
      <c r="U101" s="1377"/>
      <c r="V101" s="1377"/>
      <c r="W101" s="1377"/>
      <c r="X101" s="1264"/>
      <c r="Y101" s="1264"/>
      <c r="Z101" s="1267"/>
    </row>
    <row r="102" spans="1:26" ht="13.9" customHeight="1">
      <c r="A102" s="1380">
        <v>97</v>
      </c>
      <c r="B102" s="2962"/>
      <c r="C102" s="2975"/>
      <c r="D102" s="2968"/>
      <c r="E102" s="1262"/>
      <c r="F102" s="1262"/>
      <c r="G102" s="1263"/>
      <c r="H102" s="1263"/>
      <c r="I102" s="1263"/>
      <c r="J102" s="1263"/>
      <c r="K102" s="1264"/>
      <c r="L102" s="1264"/>
      <c r="M102" s="1264"/>
      <c r="N102" s="1264"/>
      <c r="O102" s="1264"/>
      <c r="P102" s="1266"/>
      <c r="Q102" s="1266"/>
      <c r="R102" s="1264"/>
      <c r="S102" s="1264"/>
      <c r="T102" s="1280"/>
      <c r="U102" s="1377"/>
      <c r="V102" s="1377"/>
      <c r="W102" s="1377"/>
      <c r="X102" s="1264"/>
      <c r="Y102" s="1264"/>
      <c r="Z102" s="1267"/>
    </row>
    <row r="103" spans="1:26" ht="13.9" customHeight="1">
      <c r="A103" s="1380">
        <v>98</v>
      </c>
      <c r="B103" s="2962"/>
      <c r="C103" s="2975"/>
      <c r="D103" s="2968"/>
      <c r="E103" s="1262"/>
      <c r="F103" s="1262"/>
      <c r="G103" s="1263"/>
      <c r="H103" s="1263"/>
      <c r="I103" s="1263"/>
      <c r="J103" s="1263"/>
      <c r="K103" s="1264"/>
      <c r="L103" s="1264"/>
      <c r="M103" s="1264"/>
      <c r="N103" s="1264"/>
      <c r="O103" s="1264"/>
      <c r="P103" s="1266"/>
      <c r="Q103" s="1266"/>
      <c r="R103" s="1264"/>
      <c r="S103" s="1264"/>
      <c r="T103" s="1280"/>
      <c r="U103" s="1377"/>
      <c r="V103" s="1377"/>
      <c r="W103" s="1377"/>
      <c r="X103" s="1264"/>
      <c r="Y103" s="1264"/>
      <c r="Z103" s="1267"/>
    </row>
    <row r="104" spans="1:26" ht="13.9" customHeight="1">
      <c r="A104" s="1380">
        <v>99</v>
      </c>
      <c r="B104" s="2962"/>
      <c r="C104" s="2975"/>
      <c r="D104" s="2968"/>
      <c r="E104" s="1262"/>
      <c r="F104" s="1262"/>
      <c r="G104" s="1263"/>
      <c r="H104" s="1263"/>
      <c r="I104" s="1263"/>
      <c r="J104" s="1263"/>
      <c r="K104" s="1264"/>
      <c r="L104" s="1264"/>
      <c r="M104" s="1264"/>
      <c r="N104" s="1264"/>
      <c r="O104" s="1264"/>
      <c r="P104" s="1266"/>
      <c r="Q104" s="1264"/>
      <c r="R104" s="1264"/>
      <c r="S104" s="1264"/>
      <c r="T104" s="1266"/>
      <c r="U104" s="1377"/>
      <c r="V104" s="1377"/>
      <c r="W104" s="1377"/>
      <c r="X104" s="1264"/>
      <c r="Y104" s="1264"/>
      <c r="Z104" s="1267"/>
    </row>
    <row r="105" spans="1:26" ht="13.9" customHeight="1">
      <c r="A105" s="1380">
        <v>100</v>
      </c>
      <c r="B105" s="2962"/>
      <c r="C105" s="2975"/>
      <c r="D105" s="2968"/>
      <c r="E105" s="1262"/>
      <c r="F105" s="1262"/>
      <c r="G105" s="1263"/>
      <c r="H105" s="1263"/>
      <c r="I105" s="1263"/>
      <c r="J105" s="1263"/>
      <c r="K105" s="1264"/>
      <c r="L105" s="1264"/>
      <c r="M105" s="1264"/>
      <c r="N105" s="1264"/>
      <c r="O105" s="1264"/>
      <c r="P105" s="1266"/>
      <c r="Q105" s="1264"/>
      <c r="R105" s="1264"/>
      <c r="S105" s="1264"/>
      <c r="T105" s="1266"/>
      <c r="U105" s="1377"/>
      <c r="V105" s="1377"/>
      <c r="W105" s="1377"/>
      <c r="X105" s="1264"/>
      <c r="Y105" s="1264"/>
      <c r="Z105" s="1267"/>
    </row>
    <row r="106" spans="1:26" ht="13.9" customHeight="1">
      <c r="A106" s="1380">
        <v>101</v>
      </c>
      <c r="B106" s="2962"/>
      <c r="C106" s="2975"/>
      <c r="D106" s="2968"/>
      <c r="E106" s="1262"/>
      <c r="F106" s="1262"/>
      <c r="G106" s="1263"/>
      <c r="H106" s="1263"/>
      <c r="I106" s="1263"/>
      <c r="J106" s="1263"/>
      <c r="K106" s="1264"/>
      <c r="L106" s="1264"/>
      <c r="M106" s="1264"/>
      <c r="N106" s="1264"/>
      <c r="O106" s="1264"/>
      <c r="P106" s="1266"/>
      <c r="Q106" s="1264"/>
      <c r="R106" s="1264"/>
      <c r="S106" s="1264"/>
      <c r="T106" s="1266"/>
      <c r="U106" s="1377"/>
      <c r="V106" s="1377"/>
      <c r="W106" s="1377"/>
      <c r="X106" s="1264"/>
      <c r="Y106" s="1264"/>
      <c r="Z106" s="1267"/>
    </row>
    <row r="107" spans="1:26" ht="13.9" customHeight="1">
      <c r="A107" s="1380">
        <v>102</v>
      </c>
      <c r="B107" s="2962"/>
      <c r="C107" s="2975"/>
      <c r="D107" s="2968"/>
      <c r="E107" s="1262"/>
      <c r="F107" s="1262"/>
      <c r="G107" s="1263"/>
      <c r="H107" s="1263"/>
      <c r="I107" s="1263"/>
      <c r="J107" s="1263"/>
      <c r="K107" s="1264"/>
      <c r="L107" s="1264"/>
      <c r="M107" s="1264"/>
      <c r="N107" s="1264"/>
      <c r="O107" s="1264"/>
      <c r="P107" s="1266"/>
      <c r="Q107" s="1264"/>
      <c r="R107" s="1264"/>
      <c r="S107" s="1264"/>
      <c r="T107" s="1266"/>
      <c r="U107" s="1377"/>
      <c r="V107" s="1377"/>
      <c r="W107" s="1377"/>
      <c r="X107" s="1264"/>
      <c r="Y107" s="1264"/>
      <c r="Z107" s="1267"/>
    </row>
    <row r="108" spans="1:26" ht="15" customHeight="1" thickBot="1">
      <c r="A108" s="1380">
        <v>103</v>
      </c>
      <c r="B108" s="2962"/>
      <c r="C108" s="2976"/>
      <c r="D108" s="1273" t="s">
        <v>3514</v>
      </c>
      <c r="E108" s="1276"/>
      <c r="F108" s="1276"/>
      <c r="G108" s="1276"/>
      <c r="H108" s="1276"/>
      <c r="I108" s="1276"/>
      <c r="J108" s="1276"/>
      <c r="K108" s="1276"/>
      <c r="L108" s="1276"/>
      <c r="M108" s="1276"/>
      <c r="N108" s="1275">
        <f>SUM(N98:N107)</f>
        <v>0</v>
      </c>
      <c r="O108" s="1275">
        <f>SUM(O98:O107)</f>
        <v>0</v>
      </c>
      <c r="P108" s="1275">
        <f>SUM(P98:P107)</f>
        <v>0</v>
      </c>
      <c r="Q108" s="1276"/>
      <c r="R108" s="1275">
        <f>SUM(R98:R107)</f>
        <v>0</v>
      </c>
      <c r="S108" s="1276"/>
      <c r="T108" s="1276"/>
      <c r="U108" s="1379"/>
      <c r="V108" s="1379"/>
      <c r="W108" s="1379"/>
      <c r="X108" s="1276"/>
      <c r="Y108" s="1276"/>
      <c r="Z108" s="1453"/>
    </row>
    <row r="109" spans="1:26" ht="16.5" customHeight="1">
      <c r="A109" s="1380">
        <v>104</v>
      </c>
      <c r="B109" s="2962"/>
      <c r="C109" s="2964" t="s">
        <v>4261</v>
      </c>
      <c r="D109" s="2991" t="s">
        <v>4262</v>
      </c>
      <c r="E109" s="1255"/>
      <c r="F109" s="1255"/>
      <c r="G109" s="1256"/>
      <c r="H109" s="1256"/>
      <c r="I109" s="1256"/>
      <c r="J109" s="1256"/>
      <c r="K109" s="1257"/>
      <c r="L109" s="1257"/>
      <c r="M109" s="1257"/>
      <c r="N109" s="1257"/>
      <c r="O109" s="1257"/>
      <c r="P109" s="1259"/>
      <c r="Q109" s="1257"/>
      <c r="R109" s="1257"/>
      <c r="S109" s="1281"/>
      <c r="T109" s="1259"/>
      <c r="U109" s="1408"/>
      <c r="V109" s="1408"/>
      <c r="W109" s="1409"/>
      <c r="X109" s="1257"/>
      <c r="Y109" s="1257"/>
      <c r="Z109" s="1260"/>
    </row>
    <row r="110" spans="1:26">
      <c r="A110" s="1380">
        <v>105</v>
      </c>
      <c r="B110" s="2962"/>
      <c r="C110" s="2965"/>
      <c r="D110" s="2994"/>
      <c r="E110" s="1262"/>
      <c r="F110" s="1262"/>
      <c r="G110" s="1263"/>
      <c r="H110" s="1263"/>
      <c r="I110" s="1263"/>
      <c r="J110" s="1263"/>
      <c r="K110" s="1264"/>
      <c r="L110" s="1264"/>
      <c r="M110" s="1264"/>
      <c r="N110" s="1264"/>
      <c r="O110" s="1264"/>
      <c r="P110" s="1266"/>
      <c r="Q110" s="1264"/>
      <c r="R110" s="1264"/>
      <c r="S110" s="1280"/>
      <c r="T110" s="1266"/>
      <c r="U110" s="1377"/>
      <c r="V110" s="1377"/>
      <c r="W110" s="1377"/>
      <c r="X110" s="1264"/>
      <c r="Y110" s="1264"/>
      <c r="Z110" s="1267"/>
    </row>
    <row r="111" spans="1:26">
      <c r="A111" s="1380">
        <v>106</v>
      </c>
      <c r="B111" s="2962"/>
      <c r="C111" s="2965"/>
      <c r="D111" s="2994"/>
      <c r="E111" s="1262"/>
      <c r="F111" s="1262"/>
      <c r="G111" s="1263"/>
      <c r="H111" s="1263"/>
      <c r="I111" s="1263"/>
      <c r="J111" s="1263"/>
      <c r="K111" s="1264"/>
      <c r="L111" s="1264"/>
      <c r="M111" s="1264"/>
      <c r="N111" s="1264"/>
      <c r="O111" s="1264"/>
      <c r="P111" s="1266"/>
      <c r="Q111" s="1264"/>
      <c r="R111" s="1264"/>
      <c r="S111" s="1280"/>
      <c r="T111" s="1266"/>
      <c r="U111" s="1377"/>
      <c r="V111" s="1377"/>
      <c r="W111" s="1377"/>
      <c r="X111" s="1264"/>
      <c r="Y111" s="1264"/>
      <c r="Z111" s="1267"/>
    </row>
    <row r="112" spans="1:26">
      <c r="A112" s="1380">
        <v>107</v>
      </c>
      <c r="B112" s="2962"/>
      <c r="C112" s="2965"/>
      <c r="D112" s="2994"/>
      <c r="E112" s="1262"/>
      <c r="F112" s="1262"/>
      <c r="G112" s="1263"/>
      <c r="H112" s="1263"/>
      <c r="I112" s="1263"/>
      <c r="J112" s="1263"/>
      <c r="K112" s="1264"/>
      <c r="L112" s="1264"/>
      <c r="M112" s="1264"/>
      <c r="N112" s="1264"/>
      <c r="O112" s="1264"/>
      <c r="P112" s="1266"/>
      <c r="Q112" s="1264"/>
      <c r="R112" s="1264"/>
      <c r="S112" s="1280"/>
      <c r="T112" s="1266"/>
      <c r="U112" s="1377"/>
      <c r="V112" s="1377"/>
      <c r="W112" s="1377"/>
      <c r="X112" s="1264"/>
      <c r="Y112" s="1264"/>
      <c r="Z112" s="1267"/>
    </row>
    <row r="113" spans="1:26">
      <c r="A113" s="1380">
        <v>108</v>
      </c>
      <c r="B113" s="2962"/>
      <c r="C113" s="2965"/>
      <c r="D113" s="2994"/>
      <c r="E113" s="1262"/>
      <c r="F113" s="1262"/>
      <c r="G113" s="1263"/>
      <c r="H113" s="1263"/>
      <c r="I113" s="1263"/>
      <c r="J113" s="1263"/>
      <c r="K113" s="1264"/>
      <c r="L113" s="1264"/>
      <c r="M113" s="1264"/>
      <c r="N113" s="1264"/>
      <c r="O113" s="1264"/>
      <c r="P113" s="1266"/>
      <c r="Q113" s="1264"/>
      <c r="R113" s="1264"/>
      <c r="S113" s="1280"/>
      <c r="T113" s="1266"/>
      <c r="U113" s="1377"/>
      <c r="V113" s="1377"/>
      <c r="W113" s="1377"/>
      <c r="X113" s="1264"/>
      <c r="Y113" s="1264"/>
      <c r="Z113" s="1267"/>
    </row>
    <row r="114" spans="1:26">
      <c r="A114" s="1380">
        <v>109</v>
      </c>
      <c r="B114" s="2962"/>
      <c r="C114" s="2965"/>
      <c r="D114" s="2994"/>
      <c r="E114" s="1262"/>
      <c r="F114" s="1262"/>
      <c r="G114" s="1263"/>
      <c r="H114" s="1263"/>
      <c r="I114" s="1263"/>
      <c r="J114" s="1263"/>
      <c r="K114" s="1264"/>
      <c r="L114" s="1264"/>
      <c r="M114" s="1264"/>
      <c r="N114" s="1264"/>
      <c r="O114" s="1264"/>
      <c r="P114" s="1266"/>
      <c r="Q114" s="1264"/>
      <c r="R114" s="1264"/>
      <c r="S114" s="1280"/>
      <c r="T114" s="1266"/>
      <c r="U114" s="1377"/>
      <c r="V114" s="1377"/>
      <c r="W114" s="1377"/>
      <c r="X114" s="1264"/>
      <c r="Y114" s="1264"/>
      <c r="Z114" s="1267"/>
    </row>
    <row r="115" spans="1:26">
      <c r="A115" s="1380">
        <v>110</v>
      </c>
      <c r="B115" s="2962"/>
      <c r="C115" s="2965"/>
      <c r="D115" s="1279" t="s">
        <v>3514</v>
      </c>
      <c r="E115" s="1271"/>
      <c r="F115" s="1271"/>
      <c r="G115" s="1271"/>
      <c r="H115" s="1271"/>
      <c r="I115" s="1271"/>
      <c r="J115" s="1271"/>
      <c r="K115" s="1271"/>
      <c r="L115" s="1271"/>
      <c r="M115" s="1271"/>
      <c r="N115" s="1264">
        <f>SUM(N109:N114)</f>
        <v>0</v>
      </c>
      <c r="O115" s="1264">
        <f>SUM(O109:O114)</f>
        <v>0</v>
      </c>
      <c r="P115" s="1264">
        <f>SUM(P109:P114)</f>
        <v>0</v>
      </c>
      <c r="Q115" s="1271"/>
      <c r="R115" s="1264">
        <f>SUM(R109:R114)</f>
        <v>0</v>
      </c>
      <c r="S115" s="1271"/>
      <c r="T115" s="1271"/>
      <c r="U115" s="1377"/>
      <c r="V115" s="1377"/>
      <c r="W115" s="1377"/>
      <c r="X115" s="1271"/>
      <c r="Y115" s="1271"/>
      <c r="Z115" s="1450"/>
    </row>
    <row r="116" spans="1:26" ht="14.25" customHeight="1">
      <c r="A116" s="1380">
        <v>111</v>
      </c>
      <c r="B116" s="2962"/>
      <c r="C116" s="2965"/>
      <c r="D116" s="2968" t="s">
        <v>4321</v>
      </c>
      <c r="E116" s="1262"/>
      <c r="F116" s="1262"/>
      <c r="G116" s="1263"/>
      <c r="H116" s="1263"/>
      <c r="I116" s="1263"/>
      <c r="J116" s="1263"/>
      <c r="K116" s="1264"/>
      <c r="L116" s="1264"/>
      <c r="M116" s="1264"/>
      <c r="N116" s="1264"/>
      <c r="O116" s="1264"/>
      <c r="P116" s="1266"/>
      <c r="Q116" s="1264"/>
      <c r="R116" s="1264"/>
      <c r="S116" s="1280"/>
      <c r="T116" s="1266"/>
      <c r="U116" s="1377"/>
      <c r="V116" s="1377"/>
      <c r="W116" s="1377"/>
      <c r="X116" s="1264"/>
      <c r="Y116" s="1264"/>
      <c r="Z116" s="1267"/>
    </row>
    <row r="117" spans="1:26">
      <c r="A117" s="1380">
        <v>112</v>
      </c>
      <c r="B117" s="2962"/>
      <c r="C117" s="2965"/>
      <c r="D117" s="2968"/>
      <c r="E117" s="1262"/>
      <c r="F117" s="1262"/>
      <c r="G117" s="1263"/>
      <c r="H117" s="1263"/>
      <c r="I117" s="1263"/>
      <c r="J117" s="1263"/>
      <c r="K117" s="1264"/>
      <c r="L117" s="1264"/>
      <c r="M117" s="1264"/>
      <c r="N117" s="1264"/>
      <c r="O117" s="1264"/>
      <c r="P117" s="1266"/>
      <c r="Q117" s="1264"/>
      <c r="R117" s="1264"/>
      <c r="S117" s="1280"/>
      <c r="T117" s="1266"/>
      <c r="U117" s="1377"/>
      <c r="V117" s="1377"/>
      <c r="W117" s="1377"/>
      <c r="X117" s="1264"/>
      <c r="Y117" s="1264"/>
      <c r="Z117" s="1267"/>
    </row>
    <row r="118" spans="1:26">
      <c r="A118" s="1380">
        <v>113</v>
      </c>
      <c r="B118" s="2962"/>
      <c r="C118" s="2965"/>
      <c r="D118" s="2968"/>
      <c r="E118" s="1262"/>
      <c r="F118" s="1262"/>
      <c r="G118" s="1263"/>
      <c r="H118" s="1263"/>
      <c r="I118" s="1263"/>
      <c r="J118" s="1263"/>
      <c r="K118" s="1264"/>
      <c r="L118" s="1264"/>
      <c r="M118" s="1264"/>
      <c r="N118" s="1264"/>
      <c r="O118" s="1264"/>
      <c r="P118" s="1266"/>
      <c r="Q118" s="1264"/>
      <c r="R118" s="1264"/>
      <c r="S118" s="1280"/>
      <c r="T118" s="1266"/>
      <c r="U118" s="1377"/>
      <c r="V118" s="1377"/>
      <c r="W118" s="1377"/>
      <c r="X118" s="1264"/>
      <c r="Y118" s="1264"/>
      <c r="Z118" s="1267"/>
    </row>
    <row r="119" spans="1:26">
      <c r="A119" s="1380">
        <v>114</v>
      </c>
      <c r="B119" s="2962"/>
      <c r="C119" s="2965"/>
      <c r="D119" s="2968"/>
      <c r="E119" s="1262"/>
      <c r="F119" s="1262"/>
      <c r="G119" s="1263"/>
      <c r="H119" s="1263"/>
      <c r="I119" s="1263"/>
      <c r="J119" s="1263"/>
      <c r="K119" s="1264"/>
      <c r="L119" s="1264"/>
      <c r="M119" s="1264"/>
      <c r="N119" s="1264"/>
      <c r="O119" s="1264"/>
      <c r="P119" s="1266"/>
      <c r="Q119" s="1264"/>
      <c r="R119" s="1264"/>
      <c r="S119" s="1280"/>
      <c r="T119" s="1266"/>
      <c r="U119" s="1377"/>
      <c r="V119" s="1377"/>
      <c r="W119" s="1377"/>
      <c r="X119" s="1264"/>
      <c r="Y119" s="1264"/>
      <c r="Z119" s="1267"/>
    </row>
    <row r="120" spans="1:26" ht="16.5" customHeight="1">
      <c r="A120" s="1380">
        <v>115</v>
      </c>
      <c r="B120" s="2962"/>
      <c r="C120" s="2965"/>
      <c r="D120" s="2968"/>
      <c r="E120" s="1262"/>
      <c r="F120" s="1262"/>
      <c r="G120" s="1263"/>
      <c r="H120" s="1263"/>
      <c r="I120" s="1263"/>
      <c r="J120" s="1263"/>
      <c r="K120" s="1264"/>
      <c r="L120" s="1264"/>
      <c r="M120" s="1264"/>
      <c r="N120" s="1264"/>
      <c r="O120" s="1264"/>
      <c r="P120" s="1266"/>
      <c r="Q120" s="1264"/>
      <c r="R120" s="1264"/>
      <c r="S120" s="1280"/>
      <c r="T120" s="1266"/>
      <c r="U120" s="1377"/>
      <c r="V120" s="1377"/>
      <c r="W120" s="1377"/>
      <c r="X120" s="1264"/>
      <c r="Y120" s="1264"/>
      <c r="Z120" s="1267"/>
    </row>
    <row r="121" spans="1:26" ht="16.5" customHeight="1">
      <c r="A121" s="1380">
        <v>116</v>
      </c>
      <c r="B121" s="2962"/>
      <c r="C121" s="2965"/>
      <c r="D121" s="2968"/>
      <c r="E121" s="1262"/>
      <c r="F121" s="1262"/>
      <c r="G121" s="1263"/>
      <c r="H121" s="1263"/>
      <c r="I121" s="1263"/>
      <c r="J121" s="1263"/>
      <c r="K121" s="1264"/>
      <c r="L121" s="1264"/>
      <c r="M121" s="1264"/>
      <c r="N121" s="1264"/>
      <c r="O121" s="1264"/>
      <c r="P121" s="1266"/>
      <c r="Q121" s="1264"/>
      <c r="R121" s="1264"/>
      <c r="S121" s="1280"/>
      <c r="T121" s="1266"/>
      <c r="U121" s="1377"/>
      <c r="V121" s="1377"/>
      <c r="W121" s="1377"/>
      <c r="X121" s="1264"/>
      <c r="Y121" s="1264"/>
      <c r="Z121" s="1267"/>
    </row>
    <row r="122" spans="1:26">
      <c r="A122" s="1380">
        <v>117</v>
      </c>
      <c r="B122" s="2962"/>
      <c r="C122" s="2965"/>
      <c r="D122" s="1395" t="s">
        <v>4305</v>
      </c>
      <c r="E122" s="1271"/>
      <c r="F122" s="1271"/>
      <c r="G122" s="1271"/>
      <c r="H122" s="1271"/>
      <c r="I122" s="1271"/>
      <c r="J122" s="1271"/>
      <c r="K122" s="1271"/>
      <c r="L122" s="1271"/>
      <c r="M122" s="1271"/>
      <c r="N122" s="1264">
        <f>SUM(N116:N121)</f>
        <v>0</v>
      </c>
      <c r="O122" s="1264">
        <f>SUM(O116:O121)</f>
        <v>0</v>
      </c>
      <c r="P122" s="1264">
        <f>SUM(P116:P121)</f>
        <v>0</v>
      </c>
      <c r="Q122" s="1271"/>
      <c r="R122" s="1264">
        <f>SUM(R116:R121)</f>
        <v>0</v>
      </c>
      <c r="S122" s="1271"/>
      <c r="T122" s="1271"/>
      <c r="U122" s="1397"/>
      <c r="V122" s="1397"/>
      <c r="W122" s="1397"/>
      <c r="X122" s="1271"/>
      <c r="Y122" s="1271"/>
      <c r="Z122" s="1450"/>
    </row>
    <row r="123" spans="1:26" ht="14.25" customHeight="1">
      <c r="A123" s="1380">
        <v>118</v>
      </c>
      <c r="B123" s="2962"/>
      <c r="C123" s="2965"/>
      <c r="D123" s="2968" t="s">
        <v>4322</v>
      </c>
      <c r="E123" s="1262"/>
      <c r="F123" s="1262"/>
      <c r="G123" s="1263"/>
      <c r="H123" s="1263"/>
      <c r="I123" s="1263"/>
      <c r="J123" s="1263"/>
      <c r="K123" s="1264"/>
      <c r="L123" s="1264"/>
      <c r="M123" s="1264"/>
      <c r="N123" s="1264"/>
      <c r="O123" s="1264"/>
      <c r="P123" s="1266"/>
      <c r="Q123" s="1264"/>
      <c r="R123" s="1264"/>
      <c r="S123" s="1280"/>
      <c r="T123" s="1266"/>
      <c r="U123" s="1377"/>
      <c r="V123" s="1377"/>
      <c r="W123" s="1377"/>
      <c r="X123" s="1264"/>
      <c r="Y123" s="1264"/>
      <c r="Z123" s="1267"/>
    </row>
    <row r="124" spans="1:26">
      <c r="A124" s="1380">
        <v>119</v>
      </c>
      <c r="B124" s="2962"/>
      <c r="C124" s="2965"/>
      <c r="D124" s="2968"/>
      <c r="E124" s="1262"/>
      <c r="F124" s="1262"/>
      <c r="G124" s="1263"/>
      <c r="H124" s="1263"/>
      <c r="I124" s="1263"/>
      <c r="J124" s="1263"/>
      <c r="K124" s="1264"/>
      <c r="L124" s="1264"/>
      <c r="M124" s="1264"/>
      <c r="N124" s="1264"/>
      <c r="O124" s="1264"/>
      <c r="P124" s="1266"/>
      <c r="Q124" s="1264"/>
      <c r="R124" s="1264"/>
      <c r="S124" s="1280"/>
      <c r="T124" s="1266"/>
      <c r="U124" s="1377"/>
      <c r="V124" s="1377"/>
      <c r="W124" s="1377"/>
      <c r="X124" s="1264"/>
      <c r="Y124" s="1264"/>
      <c r="Z124" s="1267"/>
    </row>
    <row r="125" spans="1:26">
      <c r="A125" s="1380">
        <v>120</v>
      </c>
      <c r="B125" s="2962"/>
      <c r="C125" s="2965"/>
      <c r="D125" s="2968"/>
      <c r="E125" s="1262"/>
      <c r="F125" s="1262"/>
      <c r="G125" s="1263"/>
      <c r="H125" s="1263"/>
      <c r="I125" s="1263"/>
      <c r="J125" s="1263"/>
      <c r="K125" s="1264"/>
      <c r="L125" s="1264"/>
      <c r="M125" s="1264"/>
      <c r="N125" s="1264"/>
      <c r="O125" s="1264"/>
      <c r="P125" s="1266"/>
      <c r="Q125" s="1264"/>
      <c r="R125" s="1264"/>
      <c r="S125" s="1280"/>
      <c r="T125" s="1266"/>
      <c r="U125" s="1377"/>
      <c r="V125" s="1377"/>
      <c r="W125" s="1377"/>
      <c r="X125" s="1264"/>
      <c r="Y125" s="1264"/>
      <c r="Z125" s="1267"/>
    </row>
    <row r="126" spans="1:26">
      <c r="A126" s="1380">
        <v>121</v>
      </c>
      <c r="B126" s="2962"/>
      <c r="C126" s="2965"/>
      <c r="D126" s="2968"/>
      <c r="E126" s="1262"/>
      <c r="F126" s="1262"/>
      <c r="G126" s="1263"/>
      <c r="H126" s="1263"/>
      <c r="I126" s="1263"/>
      <c r="J126" s="1263"/>
      <c r="K126" s="1264"/>
      <c r="L126" s="1264"/>
      <c r="M126" s="1264"/>
      <c r="N126" s="1264"/>
      <c r="O126" s="1264"/>
      <c r="P126" s="1266"/>
      <c r="Q126" s="1264"/>
      <c r="R126" s="1264"/>
      <c r="S126" s="1280"/>
      <c r="T126" s="1266"/>
      <c r="U126" s="1377"/>
      <c r="V126" s="1377"/>
      <c r="W126" s="1377"/>
      <c r="X126" s="1264"/>
      <c r="Y126" s="1264"/>
      <c r="Z126" s="1267"/>
    </row>
    <row r="127" spans="1:26">
      <c r="A127" s="1380">
        <v>122</v>
      </c>
      <c r="B127" s="2962"/>
      <c r="C127" s="2965"/>
      <c r="D127" s="2968"/>
      <c r="E127" s="1262"/>
      <c r="F127" s="1262"/>
      <c r="G127" s="1263"/>
      <c r="H127" s="1263"/>
      <c r="I127" s="1263"/>
      <c r="J127" s="1263"/>
      <c r="K127" s="1264"/>
      <c r="L127" s="1264"/>
      <c r="M127" s="1264"/>
      <c r="N127" s="1264"/>
      <c r="O127" s="1264"/>
      <c r="P127" s="1266"/>
      <c r="Q127" s="1264"/>
      <c r="R127" s="1264"/>
      <c r="S127" s="1280"/>
      <c r="T127" s="1266"/>
      <c r="U127" s="1377"/>
      <c r="V127" s="1377"/>
      <c r="W127" s="1377"/>
      <c r="X127" s="1264"/>
      <c r="Y127" s="1264"/>
      <c r="Z127" s="1267"/>
    </row>
    <row r="128" spans="1:26">
      <c r="A128" s="1380">
        <v>123</v>
      </c>
      <c r="B128" s="2962"/>
      <c r="C128" s="2965"/>
      <c r="D128" s="2968"/>
      <c r="E128" s="1262"/>
      <c r="F128" s="1262"/>
      <c r="G128" s="1263"/>
      <c r="H128" s="1263"/>
      <c r="I128" s="1263"/>
      <c r="J128" s="1263"/>
      <c r="K128" s="1264"/>
      <c r="L128" s="1264"/>
      <c r="M128" s="1264"/>
      <c r="N128" s="1264"/>
      <c r="O128" s="1264"/>
      <c r="P128" s="1266"/>
      <c r="Q128" s="1264"/>
      <c r="R128" s="1264"/>
      <c r="S128" s="1280"/>
      <c r="T128" s="1266"/>
      <c r="U128" s="1377"/>
      <c r="V128" s="1377"/>
      <c r="W128" s="1377"/>
      <c r="X128" s="1264"/>
      <c r="Y128" s="1264"/>
      <c r="Z128" s="1267"/>
    </row>
    <row r="129" spans="1:26" ht="17.25" thickBot="1">
      <c r="A129" s="1410">
        <v>124</v>
      </c>
      <c r="B129" s="2963"/>
      <c r="C129" s="2993"/>
      <c r="D129" s="1268" t="s">
        <v>3514</v>
      </c>
      <c r="E129" s="1283"/>
      <c r="F129" s="1283"/>
      <c r="G129" s="1284"/>
      <c r="H129" s="1284"/>
      <c r="I129" s="1284"/>
      <c r="J129" s="1284"/>
      <c r="K129" s="1285"/>
      <c r="L129" s="1285"/>
      <c r="M129" s="1285"/>
      <c r="N129" s="1286">
        <f>SUM(N123:N128)</f>
        <v>0</v>
      </c>
      <c r="O129" s="1286">
        <f>SUM(O123:O128)</f>
        <v>0</v>
      </c>
      <c r="P129" s="1286">
        <f>SUM(P123:P128)</f>
        <v>0</v>
      </c>
      <c r="Q129" s="1285"/>
      <c r="R129" s="1286">
        <f>SUM(R123:R128)</f>
        <v>0</v>
      </c>
      <c r="S129" s="1285"/>
      <c r="T129" s="1285"/>
      <c r="U129" s="1397"/>
      <c r="V129" s="1397"/>
      <c r="W129" s="1397"/>
      <c r="X129" s="1285"/>
      <c r="Y129" s="1285"/>
      <c r="Z129" s="1480"/>
    </row>
    <row r="130" spans="1:26" ht="17.25" thickBot="1">
      <c r="A130" s="1416">
        <v>125</v>
      </c>
      <c r="B130" s="2959" t="s">
        <v>4263</v>
      </c>
      <c r="C130" s="2960"/>
      <c r="D130" s="2960"/>
      <c r="E130" s="1289"/>
      <c r="F130" s="1289"/>
      <c r="G130" s="1290"/>
      <c r="H130" s="1290"/>
      <c r="I130" s="1290"/>
      <c r="J130" s="1290"/>
      <c r="K130" s="1291"/>
      <c r="L130" s="1291"/>
      <c r="M130" s="1291"/>
      <c r="N130" s="33">
        <f>N129+N122+N115+N108+N97+N86+N75+N64+N53+N42+N31+N18</f>
        <v>0</v>
      </c>
      <c r="O130" s="33">
        <f>O129+O122+O115+O108+O97+O86+O75+O64+O53+O42+O31+O18</f>
        <v>0</v>
      </c>
      <c r="P130" s="33">
        <f>P129+P122+P115+P108+P97+P86+P75+P64+P53+P42+P31+P18</f>
        <v>0</v>
      </c>
      <c r="Q130" s="33"/>
      <c r="R130" s="33">
        <f>R129+R122+R115+R108+R97+R86+R75+R64+R53+R42+R31+R18</f>
        <v>0</v>
      </c>
      <c r="S130" s="1291"/>
      <c r="T130" s="1293"/>
      <c r="U130" s="1422"/>
      <c r="V130" s="1422"/>
      <c r="W130" s="1422"/>
      <c r="X130" s="1291"/>
      <c r="Y130" s="1291"/>
      <c r="Z130" s="1481"/>
    </row>
    <row r="131" spans="1:26" ht="16.5" customHeight="1">
      <c r="A131" s="1482">
        <v>126</v>
      </c>
      <c r="B131" s="2961" t="s">
        <v>4264</v>
      </c>
      <c r="C131" s="2964" t="s">
        <v>4265</v>
      </c>
      <c r="D131" s="2987" t="s">
        <v>4335</v>
      </c>
      <c r="E131" s="1255"/>
      <c r="F131" s="1255"/>
      <c r="G131" s="1256"/>
      <c r="H131" s="1256"/>
      <c r="I131" s="1256"/>
      <c r="J131" s="1256"/>
      <c r="K131" s="1257"/>
      <c r="L131" s="1257"/>
      <c r="M131" s="1257"/>
      <c r="N131" s="1257"/>
      <c r="O131" s="1257"/>
      <c r="P131" s="1259"/>
      <c r="Q131" s="1257"/>
      <c r="R131" s="1257"/>
      <c r="S131" s="1295"/>
      <c r="T131" s="1296"/>
      <c r="U131" s="1408"/>
      <c r="V131" s="1408"/>
      <c r="W131" s="1409"/>
      <c r="X131" s="1257"/>
      <c r="Y131" s="1257"/>
      <c r="Z131" s="1260"/>
    </row>
    <row r="132" spans="1:26" ht="16.5" customHeight="1">
      <c r="A132" s="1380">
        <v>127</v>
      </c>
      <c r="B132" s="2985"/>
      <c r="C132" s="2965"/>
      <c r="D132" s="2968"/>
      <c r="E132" s="1262"/>
      <c r="F132" s="1262"/>
      <c r="G132" s="1263"/>
      <c r="H132" s="1263"/>
      <c r="I132" s="1263"/>
      <c r="J132" s="1263"/>
      <c r="K132" s="1264"/>
      <c r="L132" s="1264"/>
      <c r="M132" s="1264"/>
      <c r="N132" s="1264"/>
      <c r="O132" s="1264"/>
      <c r="P132" s="1266"/>
      <c r="Q132" s="1264"/>
      <c r="R132" s="1264"/>
      <c r="S132" s="1271"/>
      <c r="T132" s="1272"/>
      <c r="U132" s="1397"/>
      <c r="V132" s="1397"/>
      <c r="W132" s="1377"/>
      <c r="X132" s="1264"/>
      <c r="Y132" s="1264"/>
      <c r="Z132" s="1267"/>
    </row>
    <row r="133" spans="1:26" ht="16.5" customHeight="1">
      <c r="A133" s="1380">
        <v>128</v>
      </c>
      <c r="B133" s="2985"/>
      <c r="C133" s="2965"/>
      <c r="D133" s="2968"/>
      <c r="E133" s="1262"/>
      <c r="F133" s="1262"/>
      <c r="G133" s="1263"/>
      <c r="H133" s="1263"/>
      <c r="I133" s="1263"/>
      <c r="J133" s="1263"/>
      <c r="K133" s="1264"/>
      <c r="L133" s="1264"/>
      <c r="M133" s="1264"/>
      <c r="N133" s="1264"/>
      <c r="O133" s="1264"/>
      <c r="P133" s="1266"/>
      <c r="Q133" s="1264"/>
      <c r="R133" s="1264"/>
      <c r="S133" s="1271"/>
      <c r="T133" s="1272"/>
      <c r="U133" s="1397"/>
      <c r="V133" s="1397"/>
      <c r="W133" s="1377"/>
      <c r="X133" s="1264"/>
      <c r="Y133" s="1264"/>
      <c r="Z133" s="1267"/>
    </row>
    <row r="134" spans="1:26" ht="16.5" customHeight="1">
      <c r="A134" s="1380">
        <v>129</v>
      </c>
      <c r="B134" s="2985"/>
      <c r="C134" s="2965"/>
      <c r="D134" s="2968"/>
      <c r="E134" s="1262"/>
      <c r="F134" s="1262"/>
      <c r="G134" s="1263"/>
      <c r="H134" s="1263"/>
      <c r="I134" s="1263"/>
      <c r="J134" s="1263"/>
      <c r="K134" s="1264"/>
      <c r="L134" s="1264"/>
      <c r="M134" s="1264"/>
      <c r="N134" s="1264"/>
      <c r="O134" s="1264"/>
      <c r="P134" s="1266"/>
      <c r="Q134" s="1264"/>
      <c r="R134" s="1264"/>
      <c r="S134" s="1271"/>
      <c r="T134" s="1272"/>
      <c r="U134" s="1397"/>
      <c r="V134" s="1397"/>
      <c r="W134" s="1377"/>
      <c r="X134" s="1264"/>
      <c r="Y134" s="1264"/>
      <c r="Z134" s="1267"/>
    </row>
    <row r="135" spans="1:26" ht="16.5" customHeight="1">
      <c r="A135" s="1380">
        <v>130</v>
      </c>
      <c r="B135" s="2985"/>
      <c r="C135" s="2965"/>
      <c r="D135" s="2968"/>
      <c r="E135" s="1262"/>
      <c r="F135" s="1262"/>
      <c r="G135" s="1263"/>
      <c r="H135" s="1263"/>
      <c r="I135" s="1263"/>
      <c r="J135" s="1263"/>
      <c r="K135" s="1264"/>
      <c r="L135" s="1264"/>
      <c r="M135" s="1264"/>
      <c r="N135" s="1264"/>
      <c r="O135" s="1264"/>
      <c r="P135" s="1266"/>
      <c r="Q135" s="1264"/>
      <c r="R135" s="1264"/>
      <c r="S135" s="1271"/>
      <c r="T135" s="1272"/>
      <c r="U135" s="1397"/>
      <c r="V135" s="1397"/>
      <c r="W135" s="1377"/>
      <c r="X135" s="1264"/>
      <c r="Y135" s="1264"/>
      <c r="Z135" s="1267"/>
    </row>
    <row r="136" spans="1:26" ht="16.5" customHeight="1">
      <c r="A136" s="1380">
        <v>131</v>
      </c>
      <c r="B136" s="2985"/>
      <c r="C136" s="2965"/>
      <c r="D136" s="2968"/>
      <c r="E136" s="1262"/>
      <c r="F136" s="1262"/>
      <c r="G136" s="1263"/>
      <c r="H136" s="1263"/>
      <c r="I136" s="1263"/>
      <c r="J136" s="1263"/>
      <c r="K136" s="1264"/>
      <c r="L136" s="1264"/>
      <c r="M136" s="1264"/>
      <c r="N136" s="1264"/>
      <c r="O136" s="1264"/>
      <c r="P136" s="1266"/>
      <c r="Q136" s="1264"/>
      <c r="R136" s="1264"/>
      <c r="S136" s="1271"/>
      <c r="T136" s="1272"/>
      <c r="U136" s="1397"/>
      <c r="V136" s="1397"/>
      <c r="W136" s="1377"/>
      <c r="X136" s="1264"/>
      <c r="Y136" s="1264"/>
      <c r="Z136" s="1267"/>
    </row>
    <row r="137" spans="1:26" ht="16.5" customHeight="1">
      <c r="A137" s="1380">
        <v>132</v>
      </c>
      <c r="B137" s="2985"/>
      <c r="C137" s="2965"/>
      <c r="D137" s="1457" t="s">
        <v>4305</v>
      </c>
      <c r="E137" s="1271"/>
      <c r="F137" s="1271"/>
      <c r="G137" s="1271"/>
      <c r="H137" s="1271"/>
      <c r="I137" s="1271"/>
      <c r="J137" s="1271"/>
      <c r="K137" s="1271"/>
      <c r="L137" s="1271"/>
      <c r="M137" s="1271"/>
      <c r="N137" s="1264">
        <f>SUM(N131:N136)</f>
        <v>0</v>
      </c>
      <c r="O137" s="1264">
        <f>SUM(O131:O136)</f>
        <v>0</v>
      </c>
      <c r="P137" s="1264">
        <f>SUM(P131:P136)</f>
        <v>0</v>
      </c>
      <c r="Q137" s="1271"/>
      <c r="R137" s="1264">
        <f>SUM(R131:R136)</f>
        <v>0</v>
      </c>
      <c r="S137" s="1271"/>
      <c r="T137" s="1272"/>
      <c r="U137" s="1397"/>
      <c r="V137" s="1397"/>
      <c r="W137" s="1377"/>
      <c r="X137" s="1271"/>
      <c r="Y137" s="1271"/>
      <c r="Z137" s="1450"/>
    </row>
    <row r="138" spans="1:26" ht="16.5" customHeight="1">
      <c r="A138" s="1380">
        <v>133</v>
      </c>
      <c r="B138" s="2985"/>
      <c r="C138" s="2965"/>
      <c r="D138" s="2968" t="s">
        <v>4336</v>
      </c>
      <c r="E138" s="1262"/>
      <c r="F138" s="1262"/>
      <c r="G138" s="1263"/>
      <c r="H138" s="1263"/>
      <c r="I138" s="1263"/>
      <c r="J138" s="1263"/>
      <c r="K138" s="1264"/>
      <c r="L138" s="1264"/>
      <c r="M138" s="1264"/>
      <c r="N138" s="1264"/>
      <c r="O138" s="1264"/>
      <c r="P138" s="1266"/>
      <c r="Q138" s="1264"/>
      <c r="R138" s="1264"/>
      <c r="S138" s="1271"/>
      <c r="T138" s="1272"/>
      <c r="U138" s="1397"/>
      <c r="V138" s="1397"/>
      <c r="W138" s="1377"/>
      <c r="X138" s="1264"/>
      <c r="Y138" s="1264"/>
      <c r="Z138" s="1267"/>
    </row>
    <row r="139" spans="1:26" ht="16.5" customHeight="1">
      <c r="A139" s="1380">
        <v>134</v>
      </c>
      <c r="B139" s="2985"/>
      <c r="C139" s="2965"/>
      <c r="D139" s="2968"/>
      <c r="E139" s="1262"/>
      <c r="F139" s="1262"/>
      <c r="G139" s="1263"/>
      <c r="H139" s="1263"/>
      <c r="I139" s="1263"/>
      <c r="J139" s="1263"/>
      <c r="K139" s="1264"/>
      <c r="L139" s="1264"/>
      <c r="M139" s="1264"/>
      <c r="N139" s="1264"/>
      <c r="O139" s="1264"/>
      <c r="P139" s="1266"/>
      <c r="Q139" s="1264"/>
      <c r="R139" s="1264"/>
      <c r="S139" s="1271"/>
      <c r="T139" s="1272"/>
      <c r="U139" s="1397"/>
      <c r="V139" s="1397"/>
      <c r="W139" s="1377"/>
      <c r="X139" s="1264"/>
      <c r="Y139" s="1264"/>
      <c r="Z139" s="1267"/>
    </row>
    <row r="140" spans="1:26" ht="16.5" customHeight="1">
      <c r="A140" s="1380">
        <v>135</v>
      </c>
      <c r="B140" s="2985"/>
      <c r="C140" s="2965"/>
      <c r="D140" s="2968"/>
      <c r="E140" s="1262"/>
      <c r="F140" s="1262"/>
      <c r="G140" s="1263"/>
      <c r="H140" s="1263"/>
      <c r="I140" s="1263"/>
      <c r="J140" s="1263"/>
      <c r="K140" s="1264"/>
      <c r="L140" s="1264"/>
      <c r="M140" s="1264"/>
      <c r="N140" s="1264"/>
      <c r="O140" s="1264"/>
      <c r="P140" s="1266"/>
      <c r="Q140" s="1264"/>
      <c r="R140" s="1264"/>
      <c r="S140" s="1271"/>
      <c r="T140" s="1272"/>
      <c r="U140" s="1397"/>
      <c r="V140" s="1397"/>
      <c r="W140" s="1377"/>
      <c r="X140" s="1264"/>
      <c r="Y140" s="1264"/>
      <c r="Z140" s="1267"/>
    </row>
    <row r="141" spans="1:26" ht="16.5" customHeight="1">
      <c r="A141" s="1380">
        <v>136</v>
      </c>
      <c r="B141" s="2985"/>
      <c r="C141" s="2965"/>
      <c r="D141" s="2968"/>
      <c r="E141" s="1262"/>
      <c r="F141" s="1262"/>
      <c r="G141" s="1263"/>
      <c r="H141" s="1263"/>
      <c r="I141" s="1263"/>
      <c r="J141" s="1263"/>
      <c r="K141" s="1264"/>
      <c r="L141" s="1264"/>
      <c r="M141" s="1264"/>
      <c r="N141" s="1264"/>
      <c r="O141" s="1264"/>
      <c r="P141" s="1266"/>
      <c r="Q141" s="1264"/>
      <c r="R141" s="1264"/>
      <c r="S141" s="1271"/>
      <c r="T141" s="1272"/>
      <c r="U141" s="1397"/>
      <c r="V141" s="1397"/>
      <c r="W141" s="1377"/>
      <c r="X141" s="1264"/>
      <c r="Y141" s="1264"/>
      <c r="Z141" s="1267"/>
    </row>
    <row r="142" spans="1:26">
      <c r="A142" s="1380">
        <v>137</v>
      </c>
      <c r="B142" s="2985"/>
      <c r="C142" s="2965"/>
      <c r="D142" s="2968"/>
      <c r="E142" s="1262"/>
      <c r="F142" s="1262"/>
      <c r="G142" s="1263"/>
      <c r="H142" s="1263"/>
      <c r="I142" s="1263"/>
      <c r="J142" s="1263"/>
      <c r="K142" s="1264"/>
      <c r="L142" s="1264"/>
      <c r="M142" s="1264"/>
      <c r="N142" s="1264"/>
      <c r="O142" s="1264"/>
      <c r="P142" s="1266"/>
      <c r="Q142" s="1264"/>
      <c r="R142" s="1264"/>
      <c r="S142" s="1271"/>
      <c r="T142" s="1272"/>
      <c r="U142" s="1397"/>
      <c r="V142" s="1397"/>
      <c r="W142" s="1377"/>
      <c r="X142" s="1264"/>
      <c r="Y142" s="1264"/>
      <c r="Z142" s="1267"/>
    </row>
    <row r="143" spans="1:26">
      <c r="A143" s="1380">
        <v>138</v>
      </c>
      <c r="B143" s="2985"/>
      <c r="C143" s="2965"/>
      <c r="D143" s="2968"/>
      <c r="E143" s="1262"/>
      <c r="F143" s="1262"/>
      <c r="G143" s="1263"/>
      <c r="H143" s="1263"/>
      <c r="I143" s="1263"/>
      <c r="J143" s="1263"/>
      <c r="K143" s="1264"/>
      <c r="L143" s="1264"/>
      <c r="M143" s="1264"/>
      <c r="N143" s="1264"/>
      <c r="O143" s="1264"/>
      <c r="P143" s="1266"/>
      <c r="Q143" s="1264"/>
      <c r="R143" s="1264"/>
      <c r="S143" s="1271"/>
      <c r="T143" s="1272"/>
      <c r="U143" s="1397"/>
      <c r="V143" s="1397"/>
      <c r="W143" s="1377"/>
      <c r="X143" s="1264"/>
      <c r="Y143" s="1264"/>
      <c r="Z143" s="1267"/>
    </row>
    <row r="144" spans="1:26" ht="17.25" thickBot="1">
      <c r="A144" s="1380">
        <v>139</v>
      </c>
      <c r="B144" s="2985"/>
      <c r="C144" s="2966"/>
      <c r="D144" s="1363" t="s">
        <v>3514</v>
      </c>
      <c r="E144" s="1276"/>
      <c r="F144" s="1276"/>
      <c r="G144" s="1276"/>
      <c r="H144" s="1276"/>
      <c r="I144" s="1276"/>
      <c r="J144" s="1276"/>
      <c r="K144" s="1276"/>
      <c r="L144" s="1276"/>
      <c r="M144" s="1276"/>
      <c r="N144" s="1275">
        <f>SUM(N138:N143)</f>
        <v>0</v>
      </c>
      <c r="O144" s="1275">
        <f>SUM(O138:O143)</f>
        <v>0</v>
      </c>
      <c r="P144" s="1275">
        <f>SUM(P138:P143)</f>
        <v>0</v>
      </c>
      <c r="Q144" s="1276"/>
      <c r="R144" s="1275">
        <f>SUM(R138:R143)</f>
        <v>0</v>
      </c>
      <c r="S144" s="1276"/>
      <c r="T144" s="1299"/>
      <c r="U144" s="1379"/>
      <c r="V144" s="1379"/>
      <c r="W144" s="1426"/>
      <c r="X144" s="1276"/>
      <c r="Y144" s="1276"/>
      <c r="Z144" s="1453"/>
    </row>
    <row r="145" spans="1:26" ht="16.5" customHeight="1">
      <c r="A145" s="1380">
        <v>140</v>
      </c>
      <c r="B145" s="2985"/>
      <c r="C145" s="2988" t="s">
        <v>4260</v>
      </c>
      <c r="D145" s="2991" t="s">
        <v>4268</v>
      </c>
      <c r="E145" s="1255"/>
      <c r="F145" s="1255"/>
      <c r="G145" s="1256"/>
      <c r="H145" s="1256"/>
      <c r="I145" s="1256"/>
      <c r="J145" s="1256"/>
      <c r="K145" s="1257"/>
      <c r="L145" s="1257"/>
      <c r="M145" s="1257"/>
      <c r="N145" s="1257"/>
      <c r="O145" s="1257"/>
      <c r="P145" s="1259"/>
      <c r="Q145" s="1257"/>
      <c r="R145" s="1257"/>
      <c r="S145" s="1300"/>
      <c r="T145" s="1296"/>
      <c r="U145" s="1427"/>
      <c r="V145" s="1427"/>
      <c r="W145" s="1409"/>
      <c r="X145" s="1257"/>
      <c r="Y145" s="1257"/>
      <c r="Z145" s="1260"/>
    </row>
    <row r="146" spans="1:26">
      <c r="A146" s="1380">
        <v>141</v>
      </c>
      <c r="B146" s="2985"/>
      <c r="C146" s="2989"/>
      <c r="D146" s="2992"/>
      <c r="E146" s="1262"/>
      <c r="F146" s="1262"/>
      <c r="G146" s="1263"/>
      <c r="H146" s="1263"/>
      <c r="I146" s="1263"/>
      <c r="J146" s="1263"/>
      <c r="K146" s="1264"/>
      <c r="L146" s="1264"/>
      <c r="M146" s="1264"/>
      <c r="N146" s="1264"/>
      <c r="O146" s="1264"/>
      <c r="P146" s="1266"/>
      <c r="Q146" s="1266"/>
      <c r="R146" s="1264"/>
      <c r="S146" s="1271"/>
      <c r="T146" s="1301"/>
      <c r="U146" s="1397"/>
      <c r="V146" s="1397"/>
      <c r="W146" s="1428"/>
      <c r="X146" s="1264"/>
      <c r="Y146" s="1264"/>
      <c r="Z146" s="1267"/>
    </row>
    <row r="147" spans="1:26">
      <c r="A147" s="1380">
        <v>142</v>
      </c>
      <c r="B147" s="2985"/>
      <c r="C147" s="2989"/>
      <c r="D147" s="2992"/>
      <c r="E147" s="1262"/>
      <c r="F147" s="1262"/>
      <c r="G147" s="1263"/>
      <c r="H147" s="1263"/>
      <c r="I147" s="1263"/>
      <c r="J147" s="1263"/>
      <c r="K147" s="1264"/>
      <c r="L147" s="1264"/>
      <c r="M147" s="1264"/>
      <c r="N147" s="1264"/>
      <c r="O147" s="1264"/>
      <c r="P147" s="1266"/>
      <c r="Q147" s="1266"/>
      <c r="R147" s="1264"/>
      <c r="S147" s="1271"/>
      <c r="T147" s="1301"/>
      <c r="U147" s="1397"/>
      <c r="V147" s="1397"/>
      <c r="W147" s="1428"/>
      <c r="X147" s="1264"/>
      <c r="Y147" s="1264"/>
      <c r="Z147" s="1267"/>
    </row>
    <row r="148" spans="1:26">
      <c r="A148" s="1380">
        <v>143</v>
      </c>
      <c r="B148" s="2985"/>
      <c r="C148" s="2989"/>
      <c r="D148" s="2992"/>
      <c r="E148" s="1262"/>
      <c r="F148" s="1262"/>
      <c r="G148" s="1263"/>
      <c r="H148" s="1263"/>
      <c r="I148" s="1263"/>
      <c r="J148" s="1263"/>
      <c r="K148" s="1264"/>
      <c r="L148" s="1264"/>
      <c r="M148" s="1264"/>
      <c r="N148" s="1264"/>
      <c r="O148" s="1264"/>
      <c r="P148" s="1266"/>
      <c r="Q148" s="1266"/>
      <c r="R148" s="1264"/>
      <c r="S148" s="1271"/>
      <c r="T148" s="1301"/>
      <c r="U148" s="1397"/>
      <c r="V148" s="1397"/>
      <c r="W148" s="1428"/>
      <c r="X148" s="1264"/>
      <c r="Y148" s="1264"/>
      <c r="Z148" s="1267"/>
    </row>
    <row r="149" spans="1:26">
      <c r="A149" s="1380">
        <v>144</v>
      </c>
      <c r="B149" s="2985"/>
      <c r="C149" s="2989"/>
      <c r="D149" s="2992"/>
      <c r="E149" s="1262"/>
      <c r="F149" s="1262"/>
      <c r="G149" s="1263"/>
      <c r="H149" s="1263"/>
      <c r="I149" s="1263"/>
      <c r="J149" s="1263"/>
      <c r="K149" s="1264"/>
      <c r="L149" s="1264"/>
      <c r="M149" s="1264"/>
      <c r="N149" s="1264"/>
      <c r="O149" s="1264"/>
      <c r="P149" s="1266"/>
      <c r="Q149" s="1266"/>
      <c r="R149" s="1264"/>
      <c r="S149" s="1271"/>
      <c r="T149" s="1301"/>
      <c r="U149" s="1397"/>
      <c r="V149" s="1397"/>
      <c r="W149" s="1428"/>
      <c r="X149" s="1264"/>
      <c r="Y149" s="1264"/>
      <c r="Z149" s="1267"/>
    </row>
    <row r="150" spans="1:26">
      <c r="A150" s="1380">
        <v>145</v>
      </c>
      <c r="B150" s="2985"/>
      <c r="C150" s="2989"/>
      <c r="D150" s="2992"/>
      <c r="E150" s="1262"/>
      <c r="F150" s="1262"/>
      <c r="G150" s="1263"/>
      <c r="H150" s="1263"/>
      <c r="I150" s="1263"/>
      <c r="J150" s="1263"/>
      <c r="K150" s="1264"/>
      <c r="L150" s="1264"/>
      <c r="M150" s="1264"/>
      <c r="N150" s="1264"/>
      <c r="O150" s="1264"/>
      <c r="P150" s="1266"/>
      <c r="Q150" s="1266"/>
      <c r="R150" s="1264"/>
      <c r="S150" s="1271"/>
      <c r="T150" s="1301"/>
      <c r="U150" s="1397"/>
      <c r="V150" s="1397"/>
      <c r="W150" s="1428"/>
      <c r="X150" s="1264"/>
      <c r="Y150" s="1264"/>
      <c r="Z150" s="1267"/>
    </row>
    <row r="151" spans="1:26">
      <c r="A151" s="1380">
        <v>146</v>
      </c>
      <c r="B151" s="2985"/>
      <c r="C151" s="2989"/>
      <c r="D151" s="1297" t="s">
        <v>3514</v>
      </c>
      <c r="E151" s="1271"/>
      <c r="F151" s="1271"/>
      <c r="G151" s="1271"/>
      <c r="H151" s="1271"/>
      <c r="I151" s="1271"/>
      <c r="J151" s="1271"/>
      <c r="K151" s="1271"/>
      <c r="L151" s="1271"/>
      <c r="M151" s="1271"/>
      <c r="N151" s="1264">
        <f>SUM(N145:N150)</f>
        <v>0</v>
      </c>
      <c r="O151" s="1264">
        <f>SUM(O145:O150)</f>
        <v>0</v>
      </c>
      <c r="P151" s="1264">
        <f>SUM(P145:P150)</f>
        <v>0</v>
      </c>
      <c r="Q151" s="1271"/>
      <c r="R151" s="1264">
        <f>SUM(R145:R150)</f>
        <v>0</v>
      </c>
      <c r="S151" s="1271"/>
      <c r="T151" s="1301"/>
      <c r="U151" s="1397"/>
      <c r="V151" s="1397"/>
      <c r="W151" s="1428"/>
      <c r="X151" s="1271"/>
      <c r="Y151" s="1271"/>
      <c r="Z151" s="1450"/>
    </row>
    <row r="152" spans="1:26" ht="17.649999999999999" customHeight="1">
      <c r="A152" s="1380">
        <v>147</v>
      </c>
      <c r="B152" s="2985"/>
      <c r="C152" s="2989"/>
      <c r="D152" s="2978" t="s">
        <v>4335</v>
      </c>
      <c r="E152" s="1262"/>
      <c r="F152" s="1262"/>
      <c r="G152" s="1263"/>
      <c r="H152" s="1263"/>
      <c r="I152" s="1263"/>
      <c r="J152" s="1263"/>
      <c r="K152" s="1264"/>
      <c r="L152" s="1264"/>
      <c r="M152" s="1264"/>
      <c r="N152" s="1264"/>
      <c r="O152" s="1264"/>
      <c r="P152" s="1266"/>
      <c r="Q152" s="1266"/>
      <c r="R152" s="1264"/>
      <c r="S152" s="1271"/>
      <c r="T152" s="1301"/>
      <c r="U152" s="1397"/>
      <c r="V152" s="1397"/>
      <c r="W152" s="1428"/>
      <c r="X152" s="1264"/>
      <c r="Y152" s="1264"/>
      <c r="Z152" s="1267"/>
    </row>
    <row r="153" spans="1:26">
      <c r="A153" s="1380">
        <v>148</v>
      </c>
      <c r="B153" s="2985"/>
      <c r="C153" s="2989"/>
      <c r="D153" s="2978"/>
      <c r="E153" s="1262"/>
      <c r="F153" s="1262"/>
      <c r="G153" s="1263"/>
      <c r="H153" s="1263"/>
      <c r="I153" s="1263"/>
      <c r="J153" s="1263"/>
      <c r="K153" s="1264"/>
      <c r="L153" s="1264"/>
      <c r="M153" s="1264"/>
      <c r="N153" s="1264"/>
      <c r="O153" s="1264"/>
      <c r="P153" s="1266"/>
      <c r="Q153" s="1266"/>
      <c r="R153" s="1264"/>
      <c r="S153" s="1271"/>
      <c r="T153" s="1301"/>
      <c r="U153" s="1397"/>
      <c r="V153" s="1397"/>
      <c r="W153" s="1428"/>
      <c r="X153" s="1264"/>
      <c r="Y153" s="1264"/>
      <c r="Z153" s="1267"/>
    </row>
    <row r="154" spans="1:26">
      <c r="A154" s="1380">
        <v>149</v>
      </c>
      <c r="B154" s="2985"/>
      <c r="C154" s="2989"/>
      <c r="D154" s="2978"/>
      <c r="E154" s="1262"/>
      <c r="F154" s="1262"/>
      <c r="G154" s="1263"/>
      <c r="H154" s="1263"/>
      <c r="I154" s="1263"/>
      <c r="J154" s="1263"/>
      <c r="K154" s="1264"/>
      <c r="L154" s="1264"/>
      <c r="M154" s="1264"/>
      <c r="N154" s="1264"/>
      <c r="O154" s="1264"/>
      <c r="P154" s="1266"/>
      <c r="Q154" s="1266"/>
      <c r="R154" s="1264"/>
      <c r="S154" s="1271"/>
      <c r="T154" s="1301"/>
      <c r="U154" s="1397"/>
      <c r="V154" s="1397"/>
      <c r="W154" s="1428"/>
      <c r="X154" s="1264"/>
      <c r="Y154" s="1264"/>
      <c r="Z154" s="1267"/>
    </row>
    <row r="155" spans="1:26">
      <c r="A155" s="1380">
        <v>150</v>
      </c>
      <c r="B155" s="2985"/>
      <c r="C155" s="2989"/>
      <c r="D155" s="2978"/>
      <c r="E155" s="1262"/>
      <c r="F155" s="1262"/>
      <c r="G155" s="1263"/>
      <c r="H155" s="1263"/>
      <c r="I155" s="1263"/>
      <c r="J155" s="1263"/>
      <c r="K155" s="1264"/>
      <c r="L155" s="1264"/>
      <c r="M155" s="1264"/>
      <c r="N155" s="1264"/>
      <c r="O155" s="1264"/>
      <c r="P155" s="1266"/>
      <c r="Q155" s="1266"/>
      <c r="R155" s="1264"/>
      <c r="S155" s="1271"/>
      <c r="T155" s="1301"/>
      <c r="U155" s="1397"/>
      <c r="V155" s="1397"/>
      <c r="W155" s="1428"/>
      <c r="X155" s="1264"/>
      <c r="Y155" s="1264"/>
      <c r="Z155" s="1267"/>
    </row>
    <row r="156" spans="1:26">
      <c r="A156" s="1380">
        <v>151</v>
      </c>
      <c r="B156" s="2985"/>
      <c r="C156" s="2989"/>
      <c r="D156" s="2978"/>
      <c r="E156" s="1262"/>
      <c r="F156" s="1262"/>
      <c r="G156" s="1263"/>
      <c r="H156" s="1263"/>
      <c r="I156" s="1263"/>
      <c r="J156" s="1263"/>
      <c r="K156" s="1264"/>
      <c r="L156" s="1264"/>
      <c r="M156" s="1264"/>
      <c r="N156" s="1264"/>
      <c r="O156" s="1264"/>
      <c r="P156" s="1266"/>
      <c r="Q156" s="1266"/>
      <c r="R156" s="1264"/>
      <c r="S156" s="1271"/>
      <c r="T156" s="1301"/>
      <c r="U156" s="1397"/>
      <c r="V156" s="1397"/>
      <c r="W156" s="1428"/>
      <c r="X156" s="1264"/>
      <c r="Y156" s="1264"/>
      <c r="Z156" s="1267"/>
    </row>
    <row r="157" spans="1:26">
      <c r="A157" s="1380">
        <v>152</v>
      </c>
      <c r="B157" s="2985"/>
      <c r="C157" s="2989"/>
      <c r="D157" s="2978"/>
      <c r="E157" s="1262"/>
      <c r="F157" s="1262"/>
      <c r="G157" s="1263"/>
      <c r="H157" s="1263"/>
      <c r="I157" s="1263"/>
      <c r="J157" s="1263"/>
      <c r="K157" s="1264"/>
      <c r="L157" s="1264"/>
      <c r="M157" s="1264"/>
      <c r="N157" s="1264"/>
      <c r="O157" s="1264"/>
      <c r="P157" s="1266"/>
      <c r="Q157" s="1266"/>
      <c r="R157" s="1264"/>
      <c r="S157" s="1271"/>
      <c r="T157" s="1301"/>
      <c r="U157" s="1397"/>
      <c r="V157" s="1397"/>
      <c r="W157" s="1428"/>
      <c r="X157" s="1264"/>
      <c r="Y157" s="1264"/>
      <c r="Z157" s="1267"/>
    </row>
    <row r="158" spans="1:26">
      <c r="A158" s="1380">
        <v>153</v>
      </c>
      <c r="B158" s="2985"/>
      <c r="C158" s="2989"/>
      <c r="D158" s="1457" t="s">
        <v>4305</v>
      </c>
      <c r="E158" s="1271"/>
      <c r="F158" s="1271"/>
      <c r="G158" s="1271"/>
      <c r="H158" s="1271"/>
      <c r="I158" s="1271"/>
      <c r="J158" s="1271"/>
      <c r="K158" s="1271"/>
      <c r="L158" s="1271"/>
      <c r="M158" s="1271"/>
      <c r="N158" s="1264">
        <f>SUM(N152:N157)</f>
        <v>0</v>
      </c>
      <c r="O158" s="1264">
        <f>SUM(O152:O157)</f>
        <v>0</v>
      </c>
      <c r="P158" s="1264">
        <f>SUM(P152:P157)</f>
        <v>0</v>
      </c>
      <c r="Q158" s="1271"/>
      <c r="R158" s="1264">
        <f>SUM(R152:R157)</f>
        <v>0</v>
      </c>
      <c r="S158" s="1271"/>
      <c r="T158" s="1301"/>
      <c r="U158" s="1397"/>
      <c r="V158" s="1397"/>
      <c r="W158" s="1428"/>
      <c r="X158" s="1271"/>
      <c r="Y158" s="1271"/>
      <c r="Z158" s="1450"/>
    </row>
    <row r="159" spans="1:26" ht="16.5" customHeight="1">
      <c r="A159" s="1380">
        <v>154</v>
      </c>
      <c r="B159" s="2985"/>
      <c r="C159" s="2989"/>
      <c r="D159" s="2978" t="s">
        <v>4336</v>
      </c>
      <c r="E159" s="1262"/>
      <c r="F159" s="1262"/>
      <c r="G159" s="1263"/>
      <c r="H159" s="1263"/>
      <c r="I159" s="1263"/>
      <c r="J159" s="1263"/>
      <c r="K159" s="1264"/>
      <c r="L159" s="1264"/>
      <c r="M159" s="1264"/>
      <c r="N159" s="1264"/>
      <c r="O159" s="1264"/>
      <c r="P159" s="1266"/>
      <c r="Q159" s="1266"/>
      <c r="R159" s="1264"/>
      <c r="S159" s="1271"/>
      <c r="T159" s="1301"/>
      <c r="U159" s="1397"/>
      <c r="V159" s="1397"/>
      <c r="W159" s="1428"/>
      <c r="X159" s="1264"/>
      <c r="Y159" s="1264"/>
      <c r="Z159" s="1267"/>
    </row>
    <row r="160" spans="1:26" ht="15.75" customHeight="1">
      <c r="A160" s="1380">
        <v>155</v>
      </c>
      <c r="B160" s="2985"/>
      <c r="C160" s="2989"/>
      <c r="D160" s="2978"/>
      <c r="E160" s="1262"/>
      <c r="F160" s="1262"/>
      <c r="G160" s="1263"/>
      <c r="H160" s="1263"/>
      <c r="I160" s="1263"/>
      <c r="J160" s="1263"/>
      <c r="K160" s="1264"/>
      <c r="L160" s="1264"/>
      <c r="M160" s="1264"/>
      <c r="N160" s="1264"/>
      <c r="O160" s="1264"/>
      <c r="P160" s="1266"/>
      <c r="Q160" s="1264"/>
      <c r="R160" s="1264"/>
      <c r="S160" s="1271"/>
      <c r="T160" s="1272"/>
      <c r="U160" s="1397"/>
      <c r="V160" s="1397"/>
      <c r="W160" s="1377"/>
      <c r="X160" s="1264"/>
      <c r="Y160" s="1264"/>
      <c r="Z160" s="1267"/>
    </row>
    <row r="161" spans="1:26" ht="15.75" customHeight="1">
      <c r="A161" s="1380">
        <v>156</v>
      </c>
      <c r="B161" s="2985"/>
      <c r="C161" s="2989"/>
      <c r="D161" s="2978"/>
      <c r="E161" s="1262"/>
      <c r="F161" s="1262"/>
      <c r="G161" s="1263"/>
      <c r="H161" s="1263"/>
      <c r="I161" s="1263"/>
      <c r="J161" s="1263"/>
      <c r="K161" s="1264"/>
      <c r="L161" s="1264"/>
      <c r="M161" s="1264"/>
      <c r="N161" s="1264"/>
      <c r="O161" s="1264"/>
      <c r="P161" s="1266"/>
      <c r="Q161" s="1264"/>
      <c r="R161" s="1264"/>
      <c r="S161" s="1271"/>
      <c r="T161" s="1272"/>
      <c r="U161" s="1397"/>
      <c r="V161" s="1397"/>
      <c r="W161" s="1377"/>
      <c r="X161" s="1264"/>
      <c r="Y161" s="1264"/>
      <c r="Z161" s="1267"/>
    </row>
    <row r="162" spans="1:26" ht="16.5" customHeight="1">
      <c r="A162" s="1380">
        <v>157</v>
      </c>
      <c r="B162" s="2985"/>
      <c r="C162" s="2989"/>
      <c r="D162" s="2978"/>
      <c r="E162" s="1262"/>
      <c r="F162" s="1262"/>
      <c r="G162" s="1263"/>
      <c r="H162" s="1263"/>
      <c r="I162" s="1263"/>
      <c r="J162" s="1263"/>
      <c r="K162" s="1264"/>
      <c r="L162" s="1264"/>
      <c r="M162" s="1264"/>
      <c r="N162" s="1264"/>
      <c r="O162" s="1264"/>
      <c r="P162" s="1266"/>
      <c r="Q162" s="1264"/>
      <c r="R162" s="1264"/>
      <c r="S162" s="1271"/>
      <c r="T162" s="1272"/>
      <c r="U162" s="1397"/>
      <c r="V162" s="1397"/>
      <c r="W162" s="1377"/>
      <c r="X162" s="1264"/>
      <c r="Y162" s="1264"/>
      <c r="Z162" s="1267"/>
    </row>
    <row r="163" spans="1:26">
      <c r="A163" s="1380">
        <v>158</v>
      </c>
      <c r="B163" s="2985"/>
      <c r="C163" s="2989"/>
      <c r="D163" s="2978"/>
      <c r="E163" s="1262"/>
      <c r="F163" s="1262"/>
      <c r="G163" s="1263"/>
      <c r="H163" s="1263"/>
      <c r="I163" s="1263"/>
      <c r="J163" s="1263"/>
      <c r="K163" s="1264"/>
      <c r="L163" s="1264"/>
      <c r="M163" s="1264"/>
      <c r="N163" s="1264"/>
      <c r="O163" s="1264"/>
      <c r="P163" s="1266"/>
      <c r="Q163" s="1264"/>
      <c r="R163" s="1264"/>
      <c r="S163" s="1271"/>
      <c r="T163" s="1272"/>
      <c r="U163" s="1397"/>
      <c r="V163" s="1397"/>
      <c r="W163" s="1377"/>
      <c r="X163" s="1264"/>
      <c r="Y163" s="1264"/>
      <c r="Z163" s="1267"/>
    </row>
    <row r="164" spans="1:26">
      <c r="A164" s="1380">
        <v>159</v>
      </c>
      <c r="B164" s="2985"/>
      <c r="C164" s="2989"/>
      <c r="D164" s="2978"/>
      <c r="E164" s="1262"/>
      <c r="F164" s="1262"/>
      <c r="G164" s="1263"/>
      <c r="H164" s="1263"/>
      <c r="I164" s="1263"/>
      <c r="J164" s="1263"/>
      <c r="K164" s="1264"/>
      <c r="L164" s="1264"/>
      <c r="M164" s="1264"/>
      <c r="N164" s="1264"/>
      <c r="O164" s="1264"/>
      <c r="P164" s="1266"/>
      <c r="Q164" s="1264"/>
      <c r="R164" s="1264"/>
      <c r="S164" s="1271"/>
      <c r="T164" s="1272"/>
      <c r="U164" s="1397"/>
      <c r="V164" s="1397"/>
      <c r="W164" s="1377"/>
      <c r="X164" s="1264"/>
      <c r="Y164" s="1264"/>
      <c r="Z164" s="1267"/>
    </row>
    <row r="165" spans="1:26" ht="17.25" thickBot="1">
      <c r="A165" s="1380">
        <v>160</v>
      </c>
      <c r="B165" s="2985"/>
      <c r="C165" s="2990"/>
      <c r="D165" s="1363" t="s">
        <v>3514</v>
      </c>
      <c r="E165" s="1276"/>
      <c r="F165" s="1276"/>
      <c r="G165" s="1276"/>
      <c r="H165" s="1276"/>
      <c r="I165" s="1276"/>
      <c r="J165" s="1276"/>
      <c r="K165" s="1276"/>
      <c r="L165" s="1276"/>
      <c r="M165" s="1276"/>
      <c r="N165" s="1275">
        <f>SUM(N159:N164)</f>
        <v>0</v>
      </c>
      <c r="O165" s="1275">
        <f>SUM(O159:O164)</f>
        <v>0</v>
      </c>
      <c r="P165" s="1275">
        <f>SUM(P159:P164)</f>
        <v>0</v>
      </c>
      <c r="Q165" s="1276"/>
      <c r="R165" s="1275">
        <f>SUM(R159:R164)</f>
        <v>0</v>
      </c>
      <c r="S165" s="1276"/>
      <c r="T165" s="1299"/>
      <c r="U165" s="1379"/>
      <c r="V165" s="1379"/>
      <c r="W165" s="1426"/>
      <c r="X165" s="1276"/>
      <c r="Y165" s="1276"/>
      <c r="Z165" s="1453"/>
    </row>
    <row r="166" spans="1:26" ht="16.5" customHeight="1">
      <c r="A166" s="1380">
        <v>161</v>
      </c>
      <c r="B166" s="2985"/>
      <c r="C166" s="2964" t="s">
        <v>4261</v>
      </c>
      <c r="D166" s="2947" t="s">
        <v>4269</v>
      </c>
      <c r="E166" s="1255"/>
      <c r="F166" s="1255"/>
      <c r="G166" s="1256"/>
      <c r="H166" s="1256"/>
      <c r="I166" s="1256"/>
      <c r="J166" s="1256"/>
      <c r="K166" s="1257"/>
      <c r="L166" s="1257"/>
      <c r="M166" s="1257"/>
      <c r="N166" s="1257"/>
      <c r="O166" s="1257"/>
      <c r="P166" s="1259"/>
      <c r="Q166" s="1257"/>
      <c r="R166" s="1257"/>
      <c r="S166" s="1295"/>
      <c r="T166" s="1296"/>
      <c r="U166" s="1408"/>
      <c r="V166" s="1408"/>
      <c r="W166" s="1409"/>
      <c r="X166" s="1257"/>
      <c r="Y166" s="1257"/>
      <c r="Z166" s="1260"/>
    </row>
    <row r="167" spans="1:26">
      <c r="A167" s="1380">
        <v>162</v>
      </c>
      <c r="B167" s="2985"/>
      <c r="C167" s="2965"/>
      <c r="D167" s="2948"/>
      <c r="E167" s="1262"/>
      <c r="F167" s="1262"/>
      <c r="G167" s="1263"/>
      <c r="H167" s="1263"/>
      <c r="I167" s="1263"/>
      <c r="J167" s="1263"/>
      <c r="K167" s="1264"/>
      <c r="L167" s="1264"/>
      <c r="M167" s="1264"/>
      <c r="N167" s="1264"/>
      <c r="O167" s="1264"/>
      <c r="P167" s="1266"/>
      <c r="Q167" s="1264"/>
      <c r="R167" s="1264"/>
      <c r="S167" s="1301"/>
      <c r="T167" s="1272"/>
      <c r="U167" s="1428"/>
      <c r="V167" s="1428"/>
      <c r="W167" s="1377"/>
      <c r="X167" s="1264"/>
      <c r="Y167" s="1264"/>
      <c r="Z167" s="1267"/>
    </row>
    <row r="168" spans="1:26">
      <c r="A168" s="1380">
        <v>163</v>
      </c>
      <c r="B168" s="2985"/>
      <c r="C168" s="2965"/>
      <c r="D168" s="2948"/>
      <c r="E168" s="1262"/>
      <c r="F168" s="1262"/>
      <c r="G168" s="1263"/>
      <c r="H168" s="1263"/>
      <c r="I168" s="1263"/>
      <c r="J168" s="1263"/>
      <c r="K168" s="1264"/>
      <c r="L168" s="1264"/>
      <c r="M168" s="1264"/>
      <c r="N168" s="1264"/>
      <c r="O168" s="1264"/>
      <c r="P168" s="1266"/>
      <c r="Q168" s="1264"/>
      <c r="R168" s="1264"/>
      <c r="S168" s="1301"/>
      <c r="T168" s="1272"/>
      <c r="U168" s="1428"/>
      <c r="V168" s="1428"/>
      <c r="W168" s="1377"/>
      <c r="X168" s="1264"/>
      <c r="Y168" s="1264"/>
      <c r="Z168" s="1267"/>
    </row>
    <row r="169" spans="1:26">
      <c r="A169" s="1380">
        <v>164</v>
      </c>
      <c r="B169" s="2985"/>
      <c r="C169" s="2965"/>
      <c r="D169" s="2948"/>
      <c r="E169" s="1262"/>
      <c r="F169" s="1262"/>
      <c r="G169" s="1263"/>
      <c r="H169" s="1263"/>
      <c r="I169" s="1263"/>
      <c r="J169" s="1263"/>
      <c r="K169" s="1264"/>
      <c r="L169" s="1264"/>
      <c r="M169" s="1264"/>
      <c r="N169" s="1264"/>
      <c r="O169" s="1264"/>
      <c r="P169" s="1266"/>
      <c r="Q169" s="1264"/>
      <c r="R169" s="1264"/>
      <c r="S169" s="1301"/>
      <c r="T169" s="1272"/>
      <c r="U169" s="1428"/>
      <c r="V169" s="1428"/>
      <c r="W169" s="1377"/>
      <c r="X169" s="1264"/>
      <c r="Y169" s="1264"/>
      <c r="Z169" s="1267"/>
    </row>
    <row r="170" spans="1:26">
      <c r="A170" s="1380">
        <v>165</v>
      </c>
      <c r="B170" s="2985"/>
      <c r="C170" s="2965"/>
      <c r="D170" s="2948"/>
      <c r="E170" s="1262"/>
      <c r="F170" s="1262"/>
      <c r="G170" s="1263"/>
      <c r="H170" s="1263"/>
      <c r="I170" s="1263"/>
      <c r="J170" s="1263"/>
      <c r="K170" s="1264"/>
      <c r="L170" s="1264"/>
      <c r="M170" s="1264"/>
      <c r="N170" s="1264"/>
      <c r="O170" s="1264"/>
      <c r="P170" s="1266"/>
      <c r="Q170" s="1264"/>
      <c r="R170" s="1264"/>
      <c r="S170" s="1301"/>
      <c r="T170" s="1272"/>
      <c r="U170" s="1428"/>
      <c r="V170" s="1428"/>
      <c r="W170" s="1377"/>
      <c r="X170" s="1264"/>
      <c r="Y170" s="1264"/>
      <c r="Z170" s="1267"/>
    </row>
    <row r="171" spans="1:26">
      <c r="A171" s="1380">
        <v>166</v>
      </c>
      <c r="B171" s="2985"/>
      <c r="C171" s="2965"/>
      <c r="D171" s="2948"/>
      <c r="E171" s="1262"/>
      <c r="F171" s="1262"/>
      <c r="G171" s="1263"/>
      <c r="H171" s="1263"/>
      <c r="I171" s="1263"/>
      <c r="J171" s="1263"/>
      <c r="K171" s="1264"/>
      <c r="L171" s="1264"/>
      <c r="M171" s="1264"/>
      <c r="N171" s="1264"/>
      <c r="O171" s="1264"/>
      <c r="P171" s="1266"/>
      <c r="Q171" s="1264"/>
      <c r="R171" s="1264"/>
      <c r="S171" s="1301"/>
      <c r="T171" s="1272"/>
      <c r="U171" s="1428"/>
      <c r="V171" s="1428"/>
      <c r="W171" s="1377"/>
      <c r="X171" s="1264"/>
      <c r="Y171" s="1264"/>
      <c r="Z171" s="1267"/>
    </row>
    <row r="172" spans="1:26">
      <c r="A172" s="1380">
        <v>167</v>
      </c>
      <c r="B172" s="2985"/>
      <c r="C172" s="2965"/>
      <c r="D172" s="1279" t="s">
        <v>3514</v>
      </c>
      <c r="E172" s="1271"/>
      <c r="F172" s="1271"/>
      <c r="G172" s="1271"/>
      <c r="H172" s="1271"/>
      <c r="I172" s="1271"/>
      <c r="J172" s="1271"/>
      <c r="K172" s="1271"/>
      <c r="L172" s="1271"/>
      <c r="M172" s="1271"/>
      <c r="N172" s="1264">
        <f>SUM(N166:N171)</f>
        <v>0</v>
      </c>
      <c r="O172" s="1264">
        <f>SUM(O166:O171)</f>
        <v>0</v>
      </c>
      <c r="P172" s="1264">
        <f>SUM(P166:P171)</f>
        <v>0</v>
      </c>
      <c r="Q172" s="1271"/>
      <c r="R172" s="1264">
        <f>SUM(R166:R171)</f>
        <v>0</v>
      </c>
      <c r="S172" s="1301"/>
      <c r="T172" s="1272"/>
      <c r="U172" s="1428"/>
      <c r="V172" s="1428"/>
      <c r="W172" s="1377"/>
      <c r="X172" s="1271"/>
      <c r="Y172" s="1271"/>
      <c r="Z172" s="1450"/>
    </row>
    <row r="173" spans="1:26" ht="16.5" customHeight="1">
      <c r="A173" s="1380">
        <v>168</v>
      </c>
      <c r="B173" s="2985"/>
      <c r="C173" s="2965"/>
      <c r="D173" s="2978" t="s">
        <v>4335</v>
      </c>
      <c r="E173" s="1262"/>
      <c r="F173" s="1262"/>
      <c r="G173" s="1263"/>
      <c r="H173" s="1263"/>
      <c r="I173" s="1263"/>
      <c r="J173" s="1263"/>
      <c r="K173" s="1264"/>
      <c r="L173" s="1264"/>
      <c r="M173" s="1264"/>
      <c r="N173" s="1264"/>
      <c r="O173" s="1264"/>
      <c r="P173" s="1266"/>
      <c r="Q173" s="1264"/>
      <c r="R173" s="1264"/>
      <c r="S173" s="1301"/>
      <c r="T173" s="1272"/>
      <c r="U173" s="1428"/>
      <c r="V173" s="1428"/>
      <c r="W173" s="1377"/>
      <c r="X173" s="1264"/>
      <c r="Y173" s="1264"/>
      <c r="Z173" s="1267"/>
    </row>
    <row r="174" spans="1:26">
      <c r="A174" s="1380">
        <v>169</v>
      </c>
      <c r="B174" s="2985"/>
      <c r="C174" s="2965"/>
      <c r="D174" s="2978"/>
      <c r="E174" s="1262"/>
      <c r="F174" s="1262"/>
      <c r="G174" s="1263"/>
      <c r="H174" s="1263"/>
      <c r="I174" s="1263"/>
      <c r="J174" s="1263"/>
      <c r="K174" s="1264"/>
      <c r="L174" s="1264"/>
      <c r="M174" s="1264"/>
      <c r="N174" s="1264"/>
      <c r="O174" s="1264"/>
      <c r="P174" s="1266"/>
      <c r="Q174" s="1264"/>
      <c r="R174" s="1264"/>
      <c r="S174" s="1301"/>
      <c r="T174" s="1272"/>
      <c r="U174" s="1428"/>
      <c r="V174" s="1428"/>
      <c r="W174" s="1377"/>
      <c r="X174" s="1264"/>
      <c r="Y174" s="1264"/>
      <c r="Z174" s="1267"/>
    </row>
    <row r="175" spans="1:26">
      <c r="A175" s="1380">
        <v>170</v>
      </c>
      <c r="B175" s="2985"/>
      <c r="C175" s="2965"/>
      <c r="D175" s="2978"/>
      <c r="E175" s="1262"/>
      <c r="F175" s="1262"/>
      <c r="G175" s="1263"/>
      <c r="H175" s="1263"/>
      <c r="I175" s="1263"/>
      <c r="J175" s="1263"/>
      <c r="K175" s="1264"/>
      <c r="L175" s="1264"/>
      <c r="M175" s="1264"/>
      <c r="N175" s="1264"/>
      <c r="O175" s="1264"/>
      <c r="P175" s="1266"/>
      <c r="Q175" s="1264"/>
      <c r="R175" s="1264"/>
      <c r="S175" s="1301"/>
      <c r="T175" s="1272"/>
      <c r="U175" s="1428"/>
      <c r="V175" s="1428"/>
      <c r="W175" s="1377"/>
      <c r="X175" s="1264"/>
      <c r="Y175" s="1264"/>
      <c r="Z175" s="1267"/>
    </row>
    <row r="176" spans="1:26">
      <c r="A176" s="1380">
        <v>171</v>
      </c>
      <c r="B176" s="2985"/>
      <c r="C176" s="2965"/>
      <c r="D176" s="2978"/>
      <c r="E176" s="1262"/>
      <c r="F176" s="1262"/>
      <c r="G176" s="1263"/>
      <c r="H176" s="1263"/>
      <c r="I176" s="1263"/>
      <c r="J176" s="1263"/>
      <c r="K176" s="1264"/>
      <c r="L176" s="1264"/>
      <c r="M176" s="1264"/>
      <c r="N176" s="1264"/>
      <c r="O176" s="1264"/>
      <c r="P176" s="1266"/>
      <c r="Q176" s="1264"/>
      <c r="R176" s="1264"/>
      <c r="S176" s="1301"/>
      <c r="T176" s="1272"/>
      <c r="U176" s="1428"/>
      <c r="V176" s="1428"/>
      <c r="W176" s="1377"/>
      <c r="X176" s="1264"/>
      <c r="Y176" s="1264"/>
      <c r="Z176" s="1267"/>
    </row>
    <row r="177" spans="1:26">
      <c r="A177" s="1380">
        <v>172</v>
      </c>
      <c r="B177" s="2985"/>
      <c r="C177" s="2965"/>
      <c r="D177" s="2978"/>
      <c r="E177" s="1262"/>
      <c r="F177" s="1262"/>
      <c r="G177" s="1263"/>
      <c r="H177" s="1263"/>
      <c r="I177" s="1263"/>
      <c r="J177" s="1263"/>
      <c r="K177" s="1264"/>
      <c r="L177" s="1264"/>
      <c r="M177" s="1264"/>
      <c r="N177" s="1264"/>
      <c r="O177" s="1264"/>
      <c r="P177" s="1266"/>
      <c r="Q177" s="1264"/>
      <c r="R177" s="1264"/>
      <c r="S177" s="1301"/>
      <c r="T177" s="1272"/>
      <c r="U177" s="1428"/>
      <c r="V177" s="1428"/>
      <c r="W177" s="1377"/>
      <c r="X177" s="1264"/>
      <c r="Y177" s="1264"/>
      <c r="Z177" s="1267"/>
    </row>
    <row r="178" spans="1:26">
      <c r="A178" s="1380">
        <v>173</v>
      </c>
      <c r="B178" s="2985"/>
      <c r="C178" s="2965"/>
      <c r="D178" s="2978"/>
      <c r="E178" s="1262"/>
      <c r="F178" s="1262"/>
      <c r="G178" s="1263"/>
      <c r="H178" s="1263"/>
      <c r="I178" s="1263"/>
      <c r="J178" s="1263"/>
      <c r="K178" s="1264"/>
      <c r="L178" s="1264"/>
      <c r="M178" s="1264"/>
      <c r="N178" s="1264"/>
      <c r="O178" s="1264"/>
      <c r="P178" s="1266"/>
      <c r="Q178" s="1264"/>
      <c r="R178" s="1264"/>
      <c r="S178" s="1301"/>
      <c r="T178" s="1272"/>
      <c r="U178" s="1428"/>
      <c r="V178" s="1428"/>
      <c r="W178" s="1377"/>
      <c r="X178" s="1264"/>
      <c r="Y178" s="1264"/>
      <c r="Z178" s="1267"/>
    </row>
    <row r="179" spans="1:26">
      <c r="A179" s="1380">
        <v>174</v>
      </c>
      <c r="B179" s="2985"/>
      <c r="C179" s="2965"/>
      <c r="D179" s="1457" t="s">
        <v>4305</v>
      </c>
      <c r="E179" s="1271"/>
      <c r="F179" s="1271"/>
      <c r="G179" s="1271"/>
      <c r="H179" s="1271"/>
      <c r="I179" s="1271"/>
      <c r="J179" s="1271"/>
      <c r="K179" s="1271"/>
      <c r="L179" s="1271"/>
      <c r="M179" s="1271"/>
      <c r="N179" s="1264">
        <f>SUM(N173:N178)</f>
        <v>0</v>
      </c>
      <c r="O179" s="1264">
        <f>SUM(O173:O178)</f>
        <v>0</v>
      </c>
      <c r="P179" s="1264">
        <f>SUM(P173:P178)</f>
        <v>0</v>
      </c>
      <c r="Q179" s="1271"/>
      <c r="R179" s="1264">
        <f>SUM(R173:R178)</f>
        <v>0</v>
      </c>
      <c r="S179" s="1301"/>
      <c r="T179" s="1272"/>
      <c r="U179" s="1428"/>
      <c r="V179" s="1428"/>
      <c r="W179" s="1377"/>
      <c r="X179" s="1271"/>
      <c r="Y179" s="1271"/>
      <c r="Z179" s="1450"/>
    </row>
    <row r="180" spans="1:26" ht="16.5" customHeight="1">
      <c r="A180" s="1380">
        <v>175</v>
      </c>
      <c r="B180" s="2985"/>
      <c r="C180" s="2965"/>
      <c r="D180" s="2978" t="s">
        <v>4336</v>
      </c>
      <c r="E180" s="1262"/>
      <c r="F180" s="1262"/>
      <c r="G180" s="1263"/>
      <c r="H180" s="1263"/>
      <c r="I180" s="1263"/>
      <c r="J180" s="1263"/>
      <c r="K180" s="1264"/>
      <c r="L180" s="1264"/>
      <c r="M180" s="1264"/>
      <c r="N180" s="1264"/>
      <c r="O180" s="1264"/>
      <c r="P180" s="1266"/>
      <c r="Q180" s="1264"/>
      <c r="R180" s="1264"/>
      <c r="S180" s="1301"/>
      <c r="T180" s="1272"/>
      <c r="U180" s="1428"/>
      <c r="V180" s="1428"/>
      <c r="W180" s="1377"/>
      <c r="X180" s="1264"/>
      <c r="Y180" s="1264"/>
      <c r="Z180" s="1267"/>
    </row>
    <row r="181" spans="1:26">
      <c r="A181" s="1380">
        <v>176</v>
      </c>
      <c r="B181" s="2985"/>
      <c r="C181" s="2965"/>
      <c r="D181" s="2978"/>
      <c r="E181" s="1262"/>
      <c r="F181" s="1262"/>
      <c r="G181" s="1263"/>
      <c r="H181" s="1263"/>
      <c r="I181" s="1263"/>
      <c r="J181" s="1263"/>
      <c r="K181" s="1264"/>
      <c r="L181" s="1264"/>
      <c r="M181" s="1264"/>
      <c r="N181" s="1264"/>
      <c r="O181" s="1264"/>
      <c r="P181" s="1266"/>
      <c r="Q181" s="1264"/>
      <c r="R181" s="1264"/>
      <c r="S181" s="1301"/>
      <c r="T181" s="1272"/>
      <c r="U181" s="1428"/>
      <c r="V181" s="1428"/>
      <c r="W181" s="1377"/>
      <c r="X181" s="1264"/>
      <c r="Y181" s="1264"/>
      <c r="Z181" s="1267"/>
    </row>
    <row r="182" spans="1:26">
      <c r="A182" s="1380">
        <v>177</v>
      </c>
      <c r="B182" s="2985"/>
      <c r="C182" s="2965"/>
      <c r="D182" s="2978"/>
      <c r="E182" s="1262"/>
      <c r="F182" s="1262"/>
      <c r="G182" s="1263"/>
      <c r="H182" s="1263"/>
      <c r="I182" s="1263"/>
      <c r="J182" s="1263"/>
      <c r="K182" s="1264"/>
      <c r="L182" s="1264"/>
      <c r="M182" s="1264"/>
      <c r="N182" s="1264"/>
      <c r="O182" s="1264"/>
      <c r="P182" s="1266"/>
      <c r="Q182" s="1264"/>
      <c r="R182" s="1264"/>
      <c r="S182" s="1301"/>
      <c r="T182" s="1272"/>
      <c r="U182" s="1428"/>
      <c r="V182" s="1428"/>
      <c r="W182" s="1377"/>
      <c r="X182" s="1264"/>
      <c r="Y182" s="1264"/>
      <c r="Z182" s="1267"/>
    </row>
    <row r="183" spans="1:26">
      <c r="A183" s="1380">
        <v>178</v>
      </c>
      <c r="B183" s="2985"/>
      <c r="C183" s="2965"/>
      <c r="D183" s="2978"/>
      <c r="E183" s="1262"/>
      <c r="F183" s="1262"/>
      <c r="G183" s="1263"/>
      <c r="H183" s="1263"/>
      <c r="I183" s="1263"/>
      <c r="J183" s="1263"/>
      <c r="K183" s="1264"/>
      <c r="L183" s="1264"/>
      <c r="M183" s="1264"/>
      <c r="N183" s="1264"/>
      <c r="O183" s="1264"/>
      <c r="P183" s="1266"/>
      <c r="Q183" s="1264"/>
      <c r="R183" s="1264"/>
      <c r="S183" s="1301"/>
      <c r="T183" s="1272"/>
      <c r="U183" s="1428"/>
      <c r="V183" s="1428"/>
      <c r="W183" s="1377"/>
      <c r="X183" s="1264"/>
      <c r="Y183" s="1264"/>
      <c r="Z183" s="1267"/>
    </row>
    <row r="184" spans="1:26">
      <c r="A184" s="1380">
        <v>179</v>
      </c>
      <c r="B184" s="2985"/>
      <c r="C184" s="2965"/>
      <c r="D184" s="2978"/>
      <c r="E184" s="1262"/>
      <c r="F184" s="1262"/>
      <c r="G184" s="1263"/>
      <c r="H184" s="1263"/>
      <c r="I184" s="1263"/>
      <c r="J184" s="1263"/>
      <c r="K184" s="1264"/>
      <c r="L184" s="1264"/>
      <c r="M184" s="1264"/>
      <c r="N184" s="1264"/>
      <c r="O184" s="1264"/>
      <c r="P184" s="1266"/>
      <c r="Q184" s="1264"/>
      <c r="R184" s="1264"/>
      <c r="S184" s="1301"/>
      <c r="T184" s="1272"/>
      <c r="U184" s="1428"/>
      <c r="V184" s="1428"/>
      <c r="W184" s="1377"/>
      <c r="X184" s="1264"/>
      <c r="Y184" s="1264"/>
      <c r="Z184" s="1267"/>
    </row>
    <row r="185" spans="1:26">
      <c r="A185" s="1380">
        <v>180</v>
      </c>
      <c r="B185" s="2985"/>
      <c r="C185" s="2965"/>
      <c r="D185" s="2978"/>
      <c r="E185" s="1262"/>
      <c r="F185" s="1262"/>
      <c r="G185" s="1263"/>
      <c r="H185" s="1263"/>
      <c r="I185" s="1263"/>
      <c r="J185" s="1263"/>
      <c r="K185" s="1264"/>
      <c r="L185" s="1264"/>
      <c r="M185" s="1264"/>
      <c r="N185" s="1264"/>
      <c r="O185" s="1264"/>
      <c r="P185" s="1266"/>
      <c r="Q185" s="1264"/>
      <c r="R185" s="1264"/>
      <c r="S185" s="1301"/>
      <c r="T185" s="1272"/>
      <c r="U185" s="1428"/>
      <c r="V185" s="1428"/>
      <c r="W185" s="1377"/>
      <c r="X185" s="1264"/>
      <c r="Y185" s="1264"/>
      <c r="Z185" s="1267"/>
    </row>
    <row r="186" spans="1:26" ht="17.25" thickBot="1">
      <c r="A186" s="1410">
        <v>181</v>
      </c>
      <c r="B186" s="2986"/>
      <c r="C186" s="2993"/>
      <c r="D186" s="1268" t="s">
        <v>3514</v>
      </c>
      <c r="E186" s="1285"/>
      <c r="F186" s="1285"/>
      <c r="G186" s="1285"/>
      <c r="H186" s="1285"/>
      <c r="I186" s="1285"/>
      <c r="J186" s="1285"/>
      <c r="K186" s="1285"/>
      <c r="L186" s="1285"/>
      <c r="M186" s="1285"/>
      <c r="N186" s="1286">
        <f>SUM(N180:N185)</f>
        <v>0</v>
      </c>
      <c r="O186" s="1286">
        <f>SUM(O180:O185)</f>
        <v>0</v>
      </c>
      <c r="P186" s="1286">
        <f>SUM(P180:P185)</f>
        <v>0</v>
      </c>
      <c r="Q186" s="1285"/>
      <c r="R186" s="1286">
        <f>SUM(R180:R185)</f>
        <v>0</v>
      </c>
      <c r="S186" s="1306"/>
      <c r="T186" s="1307"/>
      <c r="U186" s="1483"/>
      <c r="V186" s="1483"/>
      <c r="W186" s="1484"/>
      <c r="X186" s="1285"/>
      <c r="Y186" s="1285"/>
      <c r="Z186" s="1480"/>
    </row>
    <row r="187" spans="1:26" ht="17.25" thickBot="1">
      <c r="A187" s="1416">
        <v>182</v>
      </c>
      <c r="B187" s="2959" t="s">
        <v>4270</v>
      </c>
      <c r="C187" s="2960"/>
      <c r="D187" s="2960"/>
      <c r="E187" s="1289"/>
      <c r="F187" s="1289"/>
      <c r="G187" s="1290"/>
      <c r="H187" s="1290"/>
      <c r="I187" s="1290"/>
      <c r="J187" s="1290"/>
      <c r="K187" s="1291"/>
      <c r="L187" s="1291"/>
      <c r="M187" s="1291"/>
      <c r="N187" s="1308">
        <f>N137+N144+N151+N158+N165+N172+N179+N186</f>
        <v>0</v>
      </c>
      <c r="O187" s="1308">
        <f>O137+O144+O151+O158+O165+O172+O179+O186</f>
        <v>0</v>
      </c>
      <c r="P187" s="1308">
        <f>P137+P144+P151+P158+P165+P172+P179+P186</f>
        <v>0</v>
      </c>
      <c r="Q187" s="1291"/>
      <c r="R187" s="1308">
        <f>R137+R144+R151+R158+R165+R172+R179+R186</f>
        <v>0</v>
      </c>
      <c r="S187" s="1309"/>
      <c r="T187" s="1293"/>
      <c r="U187" s="1485"/>
      <c r="V187" s="1485"/>
      <c r="W187" s="1422"/>
      <c r="X187" s="1291"/>
      <c r="Y187" s="1291"/>
      <c r="Z187" s="1481"/>
    </row>
    <row r="188" spans="1:26" ht="16.5" customHeight="1">
      <c r="A188" s="1482">
        <v>183</v>
      </c>
      <c r="B188" s="2961" t="s">
        <v>4271</v>
      </c>
      <c r="C188" s="2964" t="s">
        <v>4265</v>
      </c>
      <c r="D188" s="2987" t="s">
        <v>4335</v>
      </c>
      <c r="E188" s="1255"/>
      <c r="F188" s="1255"/>
      <c r="G188" s="1256"/>
      <c r="H188" s="1256"/>
      <c r="I188" s="1256"/>
      <c r="J188" s="1256"/>
      <c r="K188" s="1257"/>
      <c r="L188" s="1257"/>
      <c r="M188" s="1257"/>
      <c r="N188" s="1257"/>
      <c r="O188" s="1257"/>
      <c r="P188" s="1259"/>
      <c r="Q188" s="1257"/>
      <c r="R188" s="1257"/>
      <c r="S188" s="1295"/>
      <c r="T188" s="1296"/>
      <c r="U188" s="1408"/>
      <c r="V188" s="1408"/>
      <c r="W188" s="1409"/>
      <c r="X188" s="1257"/>
      <c r="Y188" s="1257"/>
      <c r="Z188" s="1260"/>
    </row>
    <row r="189" spans="1:26" ht="16.5" customHeight="1">
      <c r="A189" s="1380">
        <v>184</v>
      </c>
      <c r="B189" s="2985"/>
      <c r="C189" s="2965"/>
      <c r="D189" s="2968"/>
      <c r="E189" s="1262"/>
      <c r="F189" s="1262"/>
      <c r="G189" s="1263"/>
      <c r="H189" s="1263"/>
      <c r="I189" s="1263"/>
      <c r="J189" s="1263"/>
      <c r="K189" s="1264"/>
      <c r="L189" s="1264"/>
      <c r="M189" s="1264"/>
      <c r="N189" s="1264"/>
      <c r="O189" s="1264"/>
      <c r="P189" s="1266"/>
      <c r="Q189" s="1264"/>
      <c r="R189" s="1264"/>
      <c r="S189" s="1271"/>
      <c r="T189" s="1272"/>
      <c r="U189" s="1397"/>
      <c r="V189" s="1397"/>
      <c r="W189" s="1377"/>
      <c r="X189" s="1264"/>
      <c r="Y189" s="1264"/>
      <c r="Z189" s="1267"/>
    </row>
    <row r="190" spans="1:26" ht="16.5" customHeight="1">
      <c r="A190" s="1380">
        <v>185</v>
      </c>
      <c r="B190" s="2985"/>
      <c r="C190" s="2965"/>
      <c r="D190" s="2968"/>
      <c r="E190" s="1262"/>
      <c r="F190" s="1262"/>
      <c r="G190" s="1263"/>
      <c r="H190" s="1263"/>
      <c r="I190" s="1263"/>
      <c r="J190" s="1263"/>
      <c r="K190" s="1264"/>
      <c r="L190" s="1264"/>
      <c r="M190" s="1264"/>
      <c r="N190" s="1264"/>
      <c r="O190" s="1264"/>
      <c r="P190" s="1266"/>
      <c r="Q190" s="1264"/>
      <c r="R190" s="1264"/>
      <c r="S190" s="1271"/>
      <c r="T190" s="1272"/>
      <c r="U190" s="1397"/>
      <c r="V190" s="1397"/>
      <c r="W190" s="1377"/>
      <c r="X190" s="1264"/>
      <c r="Y190" s="1264"/>
      <c r="Z190" s="1267"/>
    </row>
    <row r="191" spans="1:26" ht="16.5" customHeight="1">
      <c r="A191" s="1380">
        <v>186</v>
      </c>
      <c r="B191" s="2985"/>
      <c r="C191" s="2965"/>
      <c r="D191" s="2968"/>
      <c r="E191" s="1262"/>
      <c r="F191" s="1262"/>
      <c r="G191" s="1263"/>
      <c r="H191" s="1263"/>
      <c r="I191" s="1263"/>
      <c r="J191" s="1263"/>
      <c r="K191" s="1264"/>
      <c r="L191" s="1264"/>
      <c r="M191" s="1264"/>
      <c r="N191" s="1264"/>
      <c r="O191" s="1264"/>
      <c r="P191" s="1266"/>
      <c r="Q191" s="1264"/>
      <c r="R191" s="1264"/>
      <c r="S191" s="1271"/>
      <c r="T191" s="1272"/>
      <c r="U191" s="1397"/>
      <c r="V191" s="1397"/>
      <c r="W191" s="1377"/>
      <c r="X191" s="1264"/>
      <c r="Y191" s="1264"/>
      <c r="Z191" s="1267"/>
    </row>
    <row r="192" spans="1:26" ht="16.5" customHeight="1">
      <c r="A192" s="1380">
        <v>187</v>
      </c>
      <c r="B192" s="2985"/>
      <c r="C192" s="2965"/>
      <c r="D192" s="2968"/>
      <c r="E192" s="1262"/>
      <c r="F192" s="1262"/>
      <c r="G192" s="1263"/>
      <c r="H192" s="1263"/>
      <c r="I192" s="1263"/>
      <c r="J192" s="1263"/>
      <c r="K192" s="1264"/>
      <c r="L192" s="1264"/>
      <c r="M192" s="1264"/>
      <c r="N192" s="1264"/>
      <c r="O192" s="1264"/>
      <c r="P192" s="1266"/>
      <c r="Q192" s="1264"/>
      <c r="R192" s="1264"/>
      <c r="S192" s="1271"/>
      <c r="T192" s="1272"/>
      <c r="U192" s="1397"/>
      <c r="V192" s="1397"/>
      <c r="W192" s="1377"/>
      <c r="X192" s="1264"/>
      <c r="Y192" s="1264"/>
      <c r="Z192" s="1267"/>
    </row>
    <row r="193" spans="1:26" ht="16.5" customHeight="1">
      <c r="A193" s="1380">
        <v>188</v>
      </c>
      <c r="B193" s="2985"/>
      <c r="C193" s="2965"/>
      <c r="D193" s="2968"/>
      <c r="E193" s="1262"/>
      <c r="F193" s="1262"/>
      <c r="G193" s="1263"/>
      <c r="H193" s="1263"/>
      <c r="I193" s="1263"/>
      <c r="J193" s="1263"/>
      <c r="K193" s="1264"/>
      <c r="L193" s="1264"/>
      <c r="M193" s="1264"/>
      <c r="N193" s="1264"/>
      <c r="O193" s="1264"/>
      <c r="P193" s="1266"/>
      <c r="Q193" s="1264"/>
      <c r="R193" s="1264"/>
      <c r="S193" s="1271"/>
      <c r="T193" s="1272"/>
      <c r="U193" s="1397"/>
      <c r="V193" s="1397"/>
      <c r="W193" s="1377"/>
      <c r="X193" s="1264"/>
      <c r="Y193" s="1264"/>
      <c r="Z193" s="1267"/>
    </row>
    <row r="194" spans="1:26" ht="16.5" customHeight="1">
      <c r="A194" s="1380">
        <v>189</v>
      </c>
      <c r="B194" s="2985"/>
      <c r="C194" s="2965"/>
      <c r="D194" s="1457" t="s">
        <v>4305</v>
      </c>
      <c r="E194" s="1271"/>
      <c r="F194" s="1271"/>
      <c r="G194" s="1271"/>
      <c r="H194" s="1271"/>
      <c r="I194" s="1271"/>
      <c r="J194" s="1271"/>
      <c r="K194" s="1271"/>
      <c r="L194" s="1271"/>
      <c r="M194" s="1271"/>
      <c r="N194" s="1264">
        <f>SUM(N188:N193)</f>
        <v>0</v>
      </c>
      <c r="O194" s="1264">
        <f>SUM(O188:O193)</f>
        <v>0</v>
      </c>
      <c r="P194" s="1264">
        <f>SUM(P188:P193)</f>
        <v>0</v>
      </c>
      <c r="Q194" s="1271"/>
      <c r="R194" s="1264">
        <f>SUM(R188:R193)</f>
        <v>0</v>
      </c>
      <c r="S194" s="1271"/>
      <c r="T194" s="1272"/>
      <c r="U194" s="1397"/>
      <c r="V194" s="1397"/>
      <c r="W194" s="1377"/>
      <c r="X194" s="1271"/>
      <c r="Y194" s="1271"/>
      <c r="Z194" s="1450"/>
    </row>
    <row r="195" spans="1:26" ht="16.5" customHeight="1">
      <c r="A195" s="1380">
        <v>190</v>
      </c>
      <c r="B195" s="2985"/>
      <c r="C195" s="2965"/>
      <c r="D195" s="2968" t="s">
        <v>4336</v>
      </c>
      <c r="E195" s="1262"/>
      <c r="F195" s="1262"/>
      <c r="G195" s="1263"/>
      <c r="H195" s="1263"/>
      <c r="I195" s="1263"/>
      <c r="J195" s="1263"/>
      <c r="K195" s="1264"/>
      <c r="L195" s="1264"/>
      <c r="M195" s="1264"/>
      <c r="N195" s="1264"/>
      <c r="O195" s="1264"/>
      <c r="P195" s="1266"/>
      <c r="Q195" s="1264"/>
      <c r="R195" s="1264"/>
      <c r="S195" s="1271"/>
      <c r="T195" s="1272"/>
      <c r="U195" s="1397"/>
      <c r="V195" s="1397"/>
      <c r="W195" s="1377"/>
      <c r="X195" s="1264"/>
      <c r="Y195" s="1264"/>
      <c r="Z195" s="1267"/>
    </row>
    <row r="196" spans="1:26" ht="16.5" customHeight="1">
      <c r="A196" s="1380">
        <v>191</v>
      </c>
      <c r="B196" s="2985"/>
      <c r="C196" s="2965"/>
      <c r="D196" s="2968"/>
      <c r="E196" s="1262"/>
      <c r="F196" s="1262"/>
      <c r="G196" s="1263"/>
      <c r="H196" s="1263"/>
      <c r="I196" s="1263"/>
      <c r="J196" s="1263"/>
      <c r="K196" s="1264"/>
      <c r="L196" s="1264"/>
      <c r="M196" s="1264"/>
      <c r="N196" s="1264"/>
      <c r="O196" s="1264"/>
      <c r="P196" s="1266"/>
      <c r="Q196" s="1264"/>
      <c r="R196" s="1264"/>
      <c r="S196" s="1271"/>
      <c r="T196" s="1272"/>
      <c r="U196" s="1397"/>
      <c r="V196" s="1397"/>
      <c r="W196" s="1377"/>
      <c r="X196" s="1264"/>
      <c r="Y196" s="1264"/>
      <c r="Z196" s="1267"/>
    </row>
    <row r="197" spans="1:26" ht="16.5" customHeight="1">
      <c r="A197" s="1380">
        <v>192</v>
      </c>
      <c r="B197" s="2985"/>
      <c r="C197" s="2965"/>
      <c r="D197" s="2968"/>
      <c r="E197" s="1262"/>
      <c r="F197" s="1262"/>
      <c r="G197" s="1263"/>
      <c r="H197" s="1263"/>
      <c r="I197" s="1263"/>
      <c r="J197" s="1263"/>
      <c r="K197" s="1264"/>
      <c r="L197" s="1264"/>
      <c r="M197" s="1264"/>
      <c r="N197" s="1264"/>
      <c r="O197" s="1264"/>
      <c r="P197" s="1266"/>
      <c r="Q197" s="1264"/>
      <c r="R197" s="1264"/>
      <c r="S197" s="1271"/>
      <c r="T197" s="1272"/>
      <c r="U197" s="1397"/>
      <c r="V197" s="1397"/>
      <c r="W197" s="1377"/>
      <c r="X197" s="1264"/>
      <c r="Y197" s="1264"/>
      <c r="Z197" s="1267"/>
    </row>
    <row r="198" spans="1:26" ht="16.5" customHeight="1">
      <c r="A198" s="1380">
        <v>193</v>
      </c>
      <c r="B198" s="2985"/>
      <c r="C198" s="2965"/>
      <c r="D198" s="2968"/>
      <c r="E198" s="1262"/>
      <c r="F198" s="1262"/>
      <c r="G198" s="1263"/>
      <c r="H198" s="1263"/>
      <c r="I198" s="1263"/>
      <c r="J198" s="1263"/>
      <c r="K198" s="1264"/>
      <c r="L198" s="1264"/>
      <c r="M198" s="1264"/>
      <c r="N198" s="1264"/>
      <c r="O198" s="1264"/>
      <c r="P198" s="1266"/>
      <c r="Q198" s="1264"/>
      <c r="R198" s="1264"/>
      <c r="S198" s="1271"/>
      <c r="T198" s="1272"/>
      <c r="U198" s="1397"/>
      <c r="V198" s="1397"/>
      <c r="W198" s="1377"/>
      <c r="X198" s="1264"/>
      <c r="Y198" s="1264"/>
      <c r="Z198" s="1267"/>
    </row>
    <row r="199" spans="1:26">
      <c r="A199" s="1380">
        <v>194</v>
      </c>
      <c r="B199" s="2985"/>
      <c r="C199" s="2965"/>
      <c r="D199" s="2968"/>
      <c r="E199" s="1262"/>
      <c r="F199" s="1262"/>
      <c r="G199" s="1263"/>
      <c r="H199" s="1263"/>
      <c r="I199" s="1263"/>
      <c r="J199" s="1263"/>
      <c r="K199" s="1264"/>
      <c r="L199" s="1264"/>
      <c r="M199" s="1264"/>
      <c r="N199" s="1264"/>
      <c r="O199" s="1264"/>
      <c r="P199" s="1266"/>
      <c r="Q199" s="1264"/>
      <c r="R199" s="1264"/>
      <c r="S199" s="1271"/>
      <c r="T199" s="1272"/>
      <c r="U199" s="1397"/>
      <c r="V199" s="1397"/>
      <c r="W199" s="1377"/>
      <c r="X199" s="1264"/>
      <c r="Y199" s="1264"/>
      <c r="Z199" s="1267"/>
    </row>
    <row r="200" spans="1:26">
      <c r="A200" s="1380">
        <v>195</v>
      </c>
      <c r="B200" s="2985"/>
      <c r="C200" s="2965"/>
      <c r="D200" s="2968"/>
      <c r="E200" s="1262"/>
      <c r="F200" s="1262"/>
      <c r="G200" s="1263"/>
      <c r="H200" s="1263"/>
      <c r="I200" s="1263"/>
      <c r="J200" s="1263"/>
      <c r="K200" s="1264"/>
      <c r="L200" s="1264"/>
      <c r="M200" s="1264"/>
      <c r="N200" s="1264"/>
      <c r="O200" s="1264"/>
      <c r="P200" s="1266"/>
      <c r="Q200" s="1264"/>
      <c r="R200" s="1264"/>
      <c r="S200" s="1271"/>
      <c r="T200" s="1272"/>
      <c r="U200" s="1397"/>
      <c r="V200" s="1397"/>
      <c r="W200" s="1377"/>
      <c r="X200" s="1264"/>
      <c r="Y200" s="1264"/>
      <c r="Z200" s="1267"/>
    </row>
    <row r="201" spans="1:26" ht="17.25" thickBot="1">
      <c r="A201" s="1380">
        <v>196</v>
      </c>
      <c r="B201" s="2985"/>
      <c r="C201" s="2966"/>
      <c r="D201" s="1363" t="s">
        <v>3514</v>
      </c>
      <c r="E201" s="1276"/>
      <c r="F201" s="1276"/>
      <c r="G201" s="1276"/>
      <c r="H201" s="1276"/>
      <c r="I201" s="1276"/>
      <c r="J201" s="1276"/>
      <c r="K201" s="1276"/>
      <c r="L201" s="1276"/>
      <c r="M201" s="1276"/>
      <c r="N201" s="1275">
        <f>SUM(N195:N200)</f>
        <v>0</v>
      </c>
      <c r="O201" s="1275">
        <f>SUM(O195:O200)</f>
        <v>0</v>
      </c>
      <c r="P201" s="1275">
        <f>SUM(P195:P200)</f>
        <v>0</v>
      </c>
      <c r="Q201" s="1276"/>
      <c r="R201" s="1275">
        <f>SUM(R195:R200)</f>
        <v>0</v>
      </c>
      <c r="S201" s="1276"/>
      <c r="T201" s="1299"/>
      <c r="U201" s="1379"/>
      <c r="V201" s="1379"/>
      <c r="W201" s="1426"/>
      <c r="X201" s="1276"/>
      <c r="Y201" s="1276"/>
      <c r="Z201" s="1453"/>
    </row>
    <row r="202" spans="1:26" ht="16.5" customHeight="1">
      <c r="A202" s="1380">
        <v>197</v>
      </c>
      <c r="B202" s="2985"/>
      <c r="C202" s="2988" t="s">
        <v>4260</v>
      </c>
      <c r="D202" s="2991" t="s">
        <v>4268</v>
      </c>
      <c r="E202" s="1255"/>
      <c r="F202" s="1255"/>
      <c r="G202" s="1256"/>
      <c r="H202" s="1256"/>
      <c r="I202" s="1256"/>
      <c r="J202" s="1256"/>
      <c r="K202" s="1257"/>
      <c r="L202" s="1257"/>
      <c r="M202" s="1257"/>
      <c r="N202" s="1257"/>
      <c r="O202" s="1257"/>
      <c r="P202" s="1259"/>
      <c r="Q202" s="1257"/>
      <c r="R202" s="1257"/>
      <c r="S202" s="1300"/>
      <c r="T202" s="1296"/>
      <c r="U202" s="1427"/>
      <c r="V202" s="1427"/>
      <c r="W202" s="1409"/>
      <c r="X202" s="1257"/>
      <c r="Y202" s="1257"/>
      <c r="Z202" s="1260"/>
    </row>
    <row r="203" spans="1:26">
      <c r="A203" s="1380">
        <v>198</v>
      </c>
      <c r="B203" s="2985"/>
      <c r="C203" s="2989"/>
      <c r="D203" s="2992"/>
      <c r="E203" s="1262"/>
      <c r="F203" s="1262"/>
      <c r="G203" s="1263"/>
      <c r="H203" s="1263"/>
      <c r="I203" s="1263"/>
      <c r="J203" s="1263"/>
      <c r="K203" s="1264"/>
      <c r="L203" s="1264"/>
      <c r="M203" s="1264"/>
      <c r="N203" s="1264"/>
      <c r="O203" s="1264"/>
      <c r="P203" s="1266"/>
      <c r="Q203" s="1266"/>
      <c r="R203" s="1264"/>
      <c r="S203" s="1271"/>
      <c r="T203" s="1301"/>
      <c r="U203" s="1397"/>
      <c r="V203" s="1397"/>
      <c r="W203" s="1428"/>
      <c r="X203" s="1264"/>
      <c r="Y203" s="1264"/>
      <c r="Z203" s="1267"/>
    </row>
    <row r="204" spans="1:26">
      <c r="A204" s="1380">
        <v>199</v>
      </c>
      <c r="B204" s="2985"/>
      <c r="C204" s="2989"/>
      <c r="D204" s="2992"/>
      <c r="E204" s="1262"/>
      <c r="F204" s="1262"/>
      <c r="G204" s="1263"/>
      <c r="H204" s="1263"/>
      <c r="I204" s="1263"/>
      <c r="J204" s="1263"/>
      <c r="K204" s="1264"/>
      <c r="L204" s="1264"/>
      <c r="M204" s="1264"/>
      <c r="N204" s="1264"/>
      <c r="O204" s="1264"/>
      <c r="P204" s="1266"/>
      <c r="Q204" s="1266"/>
      <c r="R204" s="1264"/>
      <c r="S204" s="1271"/>
      <c r="T204" s="1301"/>
      <c r="U204" s="1397"/>
      <c r="V204" s="1397"/>
      <c r="W204" s="1428"/>
      <c r="X204" s="1264"/>
      <c r="Y204" s="1264"/>
      <c r="Z204" s="1267"/>
    </row>
    <row r="205" spans="1:26">
      <c r="A205" s="1380">
        <v>200</v>
      </c>
      <c r="B205" s="2985"/>
      <c r="C205" s="2989"/>
      <c r="D205" s="2992"/>
      <c r="E205" s="1262"/>
      <c r="F205" s="1262"/>
      <c r="G205" s="1263"/>
      <c r="H205" s="1263"/>
      <c r="I205" s="1263"/>
      <c r="J205" s="1263"/>
      <c r="K205" s="1264"/>
      <c r="L205" s="1264"/>
      <c r="M205" s="1264"/>
      <c r="N205" s="1264"/>
      <c r="O205" s="1264"/>
      <c r="P205" s="1266"/>
      <c r="Q205" s="1266"/>
      <c r="R205" s="1264"/>
      <c r="S205" s="1271"/>
      <c r="T205" s="1301"/>
      <c r="U205" s="1397"/>
      <c r="V205" s="1397"/>
      <c r="W205" s="1428"/>
      <c r="X205" s="1264"/>
      <c r="Y205" s="1264"/>
      <c r="Z205" s="1267"/>
    </row>
    <row r="206" spans="1:26">
      <c r="A206" s="1380">
        <v>201</v>
      </c>
      <c r="B206" s="2985"/>
      <c r="C206" s="2989"/>
      <c r="D206" s="2992"/>
      <c r="E206" s="1262"/>
      <c r="F206" s="1262"/>
      <c r="G206" s="1263"/>
      <c r="H206" s="1263"/>
      <c r="I206" s="1263"/>
      <c r="J206" s="1263"/>
      <c r="K206" s="1264"/>
      <c r="L206" s="1264"/>
      <c r="M206" s="1264"/>
      <c r="N206" s="1264"/>
      <c r="O206" s="1264"/>
      <c r="P206" s="1266"/>
      <c r="Q206" s="1266"/>
      <c r="R206" s="1264"/>
      <c r="S206" s="1271"/>
      <c r="T206" s="1301"/>
      <c r="U206" s="1397"/>
      <c r="V206" s="1397"/>
      <c r="W206" s="1428"/>
      <c r="X206" s="1264"/>
      <c r="Y206" s="1264"/>
      <c r="Z206" s="1267"/>
    </row>
    <row r="207" spans="1:26">
      <c r="A207" s="1380">
        <v>202</v>
      </c>
      <c r="B207" s="2985"/>
      <c r="C207" s="2989"/>
      <c r="D207" s="2992"/>
      <c r="E207" s="1262"/>
      <c r="F207" s="1262"/>
      <c r="G207" s="1263"/>
      <c r="H207" s="1263"/>
      <c r="I207" s="1263"/>
      <c r="J207" s="1263"/>
      <c r="K207" s="1264"/>
      <c r="L207" s="1264"/>
      <c r="M207" s="1264"/>
      <c r="N207" s="1264"/>
      <c r="O207" s="1264"/>
      <c r="P207" s="1266"/>
      <c r="Q207" s="1266"/>
      <c r="R207" s="1264"/>
      <c r="S207" s="1271"/>
      <c r="T207" s="1301"/>
      <c r="U207" s="1397"/>
      <c r="V207" s="1397"/>
      <c r="W207" s="1428"/>
      <c r="X207" s="1264"/>
      <c r="Y207" s="1264"/>
      <c r="Z207" s="1267"/>
    </row>
    <row r="208" spans="1:26">
      <c r="A208" s="1380">
        <v>203</v>
      </c>
      <c r="B208" s="2985"/>
      <c r="C208" s="2989"/>
      <c r="D208" s="1297" t="s">
        <v>3514</v>
      </c>
      <c r="E208" s="1271"/>
      <c r="F208" s="1271"/>
      <c r="G208" s="1271"/>
      <c r="H208" s="1271"/>
      <c r="I208" s="1271"/>
      <c r="J208" s="1271"/>
      <c r="K208" s="1271"/>
      <c r="L208" s="1271"/>
      <c r="M208" s="1271"/>
      <c r="N208" s="1264">
        <f>SUM(N202:N207)</f>
        <v>0</v>
      </c>
      <c r="O208" s="1264">
        <f>SUM(O202:O207)</f>
        <v>0</v>
      </c>
      <c r="P208" s="1264">
        <f>SUM(P202:P207)</f>
        <v>0</v>
      </c>
      <c r="Q208" s="1271"/>
      <c r="R208" s="1264">
        <f>SUM(R202:R207)</f>
        <v>0</v>
      </c>
      <c r="S208" s="1271"/>
      <c r="T208" s="1301"/>
      <c r="U208" s="1397"/>
      <c r="V208" s="1397"/>
      <c r="W208" s="1428"/>
      <c r="X208" s="1271"/>
      <c r="Y208" s="1271"/>
      <c r="Z208" s="1450"/>
    </row>
    <row r="209" spans="1:26" ht="17.649999999999999" customHeight="1">
      <c r="A209" s="1380">
        <v>204</v>
      </c>
      <c r="B209" s="2985"/>
      <c r="C209" s="2989"/>
      <c r="D209" s="2978" t="s">
        <v>4335</v>
      </c>
      <c r="E209" s="1262"/>
      <c r="F209" s="1262"/>
      <c r="G209" s="1263"/>
      <c r="H209" s="1263"/>
      <c r="I209" s="1263"/>
      <c r="J209" s="1263"/>
      <c r="K209" s="1264"/>
      <c r="L209" s="1264"/>
      <c r="M209" s="1264"/>
      <c r="N209" s="1264"/>
      <c r="O209" s="1264"/>
      <c r="P209" s="1266"/>
      <c r="Q209" s="1266"/>
      <c r="R209" s="1264"/>
      <c r="S209" s="1271"/>
      <c r="T209" s="1301"/>
      <c r="U209" s="1397"/>
      <c r="V209" s="1397"/>
      <c r="W209" s="1428"/>
      <c r="X209" s="1264"/>
      <c r="Y209" s="1264"/>
      <c r="Z209" s="1267"/>
    </row>
    <row r="210" spans="1:26">
      <c r="A210" s="1380">
        <v>205</v>
      </c>
      <c r="B210" s="2985"/>
      <c r="C210" s="2989"/>
      <c r="D210" s="2978"/>
      <c r="E210" s="1262"/>
      <c r="F210" s="1262"/>
      <c r="G210" s="1263"/>
      <c r="H210" s="1263"/>
      <c r="I210" s="1263"/>
      <c r="J210" s="1263"/>
      <c r="K210" s="1264"/>
      <c r="L210" s="1264"/>
      <c r="M210" s="1264"/>
      <c r="N210" s="1264"/>
      <c r="O210" s="1264"/>
      <c r="P210" s="1266"/>
      <c r="Q210" s="1266"/>
      <c r="R210" s="1264"/>
      <c r="S210" s="1271"/>
      <c r="T210" s="1301"/>
      <c r="U210" s="1397"/>
      <c r="V210" s="1397"/>
      <c r="W210" s="1428"/>
      <c r="X210" s="1264"/>
      <c r="Y210" s="1264"/>
      <c r="Z210" s="1267"/>
    </row>
    <row r="211" spans="1:26">
      <c r="A211" s="1380">
        <v>206</v>
      </c>
      <c r="B211" s="2985"/>
      <c r="C211" s="2989"/>
      <c r="D211" s="2978"/>
      <c r="E211" s="1262"/>
      <c r="F211" s="1262"/>
      <c r="G211" s="1263"/>
      <c r="H211" s="1263"/>
      <c r="I211" s="1263"/>
      <c r="J211" s="1263"/>
      <c r="K211" s="1264"/>
      <c r="L211" s="1264"/>
      <c r="M211" s="1264"/>
      <c r="N211" s="1264"/>
      <c r="O211" s="1264"/>
      <c r="P211" s="1266"/>
      <c r="Q211" s="1266"/>
      <c r="R211" s="1264"/>
      <c r="S211" s="1271"/>
      <c r="T211" s="1301"/>
      <c r="U211" s="1397"/>
      <c r="V211" s="1397"/>
      <c r="W211" s="1428"/>
      <c r="X211" s="1264"/>
      <c r="Y211" s="1264"/>
      <c r="Z211" s="1267"/>
    </row>
    <row r="212" spans="1:26">
      <c r="A212" s="1380">
        <v>207</v>
      </c>
      <c r="B212" s="2985"/>
      <c r="C212" s="2989"/>
      <c r="D212" s="2978"/>
      <c r="E212" s="1262"/>
      <c r="F212" s="1262"/>
      <c r="G212" s="1263"/>
      <c r="H212" s="1263"/>
      <c r="I212" s="1263"/>
      <c r="J212" s="1263"/>
      <c r="K212" s="1264"/>
      <c r="L212" s="1264"/>
      <c r="M212" s="1264"/>
      <c r="N212" s="1264"/>
      <c r="O212" s="1264"/>
      <c r="P212" s="1266"/>
      <c r="Q212" s="1266"/>
      <c r="R212" s="1264"/>
      <c r="S212" s="1271"/>
      <c r="T212" s="1301"/>
      <c r="U212" s="1397"/>
      <c r="V212" s="1397"/>
      <c r="W212" s="1428"/>
      <c r="X212" s="1264"/>
      <c r="Y212" s="1264"/>
      <c r="Z212" s="1267"/>
    </row>
    <row r="213" spans="1:26">
      <c r="A213" s="1380">
        <v>208</v>
      </c>
      <c r="B213" s="2985"/>
      <c r="C213" s="2989"/>
      <c r="D213" s="2978"/>
      <c r="E213" s="1262"/>
      <c r="F213" s="1262"/>
      <c r="G213" s="1263"/>
      <c r="H213" s="1263"/>
      <c r="I213" s="1263"/>
      <c r="J213" s="1263"/>
      <c r="K213" s="1264"/>
      <c r="L213" s="1264"/>
      <c r="M213" s="1264"/>
      <c r="N213" s="1264"/>
      <c r="O213" s="1264"/>
      <c r="P213" s="1266"/>
      <c r="Q213" s="1266"/>
      <c r="R213" s="1264"/>
      <c r="S213" s="1271"/>
      <c r="T213" s="1301"/>
      <c r="U213" s="1397"/>
      <c r="V213" s="1397"/>
      <c r="W213" s="1428"/>
      <c r="X213" s="1264"/>
      <c r="Y213" s="1264"/>
      <c r="Z213" s="1267"/>
    </row>
    <row r="214" spans="1:26">
      <c r="A214" s="1380">
        <v>209</v>
      </c>
      <c r="B214" s="2985"/>
      <c r="C214" s="2989"/>
      <c r="D214" s="2978"/>
      <c r="E214" s="1262"/>
      <c r="F214" s="1262"/>
      <c r="G214" s="1263"/>
      <c r="H214" s="1263"/>
      <c r="I214" s="1263"/>
      <c r="J214" s="1263"/>
      <c r="K214" s="1264"/>
      <c r="L214" s="1264"/>
      <c r="M214" s="1264"/>
      <c r="N214" s="1264"/>
      <c r="O214" s="1264"/>
      <c r="P214" s="1266"/>
      <c r="Q214" s="1266"/>
      <c r="R214" s="1264"/>
      <c r="S214" s="1271"/>
      <c r="T214" s="1301"/>
      <c r="U214" s="1397"/>
      <c r="V214" s="1397"/>
      <c r="W214" s="1428"/>
      <c r="X214" s="1264"/>
      <c r="Y214" s="1264"/>
      <c r="Z214" s="1267"/>
    </row>
    <row r="215" spans="1:26">
      <c r="A215" s="1380">
        <v>210</v>
      </c>
      <c r="B215" s="2985"/>
      <c r="C215" s="2989"/>
      <c r="D215" s="1457" t="s">
        <v>4305</v>
      </c>
      <c r="E215" s="1271"/>
      <c r="F215" s="1271"/>
      <c r="G215" s="1271"/>
      <c r="H215" s="1271"/>
      <c r="I215" s="1271"/>
      <c r="J215" s="1271"/>
      <c r="K215" s="1271"/>
      <c r="L215" s="1271"/>
      <c r="M215" s="1271"/>
      <c r="N215" s="1264">
        <f>SUM(N209:N214)</f>
        <v>0</v>
      </c>
      <c r="O215" s="1264">
        <f>SUM(O209:O214)</f>
        <v>0</v>
      </c>
      <c r="P215" s="1264">
        <f>SUM(P209:P214)</f>
        <v>0</v>
      </c>
      <c r="Q215" s="1271"/>
      <c r="R215" s="1264">
        <f>SUM(R209:R214)</f>
        <v>0</v>
      </c>
      <c r="S215" s="1271"/>
      <c r="T215" s="1301"/>
      <c r="U215" s="1397"/>
      <c r="V215" s="1397"/>
      <c r="W215" s="1428"/>
      <c r="X215" s="1271"/>
      <c r="Y215" s="1271"/>
      <c r="Z215" s="1450"/>
    </row>
    <row r="216" spans="1:26" ht="16.5" customHeight="1">
      <c r="A216" s="1380">
        <v>211</v>
      </c>
      <c r="B216" s="2985"/>
      <c r="C216" s="2989"/>
      <c r="D216" s="2978" t="s">
        <v>4336</v>
      </c>
      <c r="E216" s="1262"/>
      <c r="F216" s="1262"/>
      <c r="G216" s="1263"/>
      <c r="H216" s="1263"/>
      <c r="I216" s="1263"/>
      <c r="J216" s="1263"/>
      <c r="K216" s="1264"/>
      <c r="L216" s="1264"/>
      <c r="M216" s="1264"/>
      <c r="N216" s="1264"/>
      <c r="O216" s="1264"/>
      <c r="P216" s="1266"/>
      <c r="Q216" s="1266"/>
      <c r="R216" s="1264"/>
      <c r="S216" s="1271"/>
      <c r="T216" s="1301"/>
      <c r="U216" s="1397"/>
      <c r="V216" s="1397"/>
      <c r="W216" s="1428"/>
      <c r="X216" s="1264"/>
      <c r="Y216" s="1264"/>
      <c r="Z216" s="1267"/>
    </row>
    <row r="217" spans="1:26" ht="15.75" customHeight="1">
      <c r="A217" s="1380">
        <v>212</v>
      </c>
      <c r="B217" s="2985"/>
      <c r="C217" s="2989"/>
      <c r="D217" s="2978"/>
      <c r="E217" s="1262"/>
      <c r="F217" s="1262"/>
      <c r="G217" s="1263"/>
      <c r="H217" s="1263"/>
      <c r="I217" s="1263"/>
      <c r="J217" s="1263"/>
      <c r="K217" s="1264"/>
      <c r="L217" s="1264"/>
      <c r="M217" s="1264"/>
      <c r="N217" s="1264"/>
      <c r="O217" s="1264"/>
      <c r="P217" s="1266"/>
      <c r="Q217" s="1264"/>
      <c r="R217" s="1264"/>
      <c r="S217" s="1271"/>
      <c r="T217" s="1272"/>
      <c r="U217" s="1397"/>
      <c r="V217" s="1397"/>
      <c r="W217" s="1377"/>
      <c r="X217" s="1264"/>
      <c r="Y217" s="1264"/>
      <c r="Z217" s="1267"/>
    </row>
    <row r="218" spans="1:26" ht="15.75" customHeight="1">
      <c r="A218" s="1380">
        <v>213</v>
      </c>
      <c r="B218" s="2985"/>
      <c r="C218" s="2989"/>
      <c r="D218" s="2978"/>
      <c r="E218" s="1262"/>
      <c r="F218" s="1262"/>
      <c r="G218" s="1263"/>
      <c r="H218" s="1263"/>
      <c r="I218" s="1263"/>
      <c r="J218" s="1263"/>
      <c r="K218" s="1264"/>
      <c r="L218" s="1264"/>
      <c r="M218" s="1264"/>
      <c r="N218" s="1264"/>
      <c r="O218" s="1264"/>
      <c r="P218" s="1266"/>
      <c r="Q218" s="1264"/>
      <c r="R218" s="1264"/>
      <c r="S218" s="1271"/>
      <c r="T218" s="1272"/>
      <c r="U218" s="1397"/>
      <c r="V218" s="1397"/>
      <c r="W218" s="1377"/>
      <c r="X218" s="1264"/>
      <c r="Y218" s="1264"/>
      <c r="Z218" s="1267"/>
    </row>
    <row r="219" spans="1:26" ht="16.5" customHeight="1">
      <c r="A219" s="1380">
        <v>214</v>
      </c>
      <c r="B219" s="2985"/>
      <c r="C219" s="2989"/>
      <c r="D219" s="2978"/>
      <c r="E219" s="1262"/>
      <c r="F219" s="1262"/>
      <c r="G219" s="1263"/>
      <c r="H219" s="1263"/>
      <c r="I219" s="1263"/>
      <c r="J219" s="1263"/>
      <c r="K219" s="1264"/>
      <c r="L219" s="1264"/>
      <c r="M219" s="1264"/>
      <c r="N219" s="1264"/>
      <c r="O219" s="1264"/>
      <c r="P219" s="1266"/>
      <c r="Q219" s="1264"/>
      <c r="R219" s="1264"/>
      <c r="S219" s="1271"/>
      <c r="T219" s="1272"/>
      <c r="U219" s="1397"/>
      <c r="V219" s="1397"/>
      <c r="W219" s="1377"/>
      <c r="X219" s="1264"/>
      <c r="Y219" s="1264"/>
      <c r="Z219" s="1267"/>
    </row>
    <row r="220" spans="1:26">
      <c r="A220" s="1380">
        <v>215</v>
      </c>
      <c r="B220" s="2985"/>
      <c r="C220" s="2989"/>
      <c r="D220" s="2978"/>
      <c r="E220" s="1262"/>
      <c r="F220" s="1262"/>
      <c r="G220" s="1263"/>
      <c r="H220" s="1263"/>
      <c r="I220" s="1263"/>
      <c r="J220" s="1263"/>
      <c r="K220" s="1264"/>
      <c r="L220" s="1264"/>
      <c r="M220" s="1264"/>
      <c r="N220" s="1264"/>
      <c r="O220" s="1264"/>
      <c r="P220" s="1266"/>
      <c r="Q220" s="1264"/>
      <c r="R220" s="1264"/>
      <c r="S220" s="1271"/>
      <c r="T220" s="1272"/>
      <c r="U220" s="1397"/>
      <c r="V220" s="1397"/>
      <c r="W220" s="1377"/>
      <c r="X220" s="1264"/>
      <c r="Y220" s="1264"/>
      <c r="Z220" s="1267"/>
    </row>
    <row r="221" spans="1:26">
      <c r="A221" s="1380">
        <v>216</v>
      </c>
      <c r="B221" s="2985"/>
      <c r="C221" s="2989"/>
      <c r="D221" s="2978"/>
      <c r="E221" s="1262"/>
      <c r="F221" s="1262"/>
      <c r="G221" s="1263"/>
      <c r="H221" s="1263"/>
      <c r="I221" s="1263"/>
      <c r="J221" s="1263"/>
      <c r="K221" s="1264"/>
      <c r="L221" s="1264"/>
      <c r="M221" s="1264"/>
      <c r="N221" s="1264"/>
      <c r="O221" s="1264"/>
      <c r="P221" s="1266"/>
      <c r="Q221" s="1264"/>
      <c r="R221" s="1264"/>
      <c r="S221" s="1271"/>
      <c r="T221" s="1272"/>
      <c r="U221" s="1397"/>
      <c r="V221" s="1397"/>
      <c r="W221" s="1377"/>
      <c r="X221" s="1264"/>
      <c r="Y221" s="1264"/>
      <c r="Z221" s="1267"/>
    </row>
    <row r="222" spans="1:26" ht="17.25" thickBot="1">
      <c r="A222" s="1380">
        <v>217</v>
      </c>
      <c r="B222" s="2985"/>
      <c r="C222" s="2990"/>
      <c r="D222" s="1363" t="s">
        <v>3514</v>
      </c>
      <c r="E222" s="1276"/>
      <c r="F222" s="1276"/>
      <c r="G222" s="1276"/>
      <c r="H222" s="1276"/>
      <c r="I222" s="1276"/>
      <c r="J222" s="1276"/>
      <c r="K222" s="1276"/>
      <c r="L222" s="1276"/>
      <c r="M222" s="1276"/>
      <c r="N222" s="1275">
        <f>SUM(N216:N221)</f>
        <v>0</v>
      </c>
      <c r="O222" s="1275">
        <f>SUM(O216:O221)</f>
        <v>0</v>
      </c>
      <c r="P222" s="1275">
        <f>SUM(P216:P221)</f>
        <v>0</v>
      </c>
      <c r="Q222" s="1276"/>
      <c r="R222" s="1275">
        <f>SUM(R216:R221)</f>
        <v>0</v>
      </c>
      <c r="S222" s="1276"/>
      <c r="T222" s="1299"/>
      <c r="U222" s="1379"/>
      <c r="V222" s="1379"/>
      <c r="W222" s="1426"/>
      <c r="X222" s="1276"/>
      <c r="Y222" s="1276"/>
      <c r="Z222" s="1453"/>
    </row>
    <row r="223" spans="1:26" ht="16.5" customHeight="1">
      <c r="A223" s="1380">
        <v>218</v>
      </c>
      <c r="B223" s="2985"/>
      <c r="C223" s="2964" t="s">
        <v>4261</v>
      </c>
      <c r="D223" s="2947" t="s">
        <v>4269</v>
      </c>
      <c r="E223" s="1255"/>
      <c r="F223" s="1255"/>
      <c r="G223" s="1256"/>
      <c r="H223" s="1256"/>
      <c r="I223" s="1256"/>
      <c r="J223" s="1256"/>
      <c r="K223" s="1257"/>
      <c r="L223" s="1257"/>
      <c r="M223" s="1257"/>
      <c r="N223" s="1257"/>
      <c r="O223" s="1257"/>
      <c r="P223" s="1259"/>
      <c r="Q223" s="1257"/>
      <c r="R223" s="1257"/>
      <c r="S223" s="1295"/>
      <c r="T223" s="1296"/>
      <c r="U223" s="1408"/>
      <c r="V223" s="1408"/>
      <c r="W223" s="1409"/>
      <c r="X223" s="1257"/>
      <c r="Y223" s="1257"/>
      <c r="Z223" s="1260"/>
    </row>
    <row r="224" spans="1:26">
      <c r="A224" s="1380">
        <v>219</v>
      </c>
      <c r="B224" s="2985"/>
      <c r="C224" s="2965"/>
      <c r="D224" s="2948"/>
      <c r="E224" s="1262"/>
      <c r="F224" s="1262"/>
      <c r="G224" s="1263"/>
      <c r="H224" s="1263"/>
      <c r="I224" s="1263"/>
      <c r="J224" s="1263"/>
      <c r="K224" s="1264"/>
      <c r="L224" s="1264"/>
      <c r="M224" s="1264"/>
      <c r="N224" s="1264"/>
      <c r="O224" s="1264"/>
      <c r="P224" s="1266"/>
      <c r="Q224" s="1264"/>
      <c r="R224" s="1264"/>
      <c r="S224" s="1301"/>
      <c r="T224" s="1272"/>
      <c r="U224" s="1428"/>
      <c r="V224" s="1428"/>
      <c r="W224" s="1377"/>
      <c r="X224" s="1264"/>
      <c r="Y224" s="1264"/>
      <c r="Z224" s="1267"/>
    </row>
    <row r="225" spans="1:26">
      <c r="A225" s="1380">
        <v>220</v>
      </c>
      <c r="B225" s="2985"/>
      <c r="C225" s="2965"/>
      <c r="D225" s="2948"/>
      <c r="E225" s="1262"/>
      <c r="F225" s="1262"/>
      <c r="G225" s="1263"/>
      <c r="H225" s="1263"/>
      <c r="I225" s="1263"/>
      <c r="J225" s="1263"/>
      <c r="K225" s="1264"/>
      <c r="L225" s="1264"/>
      <c r="M225" s="1264"/>
      <c r="N225" s="1264"/>
      <c r="O225" s="1264"/>
      <c r="P225" s="1266"/>
      <c r="Q225" s="1264"/>
      <c r="R225" s="1264"/>
      <c r="S225" s="1301"/>
      <c r="T225" s="1272"/>
      <c r="U225" s="1428"/>
      <c r="V225" s="1428"/>
      <c r="W225" s="1377"/>
      <c r="X225" s="1264"/>
      <c r="Y225" s="1264"/>
      <c r="Z225" s="1267"/>
    </row>
    <row r="226" spans="1:26">
      <c r="A226" s="1380">
        <v>221</v>
      </c>
      <c r="B226" s="2985"/>
      <c r="C226" s="2965"/>
      <c r="D226" s="2948"/>
      <c r="E226" s="1262"/>
      <c r="F226" s="1262"/>
      <c r="G226" s="1263"/>
      <c r="H226" s="1263"/>
      <c r="I226" s="1263"/>
      <c r="J226" s="1263"/>
      <c r="K226" s="1264"/>
      <c r="L226" s="1264"/>
      <c r="M226" s="1264"/>
      <c r="N226" s="1264"/>
      <c r="O226" s="1264"/>
      <c r="P226" s="1266"/>
      <c r="Q226" s="1264"/>
      <c r="R226" s="1264"/>
      <c r="S226" s="1301"/>
      <c r="T226" s="1272"/>
      <c r="U226" s="1428"/>
      <c r="V226" s="1428"/>
      <c r="W226" s="1377"/>
      <c r="X226" s="1264"/>
      <c r="Y226" s="1264"/>
      <c r="Z226" s="1267"/>
    </row>
    <row r="227" spans="1:26">
      <c r="A227" s="1380">
        <v>222</v>
      </c>
      <c r="B227" s="2985"/>
      <c r="C227" s="2965"/>
      <c r="D227" s="2948"/>
      <c r="E227" s="1262"/>
      <c r="F227" s="1262"/>
      <c r="G227" s="1263"/>
      <c r="H227" s="1263"/>
      <c r="I227" s="1263"/>
      <c r="J227" s="1263"/>
      <c r="K227" s="1264"/>
      <c r="L227" s="1264"/>
      <c r="M227" s="1264"/>
      <c r="N227" s="1264"/>
      <c r="O227" s="1264"/>
      <c r="P227" s="1266"/>
      <c r="Q227" s="1264"/>
      <c r="R227" s="1264"/>
      <c r="S227" s="1301"/>
      <c r="T227" s="1272"/>
      <c r="U227" s="1428"/>
      <c r="V227" s="1428"/>
      <c r="W227" s="1377"/>
      <c r="X227" s="1264"/>
      <c r="Y227" s="1264"/>
      <c r="Z227" s="1267"/>
    </row>
    <row r="228" spans="1:26">
      <c r="A228" s="1380">
        <v>223</v>
      </c>
      <c r="B228" s="2985"/>
      <c r="C228" s="2965"/>
      <c r="D228" s="2948"/>
      <c r="E228" s="1262"/>
      <c r="F228" s="1262"/>
      <c r="G228" s="1263"/>
      <c r="H228" s="1263"/>
      <c r="I228" s="1263"/>
      <c r="J228" s="1263"/>
      <c r="K228" s="1264"/>
      <c r="L228" s="1264"/>
      <c r="M228" s="1264"/>
      <c r="N228" s="1264"/>
      <c r="O228" s="1264"/>
      <c r="P228" s="1266"/>
      <c r="Q228" s="1264"/>
      <c r="R228" s="1264"/>
      <c r="S228" s="1301"/>
      <c r="T228" s="1272"/>
      <c r="U228" s="1428"/>
      <c r="V228" s="1428"/>
      <c r="W228" s="1377"/>
      <c r="X228" s="1264"/>
      <c r="Y228" s="1264"/>
      <c r="Z228" s="1267"/>
    </row>
    <row r="229" spans="1:26">
      <c r="A229" s="1380">
        <v>224</v>
      </c>
      <c r="B229" s="2985"/>
      <c r="C229" s="2965"/>
      <c r="D229" s="1279" t="s">
        <v>3514</v>
      </c>
      <c r="E229" s="1271"/>
      <c r="F229" s="1271"/>
      <c r="G229" s="1271"/>
      <c r="H229" s="1271"/>
      <c r="I229" s="1271"/>
      <c r="J229" s="1271"/>
      <c r="K229" s="1271"/>
      <c r="L229" s="1271"/>
      <c r="M229" s="1271"/>
      <c r="N229" s="1264">
        <f>SUM(N223:N228)</f>
        <v>0</v>
      </c>
      <c r="O229" s="1264">
        <f>SUM(O223:O228)</f>
        <v>0</v>
      </c>
      <c r="P229" s="1264">
        <f>SUM(P223:P228)</f>
        <v>0</v>
      </c>
      <c r="Q229" s="1271"/>
      <c r="R229" s="1264">
        <f>SUM(R223:R228)</f>
        <v>0</v>
      </c>
      <c r="S229" s="1301"/>
      <c r="T229" s="1272"/>
      <c r="U229" s="1428"/>
      <c r="V229" s="1428"/>
      <c r="W229" s="1377"/>
      <c r="X229" s="1271"/>
      <c r="Y229" s="1271"/>
      <c r="Z229" s="1450"/>
    </row>
    <row r="230" spans="1:26" ht="16.5" customHeight="1">
      <c r="A230" s="1380">
        <v>225</v>
      </c>
      <c r="B230" s="2985"/>
      <c r="C230" s="2965"/>
      <c r="D230" s="2978" t="s">
        <v>4335</v>
      </c>
      <c r="E230" s="1262"/>
      <c r="F230" s="1262"/>
      <c r="G230" s="1263"/>
      <c r="H230" s="1263"/>
      <c r="I230" s="1263"/>
      <c r="J230" s="1263"/>
      <c r="K230" s="1264"/>
      <c r="L230" s="1264"/>
      <c r="M230" s="1264"/>
      <c r="N230" s="1264"/>
      <c r="O230" s="1264"/>
      <c r="P230" s="1266"/>
      <c r="Q230" s="1264"/>
      <c r="R230" s="1264"/>
      <c r="S230" s="1301"/>
      <c r="T230" s="1272"/>
      <c r="U230" s="1428"/>
      <c r="V230" s="1428"/>
      <c r="W230" s="1377"/>
      <c r="X230" s="1264"/>
      <c r="Y230" s="1264"/>
      <c r="Z230" s="1267"/>
    </row>
    <row r="231" spans="1:26">
      <c r="A231" s="1380">
        <v>226</v>
      </c>
      <c r="B231" s="2985"/>
      <c r="C231" s="2965"/>
      <c r="D231" s="2978"/>
      <c r="E231" s="1262"/>
      <c r="F231" s="1262"/>
      <c r="G231" s="1263"/>
      <c r="H231" s="1263"/>
      <c r="I231" s="1263"/>
      <c r="J231" s="1263"/>
      <c r="K231" s="1264"/>
      <c r="L231" s="1264"/>
      <c r="M231" s="1264"/>
      <c r="N231" s="1264"/>
      <c r="O231" s="1264"/>
      <c r="P231" s="1266"/>
      <c r="Q231" s="1264"/>
      <c r="R231" s="1264"/>
      <c r="S231" s="1301"/>
      <c r="T231" s="1272"/>
      <c r="U231" s="1428"/>
      <c r="V231" s="1428"/>
      <c r="W231" s="1377"/>
      <c r="X231" s="1264"/>
      <c r="Y231" s="1264"/>
      <c r="Z231" s="1267"/>
    </row>
    <row r="232" spans="1:26">
      <c r="A232" s="1380">
        <v>227</v>
      </c>
      <c r="B232" s="2985"/>
      <c r="C232" s="2965"/>
      <c r="D232" s="2978"/>
      <c r="E232" s="1262"/>
      <c r="F232" s="1262"/>
      <c r="G232" s="1263"/>
      <c r="H232" s="1263"/>
      <c r="I232" s="1263"/>
      <c r="J232" s="1263"/>
      <c r="K232" s="1264"/>
      <c r="L232" s="1264"/>
      <c r="M232" s="1264"/>
      <c r="N232" s="1264"/>
      <c r="O232" s="1264"/>
      <c r="P232" s="1266"/>
      <c r="Q232" s="1264"/>
      <c r="R232" s="1264"/>
      <c r="S232" s="1301"/>
      <c r="T232" s="1272"/>
      <c r="U232" s="1428"/>
      <c r="V232" s="1428"/>
      <c r="W232" s="1377"/>
      <c r="X232" s="1264"/>
      <c r="Y232" s="1264"/>
      <c r="Z232" s="1267"/>
    </row>
    <row r="233" spans="1:26">
      <c r="A233" s="1380">
        <v>228</v>
      </c>
      <c r="B233" s="2985"/>
      <c r="C233" s="2965"/>
      <c r="D233" s="2978"/>
      <c r="E233" s="1262"/>
      <c r="F233" s="1262"/>
      <c r="G233" s="1263"/>
      <c r="H233" s="1263"/>
      <c r="I233" s="1263"/>
      <c r="J233" s="1263"/>
      <c r="K233" s="1264"/>
      <c r="L233" s="1264"/>
      <c r="M233" s="1264"/>
      <c r="N233" s="1264"/>
      <c r="O233" s="1264"/>
      <c r="P233" s="1266"/>
      <c r="Q233" s="1264"/>
      <c r="R233" s="1264"/>
      <c r="S233" s="1301"/>
      <c r="T233" s="1272"/>
      <c r="U233" s="1428"/>
      <c r="V233" s="1428"/>
      <c r="W233" s="1377"/>
      <c r="X233" s="1264"/>
      <c r="Y233" s="1264"/>
      <c r="Z233" s="1267"/>
    </row>
    <row r="234" spans="1:26">
      <c r="A234" s="1380">
        <v>229</v>
      </c>
      <c r="B234" s="2985"/>
      <c r="C234" s="2965"/>
      <c r="D234" s="2978"/>
      <c r="E234" s="1262"/>
      <c r="F234" s="1262"/>
      <c r="G234" s="1263"/>
      <c r="H234" s="1263"/>
      <c r="I234" s="1263"/>
      <c r="J234" s="1263"/>
      <c r="K234" s="1264"/>
      <c r="L234" s="1264"/>
      <c r="M234" s="1264"/>
      <c r="N234" s="1264"/>
      <c r="O234" s="1264"/>
      <c r="P234" s="1266"/>
      <c r="Q234" s="1264"/>
      <c r="R234" s="1264"/>
      <c r="S234" s="1301"/>
      <c r="T234" s="1272"/>
      <c r="U234" s="1428"/>
      <c r="V234" s="1428"/>
      <c r="W234" s="1377"/>
      <c r="X234" s="1264"/>
      <c r="Y234" s="1264"/>
      <c r="Z234" s="1267"/>
    </row>
    <row r="235" spans="1:26">
      <c r="A235" s="1380">
        <v>230</v>
      </c>
      <c r="B235" s="2985"/>
      <c r="C235" s="2965"/>
      <c r="D235" s="2978"/>
      <c r="E235" s="1262"/>
      <c r="F235" s="1262"/>
      <c r="G235" s="1263"/>
      <c r="H235" s="1263"/>
      <c r="I235" s="1263"/>
      <c r="J235" s="1263"/>
      <c r="K235" s="1264"/>
      <c r="L235" s="1264"/>
      <c r="M235" s="1264"/>
      <c r="N235" s="1264"/>
      <c r="O235" s="1264"/>
      <c r="P235" s="1266"/>
      <c r="Q235" s="1264"/>
      <c r="R235" s="1264"/>
      <c r="S235" s="1301"/>
      <c r="T235" s="1272"/>
      <c r="U235" s="1428"/>
      <c r="V235" s="1428"/>
      <c r="W235" s="1377"/>
      <c r="X235" s="1264"/>
      <c r="Y235" s="1264"/>
      <c r="Z235" s="1267"/>
    </row>
    <row r="236" spans="1:26">
      <c r="A236" s="1380">
        <v>231</v>
      </c>
      <c r="B236" s="2985"/>
      <c r="C236" s="2965"/>
      <c r="D236" s="1457" t="s">
        <v>4305</v>
      </c>
      <c r="E236" s="1271"/>
      <c r="F236" s="1271"/>
      <c r="G236" s="1271"/>
      <c r="H236" s="1271"/>
      <c r="I236" s="1271"/>
      <c r="J236" s="1271"/>
      <c r="K236" s="1271"/>
      <c r="L236" s="1271"/>
      <c r="M236" s="1271"/>
      <c r="N236" s="1264">
        <f>SUM(N230:N235)</f>
        <v>0</v>
      </c>
      <c r="O236" s="1264">
        <f>SUM(O230:O235)</f>
        <v>0</v>
      </c>
      <c r="P236" s="1264">
        <f>SUM(P230:P235)</f>
        <v>0</v>
      </c>
      <c r="Q236" s="1271"/>
      <c r="R236" s="1264">
        <f>SUM(R230:R235)</f>
        <v>0</v>
      </c>
      <c r="S236" s="1301"/>
      <c r="T236" s="1272"/>
      <c r="U236" s="1428"/>
      <c r="V236" s="1428"/>
      <c r="W236" s="1377"/>
      <c r="X236" s="1271"/>
      <c r="Y236" s="1271"/>
      <c r="Z236" s="1450"/>
    </row>
    <row r="237" spans="1:26" ht="16.5" customHeight="1">
      <c r="A237" s="1380">
        <v>232</v>
      </c>
      <c r="B237" s="2985"/>
      <c r="C237" s="2965"/>
      <c r="D237" s="2978" t="s">
        <v>4336</v>
      </c>
      <c r="E237" s="1262"/>
      <c r="F237" s="1262"/>
      <c r="G237" s="1263"/>
      <c r="H237" s="1263"/>
      <c r="I237" s="1263"/>
      <c r="J237" s="1263"/>
      <c r="K237" s="1264"/>
      <c r="L237" s="1264"/>
      <c r="M237" s="1264"/>
      <c r="N237" s="1264"/>
      <c r="O237" s="1264"/>
      <c r="P237" s="1266"/>
      <c r="Q237" s="1264"/>
      <c r="R237" s="1264"/>
      <c r="S237" s="1301"/>
      <c r="T237" s="1272"/>
      <c r="U237" s="1428"/>
      <c r="V237" s="1428"/>
      <c r="W237" s="1377"/>
      <c r="X237" s="1264"/>
      <c r="Y237" s="1264"/>
      <c r="Z237" s="1267"/>
    </row>
    <row r="238" spans="1:26">
      <c r="A238" s="1380">
        <v>233</v>
      </c>
      <c r="B238" s="2985"/>
      <c r="C238" s="2965"/>
      <c r="D238" s="2978"/>
      <c r="E238" s="1262"/>
      <c r="F238" s="1262"/>
      <c r="G238" s="1263"/>
      <c r="H238" s="1263"/>
      <c r="I238" s="1263"/>
      <c r="J238" s="1263"/>
      <c r="K238" s="1264"/>
      <c r="L238" s="1264"/>
      <c r="M238" s="1264"/>
      <c r="N238" s="1264"/>
      <c r="O238" s="1264"/>
      <c r="P238" s="1266"/>
      <c r="Q238" s="1264"/>
      <c r="R238" s="1264"/>
      <c r="S238" s="1301"/>
      <c r="T238" s="1272"/>
      <c r="U238" s="1428"/>
      <c r="V238" s="1428"/>
      <c r="W238" s="1377"/>
      <c r="X238" s="1264"/>
      <c r="Y238" s="1264"/>
      <c r="Z238" s="1267"/>
    </row>
    <row r="239" spans="1:26">
      <c r="A239" s="1380">
        <v>234</v>
      </c>
      <c r="B239" s="2985"/>
      <c r="C239" s="2965"/>
      <c r="D239" s="2978"/>
      <c r="E239" s="1262"/>
      <c r="F239" s="1262"/>
      <c r="G239" s="1263"/>
      <c r="H239" s="1263"/>
      <c r="I239" s="1263"/>
      <c r="J239" s="1263"/>
      <c r="K239" s="1264"/>
      <c r="L239" s="1264"/>
      <c r="M239" s="1264"/>
      <c r="N239" s="1264"/>
      <c r="O239" s="1264"/>
      <c r="P239" s="1266"/>
      <c r="Q239" s="1264"/>
      <c r="R239" s="1264"/>
      <c r="S239" s="1301"/>
      <c r="T239" s="1272"/>
      <c r="U239" s="1428"/>
      <c r="V239" s="1428"/>
      <c r="W239" s="1377"/>
      <c r="X239" s="1264"/>
      <c r="Y239" s="1264"/>
      <c r="Z239" s="1267"/>
    </row>
    <row r="240" spans="1:26">
      <c r="A240" s="1380">
        <v>235</v>
      </c>
      <c r="B240" s="2985"/>
      <c r="C240" s="2965"/>
      <c r="D240" s="2978"/>
      <c r="E240" s="1262"/>
      <c r="F240" s="1262"/>
      <c r="G240" s="1263"/>
      <c r="H240" s="1263"/>
      <c r="I240" s="1263"/>
      <c r="J240" s="1263"/>
      <c r="K240" s="1264"/>
      <c r="L240" s="1264"/>
      <c r="M240" s="1264"/>
      <c r="N240" s="1264"/>
      <c r="O240" s="1264"/>
      <c r="P240" s="1266"/>
      <c r="Q240" s="1264"/>
      <c r="R240" s="1264"/>
      <c r="S240" s="1301"/>
      <c r="T240" s="1272"/>
      <c r="U240" s="1428"/>
      <c r="V240" s="1428"/>
      <c r="W240" s="1377"/>
      <c r="X240" s="1264"/>
      <c r="Y240" s="1264"/>
      <c r="Z240" s="1267"/>
    </row>
    <row r="241" spans="1:26">
      <c r="A241" s="1380">
        <v>236</v>
      </c>
      <c r="B241" s="2985"/>
      <c r="C241" s="2965"/>
      <c r="D241" s="2978"/>
      <c r="E241" s="1262"/>
      <c r="F241" s="1262"/>
      <c r="G241" s="1263"/>
      <c r="H241" s="1263"/>
      <c r="I241" s="1263"/>
      <c r="J241" s="1263"/>
      <c r="K241" s="1264"/>
      <c r="L241" s="1264"/>
      <c r="M241" s="1264"/>
      <c r="N241" s="1264"/>
      <c r="O241" s="1264"/>
      <c r="P241" s="1266"/>
      <c r="Q241" s="1264"/>
      <c r="R241" s="1264"/>
      <c r="S241" s="1301"/>
      <c r="T241" s="1272"/>
      <c r="U241" s="1428"/>
      <c r="V241" s="1428"/>
      <c r="W241" s="1377"/>
      <c r="X241" s="1264"/>
      <c r="Y241" s="1264"/>
      <c r="Z241" s="1267"/>
    </row>
    <row r="242" spans="1:26">
      <c r="A242" s="1380">
        <v>237</v>
      </c>
      <c r="B242" s="2985"/>
      <c r="C242" s="2965"/>
      <c r="D242" s="2978"/>
      <c r="E242" s="1262"/>
      <c r="F242" s="1262"/>
      <c r="G242" s="1263"/>
      <c r="H242" s="1263"/>
      <c r="I242" s="1263"/>
      <c r="J242" s="1263"/>
      <c r="K242" s="1264"/>
      <c r="L242" s="1264"/>
      <c r="M242" s="1264"/>
      <c r="N242" s="1264"/>
      <c r="O242" s="1264"/>
      <c r="P242" s="1266"/>
      <c r="Q242" s="1264"/>
      <c r="R242" s="1264"/>
      <c r="S242" s="1301"/>
      <c r="T242" s="1272"/>
      <c r="U242" s="1428"/>
      <c r="V242" s="1428"/>
      <c r="W242" s="1377"/>
      <c r="X242" s="1264"/>
      <c r="Y242" s="1264"/>
      <c r="Z242" s="1267"/>
    </row>
    <row r="243" spans="1:26" ht="17.25" thickBot="1">
      <c r="A243" s="1486">
        <v>238</v>
      </c>
      <c r="B243" s="2986"/>
      <c r="C243" s="2993"/>
      <c r="D243" s="1268" t="s">
        <v>3514</v>
      </c>
      <c r="E243" s="1285"/>
      <c r="F243" s="1285"/>
      <c r="G243" s="1285"/>
      <c r="H243" s="1285"/>
      <c r="I243" s="1285"/>
      <c r="J243" s="1285"/>
      <c r="K243" s="1285"/>
      <c r="L243" s="1285"/>
      <c r="M243" s="1285"/>
      <c r="N243" s="1286">
        <f>SUM(N237:N242)</f>
        <v>0</v>
      </c>
      <c r="O243" s="1286">
        <f>SUM(O237:O242)</f>
        <v>0</v>
      </c>
      <c r="P243" s="1286">
        <f>SUM(P237:P242)</f>
        <v>0</v>
      </c>
      <c r="Q243" s="1285"/>
      <c r="R243" s="1286">
        <f>SUM(R237:R242)</f>
        <v>0</v>
      </c>
      <c r="S243" s="1306"/>
      <c r="T243" s="1307"/>
      <c r="U243" s="1483"/>
      <c r="V243" s="1483"/>
      <c r="W243" s="1484"/>
      <c r="X243" s="1285"/>
      <c r="Y243" s="1285"/>
      <c r="Z243" s="1480"/>
    </row>
    <row r="244" spans="1:26" ht="17.25" thickBot="1">
      <c r="A244" s="1487">
        <v>239</v>
      </c>
      <c r="B244" s="2959" t="s">
        <v>4272</v>
      </c>
      <c r="C244" s="2960"/>
      <c r="D244" s="2960"/>
      <c r="E244" s="1289"/>
      <c r="F244" s="1289"/>
      <c r="G244" s="1290"/>
      <c r="H244" s="1290"/>
      <c r="I244" s="1290"/>
      <c r="J244" s="1290"/>
      <c r="K244" s="1291"/>
      <c r="L244" s="1291"/>
      <c r="M244" s="1291"/>
      <c r="N244" s="1308">
        <f>N194+N201+N208+N215+N222+N229+N236+N243</f>
        <v>0</v>
      </c>
      <c r="O244" s="1308">
        <f>O194+O201+O208+O215+O222+O229+O236+O243</f>
        <v>0</v>
      </c>
      <c r="P244" s="1308">
        <f>P194+P201+P208+P215+P222+P229+P236+P243</f>
        <v>0</v>
      </c>
      <c r="Q244" s="1291"/>
      <c r="R244" s="1308">
        <f>R194+R201+R208+R215+R222+R229+R236+R243</f>
        <v>0</v>
      </c>
      <c r="S244" s="1309"/>
      <c r="T244" s="1293"/>
      <c r="U244" s="1485"/>
      <c r="V244" s="1485"/>
      <c r="W244" s="1422"/>
      <c r="X244" s="1291"/>
      <c r="Y244" s="1291"/>
      <c r="Z244" s="1481"/>
    </row>
    <row r="245" spans="1:26" ht="17.25" thickBot="1">
      <c r="A245" s="1416">
        <v>240</v>
      </c>
      <c r="B245" s="2995" t="s">
        <v>3515</v>
      </c>
      <c r="C245" s="2996"/>
      <c r="D245" s="2996"/>
      <c r="E245" s="1311"/>
      <c r="F245" s="1311"/>
      <c r="G245" s="1312"/>
      <c r="H245" s="1312"/>
      <c r="I245" s="1312"/>
      <c r="J245" s="1312"/>
      <c r="K245" s="1313"/>
      <c r="L245" s="1313"/>
      <c r="M245" s="1313"/>
      <c r="N245" s="1314">
        <f>N187+N130+N244</f>
        <v>0</v>
      </c>
      <c r="O245" s="1314">
        <f>O187+O130+O244</f>
        <v>0</v>
      </c>
      <c r="P245" s="1314">
        <f>P187+P130+P244</f>
        <v>0</v>
      </c>
      <c r="Q245" s="1313"/>
      <c r="R245" s="1314">
        <f>R187+R130+R244</f>
        <v>0</v>
      </c>
      <c r="S245" s="1315"/>
      <c r="T245" s="1316"/>
      <c r="U245" s="1315"/>
      <c r="V245" s="1316"/>
      <c r="W245" s="1315"/>
      <c r="X245" s="1316"/>
      <c r="Y245" s="1313"/>
      <c r="Z245" s="1456"/>
    </row>
    <row r="246" spans="1:26">
      <c r="A246" s="1488"/>
      <c r="B246" s="1318"/>
      <c r="C246" s="470"/>
      <c r="D246" s="470"/>
      <c r="E246" s="1319"/>
      <c r="F246" s="1319"/>
      <c r="G246" s="1319"/>
      <c r="H246" s="1319"/>
      <c r="I246" s="1319"/>
      <c r="J246" s="1319"/>
      <c r="K246" s="1319"/>
      <c r="L246" s="1319"/>
      <c r="M246" s="1319"/>
      <c r="N246" s="1319"/>
      <c r="O246" s="1319"/>
      <c r="P246" s="1319"/>
      <c r="Q246" s="1319"/>
      <c r="R246" s="1319"/>
      <c r="S246" s="1319"/>
      <c r="T246" s="1320"/>
      <c r="X246" s="1320"/>
      <c r="Y246" s="26"/>
    </row>
    <row r="247" spans="1:26">
      <c r="A247" s="493" t="s">
        <v>4165</v>
      </c>
      <c r="B247" s="1318"/>
      <c r="C247" s="470"/>
      <c r="D247" s="470"/>
      <c r="E247" s="1319"/>
      <c r="F247" s="1319"/>
      <c r="G247" s="1319"/>
      <c r="H247" s="1319"/>
      <c r="I247" s="1319"/>
      <c r="J247" s="1319"/>
      <c r="K247" s="1319"/>
      <c r="L247" s="1319"/>
      <c r="M247" s="1319"/>
      <c r="N247" s="1319"/>
      <c r="O247" s="1319"/>
      <c r="P247" s="1319"/>
      <c r="Q247" s="1319"/>
      <c r="R247" s="1319"/>
      <c r="S247" s="1319"/>
      <c r="T247" s="1320"/>
      <c r="X247" s="1320"/>
      <c r="Y247" s="26"/>
    </row>
    <row r="248" spans="1:26">
      <c r="A248" s="493">
        <v>1</v>
      </c>
      <c r="B248" s="470" t="s">
        <v>4273</v>
      </c>
      <c r="D248" s="470"/>
      <c r="E248" s="1319"/>
      <c r="F248" s="1319"/>
      <c r="G248" s="1319"/>
      <c r="H248" s="1319"/>
      <c r="I248" s="1319"/>
      <c r="J248" s="1319"/>
      <c r="K248" s="1319"/>
      <c r="L248" s="1319"/>
      <c r="M248" s="1319"/>
      <c r="N248" s="1319"/>
      <c r="O248" s="1319"/>
      <c r="P248" s="1319"/>
      <c r="Q248" s="1319"/>
      <c r="R248" s="1319"/>
      <c r="S248" s="1319"/>
      <c r="T248" s="1320"/>
      <c r="X248" s="1320"/>
      <c r="Y248" s="26"/>
    </row>
    <row r="249" spans="1:26">
      <c r="A249" s="1318" t="s">
        <v>468</v>
      </c>
      <c r="B249" s="470" t="s">
        <v>4274</v>
      </c>
      <c r="D249" s="470"/>
      <c r="E249" s="1319"/>
      <c r="F249" s="1319"/>
      <c r="G249" s="1319"/>
      <c r="H249" s="1319"/>
      <c r="I249" s="1319"/>
      <c r="J249" s="1319"/>
      <c r="K249" s="1319"/>
      <c r="L249" s="1319"/>
      <c r="M249" s="1319"/>
      <c r="N249" s="1319"/>
      <c r="O249" s="1319"/>
      <c r="P249" s="1319"/>
      <c r="Q249" s="1319"/>
      <c r="R249" s="1319"/>
      <c r="S249" s="1319"/>
      <c r="T249" s="1320"/>
      <c r="X249" s="1320"/>
      <c r="Y249" s="26"/>
    </row>
    <row r="250" spans="1:26">
      <c r="A250" s="493">
        <v>3</v>
      </c>
      <c r="B250" s="470" t="s">
        <v>4337</v>
      </c>
      <c r="D250" s="470"/>
      <c r="E250" s="1319"/>
      <c r="F250" s="1319"/>
      <c r="G250" s="1319"/>
      <c r="H250" s="1319"/>
      <c r="I250" s="1319"/>
      <c r="J250" s="1319"/>
      <c r="K250" s="1319"/>
      <c r="L250" s="1319"/>
      <c r="M250" s="1319"/>
      <c r="N250" s="1319"/>
      <c r="O250" s="1319"/>
      <c r="P250" s="1319"/>
      <c r="Q250" s="1319"/>
      <c r="R250" s="1319"/>
      <c r="S250" s="1319"/>
      <c r="T250" s="1320"/>
      <c r="X250" s="1320"/>
      <c r="Y250" s="26"/>
    </row>
    <row r="251" spans="1:26">
      <c r="A251" s="1318"/>
      <c r="B251" s="470" t="s">
        <v>4310</v>
      </c>
      <c r="D251" s="470"/>
      <c r="E251" s="1319"/>
      <c r="F251" s="1319"/>
      <c r="G251" s="1319"/>
      <c r="H251" s="1319"/>
      <c r="I251" s="1319"/>
      <c r="J251" s="1319"/>
      <c r="K251" s="1319"/>
      <c r="L251" s="1319"/>
      <c r="M251" s="1319"/>
      <c r="N251" s="1319"/>
      <c r="O251" s="1319"/>
      <c r="P251" s="1319"/>
      <c r="Q251" s="1319"/>
      <c r="R251" s="1319"/>
      <c r="S251" s="1319"/>
      <c r="T251" s="1320"/>
      <c r="X251" s="1320"/>
      <c r="Y251" s="26"/>
    </row>
    <row r="252" spans="1:26">
      <c r="A252" s="493"/>
      <c r="B252" s="470" t="s">
        <v>4311</v>
      </c>
      <c r="D252" s="470"/>
      <c r="E252" s="1319"/>
      <c r="F252" s="1319"/>
      <c r="G252" s="1319"/>
      <c r="H252" s="1319"/>
      <c r="I252" s="1319"/>
      <c r="J252" s="1319"/>
      <c r="K252" s="1319"/>
      <c r="L252" s="1319"/>
      <c r="M252" s="1319"/>
      <c r="N252" s="1319"/>
      <c r="O252" s="1319"/>
      <c r="P252" s="1319"/>
      <c r="Q252" s="1319"/>
      <c r="R252" s="1319"/>
      <c r="S252" s="1319"/>
      <c r="T252" s="1320"/>
      <c r="X252" s="1320"/>
      <c r="Y252" s="26"/>
    </row>
    <row r="253" spans="1:26">
      <c r="A253" s="1318"/>
      <c r="B253" s="470" t="s">
        <v>4312</v>
      </c>
      <c r="D253" s="470"/>
      <c r="E253" s="1319"/>
      <c r="F253" s="1319"/>
      <c r="G253" s="1319"/>
      <c r="H253" s="1319"/>
      <c r="I253" s="1319"/>
      <c r="J253" s="1319"/>
      <c r="K253" s="1319"/>
      <c r="L253" s="1319"/>
      <c r="M253" s="1319"/>
      <c r="N253" s="1319"/>
      <c r="O253" s="1319"/>
      <c r="P253" s="1319"/>
      <c r="Q253" s="1319"/>
      <c r="R253" s="1319"/>
      <c r="S253" s="1319"/>
      <c r="T253" s="1320"/>
      <c r="X253" s="1320"/>
      <c r="Y253" s="26"/>
    </row>
    <row r="254" spans="1:26">
      <c r="A254" s="493">
        <v>4</v>
      </c>
      <c r="B254" s="470" t="s">
        <v>4338</v>
      </c>
      <c r="D254" s="26"/>
      <c r="E254" s="26"/>
      <c r="F254" s="26"/>
      <c r="G254" s="26"/>
      <c r="H254" s="26"/>
      <c r="I254" s="26"/>
      <c r="J254" s="26"/>
      <c r="K254" s="26"/>
      <c r="L254" s="26"/>
      <c r="M254" s="26"/>
      <c r="N254" s="26"/>
    </row>
    <row r="255" spans="1:26">
      <c r="A255" s="1318">
        <v>5</v>
      </c>
      <c r="B255" s="470" t="s">
        <v>4339</v>
      </c>
      <c r="D255" s="26"/>
      <c r="E255" s="26"/>
      <c r="F255" s="26"/>
      <c r="G255" s="26"/>
      <c r="H255" s="26"/>
      <c r="I255" s="26"/>
      <c r="J255" s="26"/>
      <c r="K255" s="26"/>
      <c r="L255" s="26"/>
      <c r="M255" s="26"/>
      <c r="N255" s="26"/>
    </row>
    <row r="256" spans="1:26">
      <c r="A256" s="493" t="s">
        <v>1201</v>
      </c>
      <c r="B256" s="470" t="s">
        <v>4314</v>
      </c>
      <c r="D256" s="470"/>
      <c r="E256" s="1319"/>
      <c r="F256" s="1319"/>
      <c r="G256" s="1319"/>
      <c r="H256" s="1319"/>
      <c r="I256" s="1319"/>
      <c r="J256" s="1319"/>
      <c r="K256" s="1319"/>
      <c r="L256" s="1319"/>
      <c r="M256" s="1319"/>
      <c r="N256" s="1319"/>
      <c r="O256" s="1319"/>
      <c r="P256" s="1319"/>
      <c r="Q256" s="1319"/>
      <c r="R256" s="1319"/>
      <c r="S256" s="1319"/>
      <c r="T256" s="1320"/>
      <c r="X256" s="1320"/>
      <c r="Y256" s="26"/>
    </row>
    <row r="257" spans="1:25">
      <c r="A257" s="1318">
        <v>7</v>
      </c>
      <c r="B257" s="470" t="s">
        <v>4315</v>
      </c>
      <c r="C257" s="470"/>
      <c r="D257" s="470"/>
      <c r="E257" s="1319"/>
      <c r="F257" s="1319"/>
      <c r="G257" s="1319"/>
      <c r="H257" s="1319"/>
      <c r="I257" s="1319"/>
      <c r="J257" s="1319"/>
      <c r="K257" s="1319"/>
      <c r="L257" s="1319"/>
      <c r="M257" s="1319"/>
      <c r="N257" s="1319"/>
      <c r="O257" s="1319"/>
      <c r="P257" s="1319"/>
      <c r="Q257" s="1319"/>
      <c r="R257" s="1319"/>
      <c r="S257" s="1319"/>
      <c r="T257" s="1320"/>
      <c r="X257" s="1320"/>
      <c r="Y257" s="26"/>
    </row>
    <row r="258" spans="1:25">
      <c r="A258" s="493"/>
      <c r="B258" s="33"/>
      <c r="C258" s="470"/>
      <c r="D258" s="470"/>
      <c r="E258" s="1319"/>
      <c r="F258" s="1319"/>
      <c r="G258" s="1319"/>
      <c r="H258" s="1319"/>
      <c r="I258" s="1319"/>
      <c r="J258" s="1319"/>
      <c r="K258" s="1319"/>
      <c r="L258" s="1319"/>
      <c r="M258" s="1319"/>
      <c r="N258" s="1319"/>
      <c r="O258" s="1319"/>
      <c r="P258" s="1319"/>
      <c r="Q258" s="1319"/>
      <c r="R258" s="1319"/>
      <c r="S258" s="1319"/>
      <c r="T258" s="1321"/>
      <c r="X258" s="1321"/>
      <c r="Y258" s="26"/>
    </row>
    <row r="259" spans="1:25">
      <c r="A259" s="1318"/>
      <c r="B259" s="33"/>
      <c r="C259" s="57"/>
      <c r="D259" s="57"/>
      <c r="E259" s="1319"/>
      <c r="F259" s="1319"/>
      <c r="G259" s="1319"/>
      <c r="H259" s="1319"/>
      <c r="I259" s="1319"/>
      <c r="J259" s="1319"/>
      <c r="K259" s="1319"/>
      <c r="L259" s="1319"/>
      <c r="M259" s="1319"/>
      <c r="N259" s="1319"/>
      <c r="O259" s="1319"/>
      <c r="P259" s="1319"/>
      <c r="Q259" s="1319"/>
      <c r="R259" s="1319"/>
      <c r="S259" s="1319"/>
      <c r="T259" s="1321"/>
      <c r="X259" s="1321"/>
      <c r="Y259" s="26"/>
    </row>
    <row r="260" spans="1:25">
      <c r="A260" s="493"/>
      <c r="B260" s="33"/>
      <c r="C260" s="470"/>
      <c r="D260" s="470"/>
      <c r="E260" s="1319"/>
      <c r="F260" s="1319"/>
      <c r="G260" s="1319"/>
      <c r="H260" s="1319"/>
      <c r="I260" s="1319"/>
      <c r="J260" s="1319"/>
      <c r="K260" s="1319"/>
      <c r="L260" s="1319"/>
      <c r="M260" s="1319"/>
      <c r="N260" s="1319"/>
      <c r="O260" s="1319"/>
      <c r="P260" s="1319"/>
      <c r="Q260" s="1319"/>
      <c r="R260" s="1319"/>
      <c r="S260" s="1319"/>
      <c r="T260" s="1321"/>
      <c r="X260" s="1321"/>
      <c r="Y260" s="26"/>
    </row>
    <row r="261" spans="1:25">
      <c r="A261" s="493"/>
      <c r="B261" s="33"/>
      <c r="C261" s="470"/>
      <c r="D261" s="470"/>
      <c r="E261" s="1319"/>
      <c r="F261" s="1319"/>
      <c r="G261" s="1319"/>
      <c r="H261" s="1319"/>
      <c r="I261" s="1319"/>
      <c r="J261" s="1319"/>
      <c r="K261" s="1319"/>
      <c r="L261" s="1319"/>
      <c r="M261" s="1319"/>
      <c r="N261" s="1319"/>
      <c r="O261" s="1319"/>
      <c r="P261" s="1319"/>
      <c r="Q261" s="1319"/>
      <c r="R261" s="1319"/>
      <c r="S261" s="1319"/>
      <c r="T261" s="1320"/>
      <c r="X261" s="1320"/>
      <c r="Y261" s="26"/>
    </row>
    <row r="262" spans="1:25">
      <c r="A262" s="1318"/>
      <c r="B262" s="33"/>
      <c r="C262" s="1319"/>
      <c r="D262" s="470"/>
      <c r="E262" s="1319"/>
      <c r="F262" s="1319"/>
      <c r="G262" s="1319"/>
      <c r="H262" s="1319"/>
      <c r="I262" s="1319"/>
      <c r="J262" s="1319"/>
      <c r="K262" s="1319"/>
      <c r="L262" s="1319"/>
      <c r="M262" s="1319"/>
      <c r="N262" s="1319"/>
      <c r="O262" s="1319"/>
      <c r="P262" s="1319"/>
      <c r="Q262" s="1319"/>
      <c r="R262" s="1319"/>
      <c r="S262" s="1319"/>
      <c r="T262" s="1320"/>
      <c r="X262" s="1320"/>
      <c r="Y262" s="26"/>
    </row>
    <row r="263" spans="1:25">
      <c r="A263" s="493"/>
      <c r="B263" s="33"/>
      <c r="C263" s="470"/>
      <c r="D263" s="470"/>
      <c r="E263" s="1319"/>
      <c r="F263" s="1319"/>
      <c r="G263" s="1319"/>
      <c r="H263" s="1319"/>
      <c r="I263" s="1319"/>
      <c r="J263" s="1319"/>
      <c r="K263" s="1319"/>
      <c r="L263" s="1319"/>
      <c r="M263" s="1319"/>
      <c r="N263" s="1319"/>
      <c r="O263" s="1319"/>
      <c r="P263" s="1319"/>
      <c r="Q263" s="1319"/>
      <c r="R263" s="1319"/>
      <c r="S263" s="1319"/>
      <c r="T263" s="1320"/>
      <c r="X263" s="1320"/>
      <c r="Y263" s="26"/>
    </row>
    <row r="264" spans="1:25">
      <c r="A264" s="493"/>
      <c r="B264" s="1318"/>
      <c r="C264" s="470"/>
      <c r="D264" s="470"/>
      <c r="E264" s="1319"/>
      <c r="F264" s="1319"/>
      <c r="G264" s="1319"/>
      <c r="H264" s="1319"/>
      <c r="I264" s="1319"/>
      <c r="J264" s="1319"/>
      <c r="K264" s="1319"/>
      <c r="L264" s="1319"/>
      <c r="M264" s="1319"/>
      <c r="N264" s="1319"/>
      <c r="O264" s="1319"/>
      <c r="P264" s="1319"/>
      <c r="Q264" s="1319"/>
      <c r="R264" s="1319"/>
      <c r="S264" s="1319"/>
      <c r="T264" s="1320"/>
      <c r="X264" s="1320"/>
      <c r="Y264" s="26"/>
    </row>
    <row r="265" spans="1:25">
      <c r="A265" s="1318"/>
      <c r="B265" s="1318"/>
      <c r="C265" s="1319"/>
      <c r="D265" s="1319"/>
      <c r="E265" s="1319"/>
      <c r="F265" s="1319"/>
      <c r="G265" s="1319"/>
      <c r="H265" s="1319"/>
      <c r="I265" s="1319"/>
      <c r="J265" s="1319"/>
      <c r="K265" s="1319"/>
      <c r="L265" s="1319"/>
      <c r="M265" s="1319"/>
      <c r="N265" s="1319"/>
      <c r="O265" s="1319"/>
      <c r="P265" s="1319"/>
      <c r="Q265" s="1319"/>
      <c r="R265" s="1319"/>
      <c r="S265" s="1319"/>
    </row>
    <row r="266" spans="1:25">
      <c r="A266" s="493"/>
      <c r="B266" s="1318"/>
      <c r="E266" s="1319"/>
      <c r="F266" s="1319"/>
      <c r="G266" s="1319"/>
      <c r="H266" s="1319"/>
      <c r="I266" s="1319"/>
      <c r="J266" s="1319"/>
      <c r="K266" s="1319"/>
      <c r="L266" s="1319"/>
      <c r="M266" s="1319"/>
      <c r="N266" s="1319"/>
      <c r="O266" s="1319"/>
      <c r="P266" s="1319"/>
      <c r="Q266" s="1319"/>
      <c r="R266" s="1319"/>
      <c r="S266" s="1319"/>
    </row>
    <row r="267" spans="1:25">
      <c r="A267" s="493"/>
      <c r="B267" s="1318"/>
      <c r="C267" s="1319"/>
      <c r="D267" s="1319"/>
      <c r="E267" s="1322"/>
      <c r="F267" s="1322"/>
      <c r="G267" s="1322"/>
      <c r="H267" s="1322"/>
      <c r="I267" s="1322"/>
      <c r="J267" s="1322"/>
      <c r="K267" s="1322"/>
      <c r="L267" s="1322"/>
      <c r="M267" s="1322"/>
      <c r="N267" s="1322"/>
      <c r="O267" s="1322"/>
      <c r="P267" s="1319"/>
      <c r="Q267" s="1322"/>
      <c r="R267" s="1322"/>
      <c r="S267" s="1322"/>
    </row>
    <row r="268" spans="1:25">
      <c r="A268" s="1318"/>
      <c r="B268" s="1318"/>
      <c r="C268" s="470"/>
      <c r="D268" s="470"/>
      <c r="E268" s="1322"/>
      <c r="F268" s="1322"/>
      <c r="G268" s="1322"/>
      <c r="H268" s="1322"/>
      <c r="I268" s="1322"/>
      <c r="J268" s="1322"/>
      <c r="K268" s="1322"/>
      <c r="L268" s="1322"/>
      <c r="M268" s="1322"/>
      <c r="N268" s="1322"/>
      <c r="O268" s="1322"/>
      <c r="P268" s="1319"/>
      <c r="Q268" s="1322"/>
      <c r="R268" s="1322"/>
      <c r="S268" s="1322"/>
    </row>
    <row r="269" spans="1:25">
      <c r="A269" s="493"/>
      <c r="B269" s="1318"/>
      <c r="C269" s="1319"/>
      <c r="D269" s="1319"/>
      <c r="E269" s="1321"/>
      <c r="F269" s="1323"/>
      <c r="G269" s="1321"/>
      <c r="H269" s="1321"/>
      <c r="I269" s="1321"/>
      <c r="J269" s="1321"/>
      <c r="K269" s="1321"/>
      <c r="L269" s="1321"/>
      <c r="M269" s="1321"/>
      <c r="N269" s="1321"/>
      <c r="O269" s="1321"/>
      <c r="P269" s="1322"/>
      <c r="Q269" s="1321"/>
      <c r="R269" s="1321"/>
      <c r="S269" s="1321"/>
    </row>
    <row r="270" spans="1:25">
      <c r="A270" s="493"/>
      <c r="B270" s="1318"/>
      <c r="C270" s="1319"/>
      <c r="D270" s="1319"/>
      <c r="E270" s="1321"/>
      <c r="F270" s="1323"/>
      <c r="G270" s="1321"/>
      <c r="H270" s="1321"/>
      <c r="I270" s="1321"/>
      <c r="J270" s="1321"/>
      <c r="K270" s="1321"/>
      <c r="L270" s="1321"/>
      <c r="M270" s="1321"/>
      <c r="N270" s="1321"/>
      <c r="O270" s="1321"/>
      <c r="P270" s="1320"/>
      <c r="Q270" s="1321"/>
      <c r="R270" s="1321"/>
      <c r="S270" s="1321"/>
    </row>
    <row r="271" spans="1:25">
      <c r="A271" s="1318"/>
      <c r="B271" s="1318"/>
      <c r="C271" s="1319"/>
      <c r="D271" s="1319"/>
      <c r="E271" s="1321"/>
      <c r="F271" s="1323"/>
      <c r="G271" s="1321"/>
      <c r="H271" s="1321"/>
      <c r="I271" s="1321"/>
      <c r="J271" s="1321"/>
      <c r="K271" s="1321"/>
      <c r="L271" s="1321"/>
      <c r="M271" s="1321"/>
      <c r="N271" s="1321"/>
      <c r="O271" s="1321"/>
      <c r="P271" s="1321"/>
      <c r="Q271" s="1321"/>
      <c r="R271" s="1321"/>
      <c r="S271" s="1321"/>
    </row>
    <row r="272" spans="1:25">
      <c r="A272" s="1318"/>
      <c r="B272" s="1318"/>
      <c r="C272" s="1319"/>
      <c r="D272" s="1319"/>
      <c r="E272" s="26"/>
      <c r="F272" s="459"/>
      <c r="G272" s="26"/>
      <c r="H272" s="26"/>
      <c r="I272" s="26"/>
      <c r="J272" s="26"/>
      <c r="K272" s="26"/>
      <c r="L272" s="26"/>
      <c r="M272" s="26"/>
      <c r="N272" s="26"/>
      <c r="O272" s="26"/>
      <c r="P272" s="1321"/>
      <c r="Q272" s="26"/>
      <c r="R272" s="26"/>
      <c r="S272" s="26"/>
    </row>
    <row r="273" spans="1:16">
      <c r="A273" s="1318"/>
      <c r="B273" s="1318"/>
      <c r="C273" s="1319"/>
      <c r="D273" s="1319"/>
      <c r="F273" s="1324"/>
      <c r="P273" s="1321"/>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30"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O159"/>
  <sheetViews>
    <sheetView tabSelected="1" view="pageBreakPreview" topLeftCell="A67" zoomScaleNormal="100" zoomScaleSheetLayoutView="100" workbookViewId="0">
      <selection activeCell="B95" sqref="B95"/>
    </sheetView>
  </sheetViews>
  <sheetFormatPr defaultColWidth="10.625" defaultRowHeight="15.75"/>
  <cols>
    <col min="1" max="1" width="5.625" style="1946" customWidth="1"/>
    <col min="2" max="2" width="71.875" style="2518" customWidth="1"/>
    <col min="3" max="3" width="10.625" style="1945" customWidth="1"/>
    <col min="4" max="4" width="10.625" style="1946" customWidth="1"/>
    <col min="5" max="5" width="10.625" style="1945" customWidth="1"/>
    <col min="6" max="6" width="10.625" style="1946" customWidth="1"/>
    <col min="7" max="7" width="35.625" style="1946" customWidth="1"/>
    <col min="8" max="14" width="10.625" style="1946" customWidth="1"/>
    <col min="15" max="16384" width="10.625" style="1946"/>
  </cols>
  <sheetData>
    <row r="1" spans="1:15" ht="16.5">
      <c r="A1" s="2186" t="str">
        <f>+封面!A3&amp;" "&amp;封面!A2</f>
        <v xml:space="preserve"> 中央再保險股份有限公司 年度檢查報表</v>
      </c>
      <c r="B1" s="2502"/>
      <c r="D1" s="1945"/>
      <c r="F1" s="1945"/>
      <c r="G1" s="1945"/>
      <c r="H1" s="1945"/>
      <c r="I1" s="1945"/>
      <c r="J1" s="1945"/>
      <c r="K1" s="1945"/>
      <c r="L1" s="1945"/>
    </row>
    <row r="2" spans="1:15" ht="16.5">
      <c r="A2" s="1947" t="s">
        <v>2522</v>
      </c>
      <c r="B2" s="2503"/>
      <c r="D2" s="1945"/>
      <c r="F2" s="1945"/>
      <c r="G2" s="1945"/>
      <c r="H2" s="1945"/>
      <c r="I2" s="1945"/>
      <c r="J2" s="1945"/>
      <c r="K2" s="1945"/>
      <c r="L2" s="1945"/>
    </row>
    <row r="3" spans="1:15" s="1949" customFormat="1" ht="66">
      <c r="A3" s="2806" t="s">
        <v>4939</v>
      </c>
      <c r="B3" s="2504" t="s">
        <v>5916</v>
      </c>
      <c r="C3" s="1948" t="s">
        <v>4940</v>
      </c>
      <c r="D3" s="1948" t="s">
        <v>4941</v>
      </c>
      <c r="E3" s="1948" t="s">
        <v>4942</v>
      </c>
      <c r="F3" s="1948" t="s">
        <v>4943</v>
      </c>
      <c r="G3" s="1948" t="s">
        <v>4944</v>
      </c>
      <c r="H3" s="1948" t="s">
        <v>4945</v>
      </c>
      <c r="I3" s="1948" t="s">
        <v>4946</v>
      </c>
      <c r="J3" s="1948" t="s">
        <v>4947</v>
      </c>
      <c r="K3" s="1948" t="s">
        <v>1395</v>
      </c>
      <c r="L3" s="1948" t="s">
        <v>4948</v>
      </c>
      <c r="M3" s="1948" t="s">
        <v>4947</v>
      </c>
      <c r="N3" s="1948" t="s">
        <v>368</v>
      </c>
    </row>
    <row r="4" spans="1:15" s="1949" customFormat="1">
      <c r="A4" s="2806"/>
      <c r="B4" s="2505" t="s">
        <v>66</v>
      </c>
      <c r="C4" s="1950" t="s">
        <v>67</v>
      </c>
      <c r="D4" s="1950" t="s">
        <v>68</v>
      </c>
      <c r="E4" s="1950" t="s">
        <v>69</v>
      </c>
      <c r="F4" s="1950" t="s">
        <v>70</v>
      </c>
      <c r="G4" s="1950" t="s">
        <v>71</v>
      </c>
      <c r="H4" s="1950" t="s">
        <v>72</v>
      </c>
      <c r="I4" s="1950" t="s">
        <v>73</v>
      </c>
      <c r="J4" s="1950" t="s">
        <v>74</v>
      </c>
      <c r="K4" s="1950" t="s">
        <v>75</v>
      </c>
      <c r="L4" s="1950" t="s">
        <v>225</v>
      </c>
      <c r="M4" s="1950" t="s">
        <v>226</v>
      </c>
      <c r="N4" s="1950" t="s">
        <v>274</v>
      </c>
    </row>
    <row r="5" spans="1:15" s="1949" customFormat="1" ht="16.5">
      <c r="A5" s="1951">
        <v>1</v>
      </c>
      <c r="B5" s="2506" t="s">
        <v>5917</v>
      </c>
      <c r="C5" s="1952"/>
      <c r="D5" s="1953" t="s">
        <v>4949</v>
      </c>
      <c r="E5" s="1951" t="s">
        <v>4950</v>
      </c>
      <c r="F5" s="1951" t="s">
        <v>4951</v>
      </c>
      <c r="G5" s="1954"/>
      <c r="H5" s="1951" t="s">
        <v>4950</v>
      </c>
      <c r="I5" s="1955"/>
      <c r="J5" s="1955"/>
      <c r="K5" s="1955"/>
      <c r="L5" s="1954"/>
      <c r="M5" s="1955"/>
      <c r="N5" s="1954"/>
      <c r="O5" s="1956"/>
    </row>
    <row r="6" spans="1:15" s="1949" customFormat="1" ht="16.5">
      <c r="A6" s="1951">
        <f>A5+1</f>
        <v>2</v>
      </c>
      <c r="B6" s="2506" t="s">
        <v>5918</v>
      </c>
      <c r="C6" s="1952"/>
      <c r="D6" s="1953" t="s">
        <v>4952</v>
      </c>
      <c r="E6" s="1951" t="s">
        <v>4950</v>
      </c>
      <c r="F6" s="1951" t="s">
        <v>4951</v>
      </c>
      <c r="G6" s="1954"/>
      <c r="H6" s="1951" t="s">
        <v>4950</v>
      </c>
      <c r="I6" s="1955"/>
      <c r="J6" s="1955"/>
      <c r="K6" s="1955"/>
      <c r="L6" s="1955"/>
      <c r="M6" s="1955"/>
      <c r="N6" s="1955"/>
      <c r="O6" s="1956"/>
    </row>
    <row r="7" spans="1:15" s="1949" customFormat="1" ht="16.5">
      <c r="A7" s="1951">
        <f>A6+1</f>
        <v>3</v>
      </c>
      <c r="B7" s="2506" t="s">
        <v>5919</v>
      </c>
      <c r="C7" s="1952"/>
      <c r="D7" s="1953" t="s">
        <v>4952</v>
      </c>
      <c r="E7" s="1951" t="s">
        <v>4950</v>
      </c>
      <c r="F7" s="1951" t="s">
        <v>4953</v>
      </c>
      <c r="G7" s="1951" t="s">
        <v>4954</v>
      </c>
      <c r="H7" s="1951" t="s">
        <v>4950</v>
      </c>
      <c r="I7" s="1955"/>
      <c r="J7" s="1955"/>
      <c r="K7" s="1955"/>
      <c r="L7" s="1955"/>
      <c r="M7" s="1955"/>
      <c r="N7" s="1955"/>
      <c r="O7" s="1956"/>
    </row>
    <row r="8" spans="1:15" s="1949" customFormat="1" ht="16.5">
      <c r="A8" s="1951">
        <v>4</v>
      </c>
      <c r="B8" s="2506" t="s">
        <v>5920</v>
      </c>
      <c r="C8" s="1952"/>
      <c r="D8" s="1953" t="s">
        <v>4952</v>
      </c>
      <c r="E8" s="1951" t="s">
        <v>4950</v>
      </c>
      <c r="F8" s="1951" t="s">
        <v>4951</v>
      </c>
      <c r="G8" s="1951" t="s">
        <v>4954</v>
      </c>
      <c r="H8" s="1951" t="s">
        <v>4950</v>
      </c>
      <c r="I8" s="1955"/>
      <c r="J8" s="1955"/>
      <c r="K8" s="1955"/>
      <c r="L8" s="1955"/>
      <c r="M8" s="1955"/>
      <c r="N8" s="1955"/>
      <c r="O8" s="1956"/>
    </row>
    <row r="9" spans="1:15" s="1949" customFormat="1" ht="16.5">
      <c r="A9" s="1951">
        <f t="shared" ref="A9:A72" si="0">A8+1</f>
        <v>5</v>
      </c>
      <c r="B9" s="2506" t="s">
        <v>5921</v>
      </c>
      <c r="C9" s="1952"/>
      <c r="D9" s="1953" t="s">
        <v>4955</v>
      </c>
      <c r="E9" s="1951" t="s">
        <v>4956</v>
      </c>
      <c r="F9" s="1951" t="s">
        <v>4956</v>
      </c>
      <c r="G9" s="1951"/>
      <c r="H9" s="1951" t="s">
        <v>4951</v>
      </c>
      <c r="I9" s="1955"/>
      <c r="J9" s="1955"/>
      <c r="K9" s="1955"/>
      <c r="L9" s="1955"/>
      <c r="M9" s="1955"/>
      <c r="N9" s="1955"/>
      <c r="O9" s="1956"/>
    </row>
    <row r="10" spans="1:15" s="1949" customFormat="1" ht="16.5">
      <c r="A10" s="1951">
        <f t="shared" si="0"/>
        <v>6</v>
      </c>
      <c r="B10" s="2506" t="s">
        <v>5922</v>
      </c>
      <c r="C10" s="1952"/>
      <c r="D10" s="1953" t="s">
        <v>4952</v>
      </c>
      <c r="E10" s="1951" t="s">
        <v>4950</v>
      </c>
      <c r="F10" s="1951" t="s">
        <v>4956</v>
      </c>
      <c r="G10" s="1957"/>
      <c r="H10" s="1951" t="s">
        <v>4953</v>
      </c>
      <c r="I10" s="1955"/>
      <c r="J10" s="1955"/>
      <c r="K10" s="1955"/>
      <c r="L10" s="1955"/>
      <c r="M10" s="1955"/>
      <c r="N10" s="1955"/>
      <c r="O10" s="1956"/>
    </row>
    <row r="11" spans="1:15" s="1949" customFormat="1" ht="16.5">
      <c r="A11" s="1951">
        <f t="shared" si="0"/>
        <v>7</v>
      </c>
      <c r="B11" s="2506" t="s">
        <v>5923</v>
      </c>
      <c r="C11" s="1952"/>
      <c r="D11" s="1951" t="s">
        <v>4955</v>
      </c>
      <c r="E11" s="1951" t="s">
        <v>4950</v>
      </c>
      <c r="F11" s="1951" t="s">
        <v>4951</v>
      </c>
      <c r="G11" s="1957"/>
      <c r="H11" s="1951" t="s">
        <v>4953</v>
      </c>
      <c r="I11" s="1955"/>
      <c r="J11" s="1955"/>
      <c r="K11" s="1955"/>
      <c r="L11" s="1955"/>
      <c r="M11" s="1955"/>
      <c r="N11" s="1955"/>
      <c r="O11" s="1956"/>
    </row>
    <row r="12" spans="1:15" s="1949" customFormat="1" ht="16.5">
      <c r="A12" s="1951">
        <f t="shared" si="0"/>
        <v>8</v>
      </c>
      <c r="B12" s="2507" t="s">
        <v>5924</v>
      </c>
      <c r="C12" s="1952"/>
      <c r="D12" s="1953" t="s">
        <v>4949</v>
      </c>
      <c r="E12" s="1951" t="s">
        <v>4950</v>
      </c>
      <c r="F12" s="1951" t="s">
        <v>4953</v>
      </c>
      <c r="G12" s="1957"/>
      <c r="H12" s="1951" t="s">
        <v>4950</v>
      </c>
      <c r="I12" s="1955"/>
      <c r="J12" s="1955"/>
      <c r="K12" s="1955"/>
      <c r="L12" s="1955"/>
      <c r="M12" s="1955"/>
      <c r="N12" s="1955"/>
      <c r="O12" s="1956"/>
    </row>
    <row r="13" spans="1:15" ht="16.5">
      <c r="A13" s="1951">
        <f t="shared" si="0"/>
        <v>9</v>
      </c>
      <c r="B13" s="2506" t="s">
        <v>5925</v>
      </c>
      <c r="C13" s="1952"/>
      <c r="D13" s="1951" t="s">
        <v>4957</v>
      </c>
      <c r="E13" s="1951" t="s">
        <v>4953</v>
      </c>
      <c r="F13" s="1951" t="s">
        <v>4950</v>
      </c>
      <c r="G13" s="1957"/>
      <c r="H13" s="1951" t="s">
        <v>4950</v>
      </c>
      <c r="I13" s="1955"/>
      <c r="J13" s="1955"/>
      <c r="K13" s="1955"/>
      <c r="L13" s="1955"/>
      <c r="M13" s="1955"/>
      <c r="N13" s="1955"/>
      <c r="O13" s="1956"/>
    </row>
    <row r="14" spans="1:15" ht="16.5">
      <c r="A14" s="1951">
        <f t="shared" si="0"/>
        <v>10</v>
      </c>
      <c r="B14" s="2506" t="s">
        <v>5926</v>
      </c>
      <c r="C14" s="1952"/>
      <c r="D14" s="1951" t="s">
        <v>4957</v>
      </c>
      <c r="E14" s="1951" t="s">
        <v>4953</v>
      </c>
      <c r="F14" s="1951" t="s">
        <v>4950</v>
      </c>
      <c r="G14" s="1957"/>
      <c r="H14" s="1951" t="s">
        <v>4950</v>
      </c>
      <c r="I14" s="1955"/>
      <c r="J14" s="1955"/>
      <c r="K14" s="1955"/>
      <c r="L14" s="1955"/>
      <c r="M14" s="1955"/>
      <c r="N14" s="1955"/>
      <c r="O14" s="1956"/>
    </row>
    <row r="15" spans="1:15" ht="16.5">
      <c r="A15" s="1951">
        <f t="shared" si="0"/>
        <v>11</v>
      </c>
      <c r="B15" s="2506" t="s">
        <v>5927</v>
      </c>
      <c r="C15" s="1952"/>
      <c r="D15" s="1951" t="s">
        <v>4957</v>
      </c>
      <c r="E15" s="1951" t="s">
        <v>4953</v>
      </c>
      <c r="F15" s="1951" t="s">
        <v>4950</v>
      </c>
      <c r="G15" s="1957"/>
      <c r="H15" s="1951" t="s">
        <v>4950</v>
      </c>
      <c r="I15" s="1955"/>
      <c r="J15" s="1955"/>
      <c r="K15" s="1955"/>
      <c r="L15" s="1955"/>
      <c r="M15" s="1955"/>
      <c r="N15" s="1955"/>
      <c r="O15" s="1956"/>
    </row>
    <row r="16" spans="1:15" ht="16.5">
      <c r="A16" s="1951">
        <f t="shared" si="0"/>
        <v>12</v>
      </c>
      <c r="B16" s="2506" t="s">
        <v>5928</v>
      </c>
      <c r="C16" s="1952"/>
      <c r="D16" s="1951" t="s">
        <v>4957</v>
      </c>
      <c r="E16" s="1951" t="s">
        <v>4950</v>
      </c>
      <c r="F16" s="1951" t="s">
        <v>4950</v>
      </c>
      <c r="G16" s="1957"/>
      <c r="H16" s="1951" t="s">
        <v>4950</v>
      </c>
      <c r="I16" s="1955"/>
      <c r="J16" s="1955"/>
      <c r="K16" s="1955"/>
      <c r="L16" s="1955"/>
      <c r="M16" s="1955"/>
      <c r="N16" s="1955"/>
    </row>
    <row r="17" spans="1:14" ht="16.5">
      <c r="A17" s="1951">
        <f t="shared" si="0"/>
        <v>13</v>
      </c>
      <c r="B17" s="2506" t="s">
        <v>5929</v>
      </c>
      <c r="C17" s="1952"/>
      <c r="D17" s="1951" t="s">
        <v>4957</v>
      </c>
      <c r="E17" s="1951" t="s">
        <v>4950</v>
      </c>
      <c r="F17" s="1951" t="s">
        <v>4950</v>
      </c>
      <c r="G17" s="1957"/>
      <c r="H17" s="1951" t="s">
        <v>4950</v>
      </c>
      <c r="I17" s="1955"/>
      <c r="J17" s="1955"/>
      <c r="K17" s="1955"/>
      <c r="L17" s="1955"/>
      <c r="M17" s="1955"/>
      <c r="N17" s="1955"/>
    </row>
    <row r="18" spans="1:14" ht="16.5">
      <c r="A18" s="1951">
        <f t="shared" si="0"/>
        <v>14</v>
      </c>
      <c r="B18" s="2506" t="s">
        <v>5930</v>
      </c>
      <c r="C18" s="1952"/>
      <c r="D18" s="1951" t="s">
        <v>4957</v>
      </c>
      <c r="E18" s="1951" t="s">
        <v>4953</v>
      </c>
      <c r="F18" s="1951" t="s">
        <v>4950</v>
      </c>
      <c r="G18" s="1957"/>
      <c r="H18" s="1951" t="s">
        <v>4950</v>
      </c>
      <c r="I18" s="1955"/>
      <c r="J18" s="1955"/>
      <c r="K18" s="1955"/>
      <c r="L18" s="1955"/>
      <c r="M18" s="1955"/>
      <c r="N18" s="1955"/>
    </row>
    <row r="19" spans="1:14" ht="16.5">
      <c r="A19" s="1951">
        <f t="shared" si="0"/>
        <v>15</v>
      </c>
      <c r="B19" s="2506" t="s">
        <v>5931</v>
      </c>
      <c r="C19" s="1952"/>
      <c r="D19" s="1951" t="s">
        <v>4957</v>
      </c>
      <c r="E19" s="1951" t="s">
        <v>4950</v>
      </c>
      <c r="F19" s="1951" t="s">
        <v>4950</v>
      </c>
      <c r="G19" s="1957"/>
      <c r="H19" s="1951" t="s">
        <v>4950</v>
      </c>
      <c r="I19" s="1955"/>
      <c r="J19" s="1955"/>
      <c r="K19" s="1955"/>
      <c r="L19" s="1955"/>
      <c r="M19" s="1955"/>
      <c r="N19" s="1955"/>
    </row>
    <row r="20" spans="1:14" ht="16.5">
      <c r="A20" s="1951">
        <f t="shared" si="0"/>
        <v>16</v>
      </c>
      <c r="B20" s="2506" t="s">
        <v>5932</v>
      </c>
      <c r="C20" s="1952"/>
      <c r="D20" s="1951" t="s">
        <v>4952</v>
      </c>
      <c r="E20" s="1951" t="s">
        <v>4956</v>
      </c>
      <c r="F20" s="1951" t="s">
        <v>4956</v>
      </c>
      <c r="G20" s="1957"/>
      <c r="H20" s="1951" t="s">
        <v>4958</v>
      </c>
      <c r="I20" s="1955"/>
      <c r="J20" s="1955"/>
      <c r="K20" s="1955"/>
      <c r="L20" s="1955"/>
      <c r="M20" s="1955"/>
      <c r="N20" s="1955"/>
    </row>
    <row r="21" spans="1:14" ht="16.5">
      <c r="A21" s="1951">
        <f t="shared" si="0"/>
        <v>17</v>
      </c>
      <c r="B21" s="2506" t="s">
        <v>5933</v>
      </c>
      <c r="C21" s="1952"/>
      <c r="D21" s="1953" t="s">
        <v>4949</v>
      </c>
      <c r="E21" s="1951" t="s">
        <v>4950</v>
      </c>
      <c r="F21" s="1951" t="s">
        <v>4953</v>
      </c>
      <c r="G21" s="1951" t="s">
        <v>4954</v>
      </c>
      <c r="H21" s="1951" t="s">
        <v>4950</v>
      </c>
      <c r="I21" s="1955"/>
      <c r="J21" s="1955"/>
      <c r="K21" s="1955"/>
      <c r="L21" s="1955"/>
      <c r="M21" s="1955"/>
      <c r="N21" s="1955"/>
    </row>
    <row r="22" spans="1:14" ht="16.5">
      <c r="A22" s="1951">
        <f t="shared" si="0"/>
        <v>18</v>
      </c>
      <c r="B22" s="2506" t="s">
        <v>5934</v>
      </c>
      <c r="C22" s="1952"/>
      <c r="D22" s="1953" t="s">
        <v>4949</v>
      </c>
      <c r="E22" s="1951" t="s">
        <v>4950</v>
      </c>
      <c r="F22" s="1951" t="s">
        <v>4953</v>
      </c>
      <c r="G22" s="1951" t="s">
        <v>4954</v>
      </c>
      <c r="H22" s="1951" t="s">
        <v>4950</v>
      </c>
      <c r="I22" s="1955"/>
      <c r="J22" s="1955"/>
      <c r="K22" s="1955"/>
      <c r="L22" s="1955"/>
      <c r="M22" s="1955"/>
      <c r="N22" s="1955"/>
    </row>
    <row r="23" spans="1:14" ht="16.5">
      <c r="A23" s="1951">
        <f t="shared" si="0"/>
        <v>19</v>
      </c>
      <c r="B23" s="2506" t="s">
        <v>5935</v>
      </c>
      <c r="C23" s="1952"/>
      <c r="D23" s="1953" t="s">
        <v>4949</v>
      </c>
      <c r="E23" s="1951" t="s">
        <v>4950</v>
      </c>
      <c r="F23" s="1951" t="s">
        <v>4953</v>
      </c>
      <c r="G23" s="1951" t="s">
        <v>4954</v>
      </c>
      <c r="H23" s="1951" t="s">
        <v>4950</v>
      </c>
      <c r="I23" s="1955"/>
      <c r="J23" s="1955"/>
      <c r="K23" s="1955"/>
      <c r="L23" s="1955"/>
      <c r="M23" s="1955"/>
      <c r="N23" s="1955"/>
    </row>
    <row r="24" spans="1:14" ht="16.5">
      <c r="A24" s="1951">
        <f t="shared" si="0"/>
        <v>20</v>
      </c>
      <c r="B24" s="2506" t="s">
        <v>5936</v>
      </c>
      <c r="C24" s="1952"/>
      <c r="D24" s="1953" t="s">
        <v>4949</v>
      </c>
      <c r="E24" s="1951" t="s">
        <v>4950</v>
      </c>
      <c r="F24" s="1951" t="s">
        <v>4953</v>
      </c>
      <c r="G24" s="1951" t="s">
        <v>4954</v>
      </c>
      <c r="H24" s="1951" t="s">
        <v>4950</v>
      </c>
      <c r="I24" s="1955"/>
      <c r="J24" s="1955"/>
      <c r="K24" s="1955"/>
      <c r="L24" s="1955"/>
      <c r="M24" s="1955"/>
      <c r="N24" s="1955"/>
    </row>
    <row r="25" spans="1:14" ht="16.5">
      <c r="A25" s="1951">
        <f t="shared" si="0"/>
        <v>21</v>
      </c>
      <c r="B25" s="2506" t="s">
        <v>5937</v>
      </c>
      <c r="C25" s="1952"/>
      <c r="D25" s="1953" t="s">
        <v>4949</v>
      </c>
      <c r="E25" s="1951" t="s">
        <v>4958</v>
      </c>
      <c r="F25" s="1951" t="s">
        <v>4959</v>
      </c>
      <c r="G25" s="1951" t="s">
        <v>4960</v>
      </c>
      <c r="H25" s="1951" t="s">
        <v>4958</v>
      </c>
      <c r="I25" s="1955"/>
      <c r="J25" s="1955"/>
      <c r="K25" s="1955"/>
      <c r="L25" s="1955"/>
      <c r="M25" s="1955"/>
      <c r="N25" s="1955"/>
    </row>
    <row r="26" spans="1:14" ht="16.5">
      <c r="A26" s="1951">
        <f t="shared" si="0"/>
        <v>22</v>
      </c>
      <c r="B26" s="2506" t="s">
        <v>5938</v>
      </c>
      <c r="C26" s="1952"/>
      <c r="D26" s="1953" t="s">
        <v>4949</v>
      </c>
      <c r="E26" s="1951" t="s">
        <v>4950</v>
      </c>
      <c r="F26" s="1951" t="s">
        <v>4953</v>
      </c>
      <c r="G26" s="1951" t="s">
        <v>4961</v>
      </c>
      <c r="H26" s="1951" t="s">
        <v>4950</v>
      </c>
      <c r="I26" s="1955"/>
      <c r="J26" s="1955"/>
      <c r="K26" s="1955"/>
      <c r="L26" s="1955"/>
      <c r="M26" s="1955"/>
      <c r="N26" s="1955"/>
    </row>
    <row r="27" spans="1:14" ht="16.5">
      <c r="A27" s="1951">
        <f t="shared" si="0"/>
        <v>23</v>
      </c>
      <c r="B27" s="2506" t="s">
        <v>5939</v>
      </c>
      <c r="C27" s="1952"/>
      <c r="D27" s="1953" t="s">
        <v>4949</v>
      </c>
      <c r="E27" s="1951" t="s">
        <v>4950</v>
      </c>
      <c r="F27" s="1951" t="s">
        <v>4953</v>
      </c>
      <c r="G27" s="1951" t="s">
        <v>4962</v>
      </c>
      <c r="H27" s="1951" t="s">
        <v>4950</v>
      </c>
      <c r="I27" s="1955"/>
      <c r="J27" s="1955"/>
      <c r="K27" s="1955"/>
      <c r="L27" s="1955"/>
      <c r="M27" s="1955"/>
      <c r="N27" s="1955"/>
    </row>
    <row r="28" spans="1:14" ht="16.5">
      <c r="A28" s="1951">
        <f t="shared" si="0"/>
        <v>24</v>
      </c>
      <c r="B28" s="2506" t="s">
        <v>5940</v>
      </c>
      <c r="C28" s="1952"/>
      <c r="D28" s="1953" t="s">
        <v>4949</v>
      </c>
      <c r="E28" s="1951" t="s">
        <v>4950</v>
      </c>
      <c r="F28" s="1951" t="s">
        <v>4950</v>
      </c>
      <c r="G28" s="1957"/>
      <c r="H28" s="1951" t="s">
        <v>4950</v>
      </c>
      <c r="I28" s="1955"/>
      <c r="J28" s="1955"/>
      <c r="K28" s="1955"/>
      <c r="L28" s="1955"/>
      <c r="M28" s="1955"/>
      <c r="N28" s="1955"/>
    </row>
    <row r="29" spans="1:14" ht="16.5">
      <c r="A29" s="1951">
        <f t="shared" si="0"/>
        <v>25</v>
      </c>
      <c r="B29" s="2506" t="s">
        <v>5941</v>
      </c>
      <c r="C29" s="1952"/>
      <c r="D29" s="1953" t="s">
        <v>4949</v>
      </c>
      <c r="E29" s="1951" t="s">
        <v>4950</v>
      </c>
      <c r="F29" s="1951" t="s">
        <v>4953</v>
      </c>
      <c r="G29" s="1951" t="s">
        <v>4963</v>
      </c>
      <c r="H29" s="1951" t="s">
        <v>4950</v>
      </c>
      <c r="I29" s="1955"/>
      <c r="J29" s="1955"/>
      <c r="K29" s="1955"/>
      <c r="L29" s="1955"/>
      <c r="M29" s="1955"/>
      <c r="N29" s="1955"/>
    </row>
    <row r="30" spans="1:14" ht="16.5">
      <c r="A30" s="1951">
        <f t="shared" si="0"/>
        <v>26</v>
      </c>
      <c r="B30" s="2506" t="s">
        <v>5942</v>
      </c>
      <c r="C30" s="1952"/>
      <c r="D30" s="1953" t="s">
        <v>4949</v>
      </c>
      <c r="E30" s="1951" t="s">
        <v>4950</v>
      </c>
      <c r="F30" s="1951" t="s">
        <v>4950</v>
      </c>
      <c r="G30" s="1957"/>
      <c r="H30" s="1951" t="s">
        <v>4950</v>
      </c>
      <c r="I30" s="1955"/>
      <c r="J30" s="1955"/>
      <c r="K30" s="1955"/>
      <c r="L30" s="1955"/>
      <c r="M30" s="1955"/>
      <c r="N30" s="1955"/>
    </row>
    <row r="31" spans="1:14" ht="16.5">
      <c r="A31" s="1951">
        <f t="shared" si="0"/>
        <v>27</v>
      </c>
      <c r="B31" s="2508" t="s">
        <v>3435</v>
      </c>
      <c r="C31" s="1952"/>
      <c r="D31" s="1953" t="s">
        <v>4949</v>
      </c>
      <c r="E31" s="1951" t="s">
        <v>4950</v>
      </c>
      <c r="F31" s="1951" t="s">
        <v>4953</v>
      </c>
      <c r="G31" s="1951" t="s">
        <v>4964</v>
      </c>
      <c r="H31" s="1951" t="s">
        <v>4950</v>
      </c>
      <c r="I31" s="1955"/>
      <c r="J31" s="1955"/>
      <c r="K31" s="1955"/>
      <c r="L31" s="1955"/>
      <c r="M31" s="1955"/>
      <c r="N31" s="1955"/>
    </row>
    <row r="32" spans="1:14" ht="16.5">
      <c r="A32" s="1951">
        <f t="shared" si="0"/>
        <v>28</v>
      </c>
      <c r="B32" s="2509" t="s">
        <v>5943</v>
      </c>
      <c r="C32" s="1952"/>
      <c r="D32" s="1953" t="s">
        <v>4949</v>
      </c>
      <c r="E32" s="1951" t="s">
        <v>4950</v>
      </c>
      <c r="F32" s="1951" t="s">
        <v>4950</v>
      </c>
      <c r="G32" s="1957"/>
      <c r="H32" s="1951" t="s">
        <v>4950</v>
      </c>
      <c r="I32" s="1955"/>
      <c r="J32" s="1955"/>
      <c r="K32" s="1955"/>
      <c r="L32" s="1955"/>
      <c r="M32" s="1955"/>
      <c r="N32" s="1955"/>
    </row>
    <row r="33" spans="1:14" ht="16.5">
      <c r="A33" s="1951">
        <f t="shared" si="0"/>
        <v>29</v>
      </c>
      <c r="B33" s="2506" t="s">
        <v>5944</v>
      </c>
      <c r="C33" s="1952"/>
      <c r="D33" s="1953" t="s">
        <v>4949</v>
      </c>
      <c r="E33" s="1951" t="s">
        <v>4950</v>
      </c>
      <c r="F33" s="1951" t="s">
        <v>4953</v>
      </c>
      <c r="G33" s="1951" t="s">
        <v>4965</v>
      </c>
      <c r="H33" s="1951" t="s">
        <v>4950</v>
      </c>
      <c r="I33" s="1955"/>
      <c r="J33" s="1955"/>
      <c r="K33" s="1955"/>
      <c r="L33" s="1955"/>
      <c r="M33" s="1955"/>
      <c r="N33" s="1955"/>
    </row>
    <row r="34" spans="1:14" ht="16.5">
      <c r="A34" s="1951">
        <f t="shared" si="0"/>
        <v>30</v>
      </c>
      <c r="B34" s="2506" t="s">
        <v>5945</v>
      </c>
      <c r="C34" s="1952"/>
      <c r="D34" s="1953" t="s">
        <v>4949</v>
      </c>
      <c r="E34" s="1951" t="s">
        <v>4950</v>
      </c>
      <c r="F34" s="1951" t="s">
        <v>4950</v>
      </c>
      <c r="G34" s="1957"/>
      <c r="H34" s="1951" t="s">
        <v>4950</v>
      </c>
      <c r="I34" s="1955"/>
      <c r="J34" s="1955"/>
      <c r="K34" s="1955"/>
      <c r="L34" s="1955"/>
      <c r="M34" s="1955"/>
      <c r="N34" s="1955"/>
    </row>
    <row r="35" spans="1:14" ht="16.5">
      <c r="A35" s="1951">
        <f t="shared" si="0"/>
        <v>31</v>
      </c>
      <c r="B35" s="2510" t="s">
        <v>3436</v>
      </c>
      <c r="C35" s="1958"/>
      <c r="D35" s="1953" t="s">
        <v>4949</v>
      </c>
      <c r="E35" s="1951" t="s">
        <v>4950</v>
      </c>
      <c r="F35" s="1951" t="s">
        <v>4953</v>
      </c>
      <c r="G35" s="1951" t="s">
        <v>4960</v>
      </c>
      <c r="H35" s="1951" t="s">
        <v>4950</v>
      </c>
      <c r="I35" s="1955"/>
      <c r="J35" s="1955"/>
      <c r="K35" s="1955"/>
      <c r="L35" s="1955"/>
      <c r="M35" s="1955"/>
      <c r="N35" s="1955"/>
    </row>
    <row r="36" spans="1:14" ht="16.5">
      <c r="A36" s="1951">
        <f t="shared" si="0"/>
        <v>32</v>
      </c>
      <c r="B36" s="2510" t="s">
        <v>3437</v>
      </c>
      <c r="C36" s="1952"/>
      <c r="D36" s="1953" t="s">
        <v>4949</v>
      </c>
      <c r="E36" s="1951" t="s">
        <v>4950</v>
      </c>
      <c r="F36" s="1951" t="s">
        <v>4953</v>
      </c>
      <c r="G36" s="1951" t="s">
        <v>4960</v>
      </c>
      <c r="H36" s="1951" t="s">
        <v>4950</v>
      </c>
      <c r="I36" s="1955"/>
      <c r="J36" s="1955"/>
      <c r="K36" s="1955"/>
      <c r="L36" s="1955"/>
      <c r="M36" s="1955"/>
      <c r="N36" s="1955"/>
    </row>
    <row r="37" spans="1:14" ht="16.5">
      <c r="A37" s="1951">
        <f t="shared" si="0"/>
        <v>33</v>
      </c>
      <c r="B37" s="2506" t="s">
        <v>5946</v>
      </c>
      <c r="C37" s="1952"/>
      <c r="D37" s="1953" t="s">
        <v>4949</v>
      </c>
      <c r="E37" s="1951" t="s">
        <v>4950</v>
      </c>
      <c r="F37" s="1951" t="s">
        <v>4953</v>
      </c>
      <c r="G37" s="1951" t="s">
        <v>4966</v>
      </c>
      <c r="H37" s="1951" t="s">
        <v>4950</v>
      </c>
      <c r="I37" s="1955"/>
      <c r="J37" s="1955"/>
      <c r="K37" s="1955"/>
      <c r="L37" s="1955"/>
      <c r="M37" s="1955"/>
      <c r="N37" s="1955"/>
    </row>
    <row r="38" spans="1:14" ht="16.5">
      <c r="A38" s="1951">
        <f t="shared" si="0"/>
        <v>34</v>
      </c>
      <c r="B38" s="2506" t="s">
        <v>5947</v>
      </c>
      <c r="C38" s="1952"/>
      <c r="D38" s="1953" t="s">
        <v>4949</v>
      </c>
      <c r="E38" s="1951" t="s">
        <v>4950</v>
      </c>
      <c r="F38" s="1951" t="s">
        <v>4950</v>
      </c>
      <c r="G38" s="1957"/>
      <c r="H38" s="1951" t="s">
        <v>4950</v>
      </c>
      <c r="I38" s="1955"/>
      <c r="J38" s="1955"/>
      <c r="K38" s="1955"/>
      <c r="L38" s="1955"/>
      <c r="M38" s="1955"/>
      <c r="N38" s="1955"/>
    </row>
    <row r="39" spans="1:14" ht="16.5">
      <c r="A39" s="1951">
        <f t="shared" si="0"/>
        <v>35</v>
      </c>
      <c r="B39" s="2506" t="s">
        <v>5948</v>
      </c>
      <c r="C39" s="1952"/>
      <c r="D39" s="1953" t="s">
        <v>4949</v>
      </c>
      <c r="E39" s="1951" t="s">
        <v>4950</v>
      </c>
      <c r="F39" s="1951" t="s">
        <v>4953</v>
      </c>
      <c r="G39" s="1951" t="s">
        <v>4967</v>
      </c>
      <c r="H39" s="1951" t="s">
        <v>4950</v>
      </c>
      <c r="I39" s="1955"/>
      <c r="J39" s="1955"/>
      <c r="K39" s="1955"/>
      <c r="L39" s="1955"/>
      <c r="M39" s="1955"/>
      <c r="N39" s="1955"/>
    </row>
    <row r="40" spans="1:14" ht="16.5">
      <c r="A40" s="1951">
        <f t="shared" si="0"/>
        <v>36</v>
      </c>
      <c r="B40" s="2506" t="s">
        <v>5949</v>
      </c>
      <c r="C40" s="1952"/>
      <c r="D40" s="1953" t="s">
        <v>4949</v>
      </c>
      <c r="E40" s="1951" t="s">
        <v>4950</v>
      </c>
      <c r="F40" s="1951" t="s">
        <v>4950</v>
      </c>
      <c r="G40" s="1957"/>
      <c r="H40" s="1951" t="s">
        <v>4950</v>
      </c>
      <c r="I40" s="1955"/>
      <c r="J40" s="1955"/>
      <c r="K40" s="1955"/>
      <c r="L40" s="1955"/>
      <c r="M40" s="1955"/>
      <c r="N40" s="1955"/>
    </row>
    <row r="41" spans="1:14" ht="16.5">
      <c r="A41" s="1951">
        <f t="shared" si="0"/>
        <v>37</v>
      </c>
      <c r="B41" s="2506" t="s">
        <v>5950</v>
      </c>
      <c r="C41" s="1952"/>
      <c r="D41" s="1951" t="s">
        <v>4957</v>
      </c>
      <c r="E41" s="1951" t="s">
        <v>4950</v>
      </c>
      <c r="F41" s="1951" t="s">
        <v>4953</v>
      </c>
      <c r="G41" s="1951" t="s">
        <v>4954</v>
      </c>
      <c r="H41" s="1951" t="s">
        <v>4950</v>
      </c>
      <c r="I41" s="1955"/>
      <c r="J41" s="1955"/>
      <c r="K41" s="1955"/>
      <c r="L41" s="1955"/>
      <c r="M41" s="1955"/>
      <c r="N41" s="1955"/>
    </row>
    <row r="42" spans="1:14" ht="16.5">
      <c r="A42" s="1951">
        <f t="shared" si="0"/>
        <v>38</v>
      </c>
      <c r="B42" s="2506" t="s">
        <v>5951</v>
      </c>
      <c r="C42" s="1952"/>
      <c r="D42" s="1951" t="s">
        <v>4957</v>
      </c>
      <c r="E42" s="1951" t="s">
        <v>4950</v>
      </c>
      <c r="F42" s="1951" t="s">
        <v>4950</v>
      </c>
      <c r="G42" s="1957"/>
      <c r="H42" s="1951" t="s">
        <v>4950</v>
      </c>
      <c r="I42" s="1955"/>
      <c r="J42" s="1955"/>
      <c r="K42" s="1955"/>
      <c r="L42" s="1955"/>
      <c r="M42" s="1955"/>
      <c r="N42" s="1955"/>
    </row>
    <row r="43" spans="1:14" ht="16.5">
      <c r="A43" s="1951">
        <f t="shared" si="0"/>
        <v>39</v>
      </c>
      <c r="B43" s="2506" t="s">
        <v>5952</v>
      </c>
      <c r="C43" s="1952"/>
      <c r="D43" s="1953" t="s">
        <v>4949</v>
      </c>
      <c r="E43" s="1951" t="s">
        <v>4950</v>
      </c>
      <c r="F43" s="1951" t="s">
        <v>4953</v>
      </c>
      <c r="G43" s="1951" t="s">
        <v>4968</v>
      </c>
      <c r="H43" s="1951" t="s">
        <v>4950</v>
      </c>
      <c r="I43" s="1955"/>
      <c r="J43" s="1955"/>
      <c r="K43" s="1955"/>
      <c r="L43" s="1955"/>
      <c r="M43" s="1955"/>
      <c r="N43" s="1955"/>
    </row>
    <row r="44" spans="1:14" ht="16.5">
      <c r="A44" s="1951">
        <f t="shared" si="0"/>
        <v>40</v>
      </c>
      <c r="B44" s="2506" t="s">
        <v>5953</v>
      </c>
      <c r="C44" s="1952"/>
      <c r="D44" s="1953" t="s">
        <v>4949</v>
      </c>
      <c r="E44" s="1951" t="s">
        <v>4950</v>
      </c>
      <c r="F44" s="1953" t="s">
        <v>4959</v>
      </c>
      <c r="G44" s="1953" t="s">
        <v>4954</v>
      </c>
      <c r="H44" s="1951" t="s">
        <v>4950</v>
      </c>
      <c r="I44" s="1955"/>
      <c r="J44" s="1955"/>
      <c r="K44" s="1955"/>
      <c r="L44" s="1955"/>
      <c r="M44" s="1955"/>
      <c r="N44" s="1955"/>
    </row>
    <row r="45" spans="1:14" ht="16.5">
      <c r="A45" s="1951">
        <f t="shared" si="0"/>
        <v>41</v>
      </c>
      <c r="B45" s="2506" t="s">
        <v>5954</v>
      </c>
      <c r="C45" s="1952"/>
      <c r="D45" s="1951" t="s">
        <v>4957</v>
      </c>
      <c r="E45" s="1951" t="s">
        <v>4950</v>
      </c>
      <c r="F45" s="1951" t="s">
        <v>4953</v>
      </c>
      <c r="G45" s="1951" t="s">
        <v>4969</v>
      </c>
      <c r="H45" s="1951" t="s">
        <v>4950</v>
      </c>
      <c r="I45" s="1955"/>
      <c r="J45" s="1955"/>
      <c r="K45" s="1955"/>
      <c r="L45" s="1955"/>
      <c r="M45" s="1955"/>
      <c r="N45" s="1955"/>
    </row>
    <row r="46" spans="1:14" s="1851" customFormat="1" ht="16.5">
      <c r="A46" s="1951">
        <f t="shared" si="0"/>
        <v>42</v>
      </c>
      <c r="B46" s="67" t="s">
        <v>5955</v>
      </c>
      <c r="C46" s="1959"/>
      <c r="D46" s="1953" t="s">
        <v>4949</v>
      </c>
      <c r="E46" s="1953" t="s">
        <v>4950</v>
      </c>
      <c r="F46" s="1953" t="s">
        <v>4953</v>
      </c>
      <c r="G46" s="1951" t="s">
        <v>4970</v>
      </c>
      <c r="H46" s="1953" t="s">
        <v>4950</v>
      </c>
      <c r="I46" s="1959"/>
      <c r="J46" s="1959"/>
      <c r="K46" s="1959"/>
      <c r="L46" s="1959"/>
      <c r="M46" s="1959"/>
      <c r="N46" s="1959"/>
    </row>
    <row r="47" spans="1:14" ht="16.5">
      <c r="A47" s="1951">
        <f t="shared" si="0"/>
        <v>43</v>
      </c>
      <c r="B47" s="2506" t="s">
        <v>5956</v>
      </c>
      <c r="C47" s="1952"/>
      <c r="D47" s="1953" t="s">
        <v>4949</v>
      </c>
      <c r="E47" s="1951" t="s">
        <v>4950</v>
      </c>
      <c r="F47" s="1951" t="s">
        <v>4953</v>
      </c>
      <c r="G47" s="1957" t="s">
        <v>4954</v>
      </c>
      <c r="H47" s="1951" t="s">
        <v>4950</v>
      </c>
      <c r="I47" s="1955"/>
      <c r="J47" s="1955"/>
      <c r="K47" s="1955"/>
      <c r="L47" s="1955"/>
      <c r="M47" s="1955"/>
      <c r="N47" s="1955"/>
    </row>
    <row r="48" spans="1:14" ht="16.5">
      <c r="A48" s="1951">
        <f t="shared" si="0"/>
        <v>44</v>
      </c>
      <c r="B48" s="2506" t="s">
        <v>5957</v>
      </c>
      <c r="C48" s="1952"/>
      <c r="D48" s="1953" t="s">
        <v>4949</v>
      </c>
      <c r="E48" s="1951" t="s">
        <v>4950</v>
      </c>
      <c r="F48" s="1951" t="s">
        <v>4953</v>
      </c>
      <c r="G48" s="1951" t="s">
        <v>4971</v>
      </c>
      <c r="H48" s="1951" t="s">
        <v>4950</v>
      </c>
      <c r="I48" s="1955"/>
      <c r="J48" s="1955"/>
      <c r="K48" s="1955"/>
      <c r="L48" s="1955"/>
      <c r="M48" s="1955"/>
      <c r="N48" s="1955"/>
    </row>
    <row r="49" spans="1:14" ht="16.5">
      <c r="A49" s="1951">
        <f t="shared" si="0"/>
        <v>45</v>
      </c>
      <c r="B49" s="2506" t="s">
        <v>5958</v>
      </c>
      <c r="C49" s="1952"/>
      <c r="D49" s="1951" t="s">
        <v>4957</v>
      </c>
      <c r="E49" s="1951" t="s">
        <v>4950</v>
      </c>
      <c r="F49" s="1951" t="s">
        <v>4950</v>
      </c>
      <c r="G49" s="1957"/>
      <c r="H49" s="1951" t="s">
        <v>4950</v>
      </c>
      <c r="I49" s="1955"/>
      <c r="J49" s="1955"/>
      <c r="K49" s="1955"/>
      <c r="L49" s="1955"/>
      <c r="M49" s="1955"/>
      <c r="N49" s="1955"/>
    </row>
    <row r="50" spans="1:14" ht="16.5">
      <c r="A50" s="1951">
        <f t="shared" si="0"/>
        <v>46</v>
      </c>
      <c r="B50" s="2506" t="s">
        <v>5959</v>
      </c>
      <c r="C50" s="1952"/>
      <c r="D50" s="1951" t="s">
        <v>4949</v>
      </c>
      <c r="E50" s="1951" t="s">
        <v>4950</v>
      </c>
      <c r="F50" s="1951" t="s">
        <v>4953</v>
      </c>
      <c r="G50" s="1957" t="s">
        <v>4954</v>
      </c>
      <c r="H50" s="1951" t="s">
        <v>4950</v>
      </c>
      <c r="I50" s="1955"/>
      <c r="J50" s="1955"/>
      <c r="K50" s="1955"/>
      <c r="L50" s="1955"/>
      <c r="M50" s="1955"/>
      <c r="N50" s="1955"/>
    </row>
    <row r="51" spans="1:14" ht="16.5">
      <c r="A51" s="1951">
        <f t="shared" si="0"/>
        <v>47</v>
      </c>
      <c r="B51" s="2506" t="s">
        <v>5960</v>
      </c>
      <c r="C51" s="1952"/>
      <c r="D51" s="1951" t="s">
        <v>4957</v>
      </c>
      <c r="E51" s="1951" t="s">
        <v>4950</v>
      </c>
      <c r="F51" s="1951" t="s">
        <v>4950</v>
      </c>
      <c r="G51" s="1957"/>
      <c r="H51" s="1951" t="s">
        <v>4950</v>
      </c>
      <c r="I51" s="1955"/>
      <c r="J51" s="1955"/>
      <c r="K51" s="1955"/>
      <c r="L51" s="1955"/>
      <c r="M51" s="1955"/>
      <c r="N51" s="1955"/>
    </row>
    <row r="52" spans="1:14" ht="16.5">
      <c r="A52" s="1951">
        <f t="shared" si="0"/>
        <v>48</v>
      </c>
      <c r="B52" s="2511" t="s">
        <v>5961</v>
      </c>
      <c r="C52" s="1952"/>
      <c r="D52" s="1953" t="s">
        <v>4952</v>
      </c>
      <c r="E52" s="1951" t="s">
        <v>4950</v>
      </c>
      <c r="F52" s="1951" t="s">
        <v>4953</v>
      </c>
      <c r="G52" s="1951"/>
      <c r="H52" s="1951" t="s">
        <v>4950</v>
      </c>
      <c r="I52" s="1955"/>
      <c r="J52" s="1955"/>
      <c r="K52" s="1955"/>
      <c r="L52" s="1955"/>
      <c r="M52" s="1955"/>
      <c r="N52" s="1955"/>
    </row>
    <row r="53" spans="1:14" ht="16.5">
      <c r="A53" s="1951">
        <f t="shared" si="0"/>
        <v>49</v>
      </c>
      <c r="B53" s="2511" t="s">
        <v>5962</v>
      </c>
      <c r="C53" s="1952"/>
      <c r="D53" s="1953" t="s">
        <v>4949</v>
      </c>
      <c r="E53" s="1951" t="s">
        <v>4950</v>
      </c>
      <c r="F53" s="1951" t="s">
        <v>4953</v>
      </c>
      <c r="G53" s="1951" t="s">
        <v>4972</v>
      </c>
      <c r="H53" s="1951" t="s">
        <v>4950</v>
      </c>
      <c r="I53" s="1955"/>
      <c r="J53" s="1955"/>
      <c r="K53" s="1955"/>
      <c r="L53" s="1955"/>
      <c r="M53" s="1955"/>
      <c r="N53" s="1955"/>
    </row>
    <row r="54" spans="1:14" ht="16.5">
      <c r="A54" s="1951">
        <f t="shared" si="0"/>
        <v>50</v>
      </c>
      <c r="B54" s="2511" t="s">
        <v>5963</v>
      </c>
      <c r="C54" s="1952"/>
      <c r="D54" s="1953" t="s">
        <v>4949</v>
      </c>
      <c r="E54" s="1951" t="s">
        <v>4950</v>
      </c>
      <c r="F54" s="1951" t="s">
        <v>4953</v>
      </c>
      <c r="G54" s="1951" t="s">
        <v>4973</v>
      </c>
      <c r="H54" s="1951" t="s">
        <v>4950</v>
      </c>
      <c r="I54" s="1955"/>
      <c r="J54" s="1955"/>
      <c r="K54" s="1955"/>
      <c r="L54" s="1955"/>
      <c r="M54" s="1955"/>
      <c r="N54" s="1955"/>
    </row>
    <row r="55" spans="1:14" ht="16.5">
      <c r="A55" s="1951">
        <f t="shared" si="0"/>
        <v>51</v>
      </c>
      <c r="B55" s="2511" t="s">
        <v>5964</v>
      </c>
      <c r="C55" s="1952"/>
      <c r="D55" s="1953" t="s">
        <v>4949</v>
      </c>
      <c r="E55" s="1951" t="s">
        <v>4950</v>
      </c>
      <c r="F55" s="1951" t="s">
        <v>4953</v>
      </c>
      <c r="G55" s="1951" t="s">
        <v>4974</v>
      </c>
      <c r="H55" s="1951" t="s">
        <v>4950</v>
      </c>
      <c r="I55" s="1955"/>
      <c r="J55" s="1955"/>
      <c r="K55" s="1955"/>
      <c r="L55" s="1955"/>
      <c r="M55" s="1955"/>
      <c r="N55" s="1955"/>
    </row>
    <row r="56" spans="1:14" ht="16.5">
      <c r="A56" s="1951">
        <f t="shared" si="0"/>
        <v>52</v>
      </c>
      <c r="B56" s="2511" t="s">
        <v>5965</v>
      </c>
      <c r="C56" s="1952"/>
      <c r="D56" s="1953" t="s">
        <v>4949</v>
      </c>
      <c r="E56" s="1951" t="s">
        <v>4950</v>
      </c>
      <c r="F56" s="1951" t="s">
        <v>4953</v>
      </c>
      <c r="G56" s="1951" t="s">
        <v>4975</v>
      </c>
      <c r="H56" s="1951" t="s">
        <v>4950</v>
      </c>
      <c r="I56" s="1955"/>
      <c r="J56" s="1955"/>
      <c r="K56" s="1955"/>
      <c r="L56" s="1955"/>
      <c r="M56" s="1955"/>
      <c r="N56" s="1955"/>
    </row>
    <row r="57" spans="1:14" ht="16.5">
      <c r="A57" s="1951">
        <f t="shared" si="0"/>
        <v>53</v>
      </c>
      <c r="B57" s="2512" t="s">
        <v>5966</v>
      </c>
      <c r="C57" s="1952"/>
      <c r="D57" s="1953" t="s">
        <v>4949</v>
      </c>
      <c r="E57" s="1951" t="s">
        <v>4950</v>
      </c>
      <c r="F57" s="1951" t="s">
        <v>4953</v>
      </c>
      <c r="G57" s="1951" t="s">
        <v>4976</v>
      </c>
      <c r="H57" s="1951" t="s">
        <v>4950</v>
      </c>
      <c r="I57" s="1955"/>
      <c r="J57" s="1955"/>
      <c r="K57" s="1955"/>
      <c r="L57" s="1955"/>
      <c r="M57" s="1955"/>
      <c r="N57" s="1955"/>
    </row>
    <row r="58" spans="1:14" ht="16.5">
      <c r="A58" s="1951">
        <f t="shared" si="0"/>
        <v>54</v>
      </c>
      <c r="B58" s="2512" t="s">
        <v>5967</v>
      </c>
      <c r="C58" s="1952"/>
      <c r="D58" s="1953" t="s">
        <v>4949</v>
      </c>
      <c r="E58" s="1951" t="s">
        <v>4950</v>
      </c>
      <c r="F58" s="1951" t="s">
        <v>4953</v>
      </c>
      <c r="G58" s="1951" t="s">
        <v>4954</v>
      </c>
      <c r="H58" s="1951" t="s">
        <v>4950</v>
      </c>
      <c r="I58" s="1955"/>
      <c r="J58" s="1955"/>
      <c r="K58" s="1955"/>
      <c r="L58" s="1955"/>
      <c r="M58" s="1955"/>
      <c r="N58" s="1955"/>
    </row>
    <row r="59" spans="1:14" ht="16.5">
      <c r="A59" s="1951">
        <f t="shared" si="0"/>
        <v>55</v>
      </c>
      <c r="B59" s="2512" t="s">
        <v>5968</v>
      </c>
      <c r="C59" s="1952"/>
      <c r="D59" s="1953" t="s">
        <v>4949</v>
      </c>
      <c r="E59" s="1951" t="s">
        <v>4950</v>
      </c>
      <c r="F59" s="1951" t="s">
        <v>4953</v>
      </c>
      <c r="G59" s="1951" t="s">
        <v>4954</v>
      </c>
      <c r="H59" s="1951" t="s">
        <v>4950</v>
      </c>
      <c r="I59" s="1955"/>
      <c r="J59" s="1955"/>
      <c r="K59" s="1955"/>
      <c r="L59" s="1955"/>
      <c r="M59" s="1955"/>
      <c r="N59" s="1955"/>
    </row>
    <row r="60" spans="1:14" ht="16.5">
      <c r="A60" s="1951">
        <f t="shared" si="0"/>
        <v>56</v>
      </c>
      <c r="B60" s="2506" t="s">
        <v>5969</v>
      </c>
      <c r="C60" s="1952"/>
      <c r="D60" s="1951" t="s">
        <v>4949</v>
      </c>
      <c r="E60" s="1951" t="s">
        <v>4950</v>
      </c>
      <c r="F60" s="1951" t="s">
        <v>4953</v>
      </c>
      <c r="G60" s="1951" t="s">
        <v>4954</v>
      </c>
      <c r="H60" s="1951" t="s">
        <v>4950</v>
      </c>
      <c r="I60" s="1955"/>
      <c r="J60" s="1955"/>
      <c r="K60" s="1955"/>
      <c r="L60" s="1955"/>
      <c r="M60" s="1955"/>
      <c r="N60" s="1955"/>
    </row>
    <row r="61" spans="1:14" ht="16.5">
      <c r="A61" s="1951">
        <f t="shared" si="0"/>
        <v>57</v>
      </c>
      <c r="B61" s="2506" t="s">
        <v>5970</v>
      </c>
      <c r="C61" s="1952"/>
      <c r="D61" s="1951" t="s">
        <v>4957</v>
      </c>
      <c r="E61" s="1951" t="s">
        <v>4950</v>
      </c>
      <c r="F61" s="1951" t="s">
        <v>4953</v>
      </c>
      <c r="G61" s="1957" t="s">
        <v>4977</v>
      </c>
      <c r="H61" s="1951" t="s">
        <v>4950</v>
      </c>
      <c r="I61" s="1955"/>
      <c r="J61" s="1955"/>
      <c r="K61" s="1955"/>
      <c r="L61" s="1955"/>
      <c r="M61" s="1955"/>
      <c r="N61" s="1955"/>
    </row>
    <row r="62" spans="1:14" ht="16.5">
      <c r="A62" s="1951">
        <f t="shared" si="0"/>
        <v>58</v>
      </c>
      <c r="B62" s="2506" t="s">
        <v>5971</v>
      </c>
      <c r="C62" s="1952"/>
      <c r="D62" s="1953" t="s">
        <v>4952</v>
      </c>
      <c r="E62" s="1951" t="s">
        <v>4950</v>
      </c>
      <c r="F62" s="1951" t="s">
        <v>4953</v>
      </c>
      <c r="G62" s="1951" t="s">
        <v>4954</v>
      </c>
      <c r="H62" s="1951" t="s">
        <v>4950</v>
      </c>
      <c r="I62" s="1955"/>
      <c r="J62" s="1955"/>
      <c r="K62" s="1955"/>
      <c r="L62" s="1955"/>
      <c r="M62" s="1955"/>
      <c r="N62" s="1955"/>
    </row>
    <row r="63" spans="1:14" ht="16.5">
      <c r="A63" s="1951">
        <f t="shared" si="0"/>
        <v>59</v>
      </c>
      <c r="B63" s="2506" t="s">
        <v>5972</v>
      </c>
      <c r="C63" s="1952"/>
      <c r="D63" s="1953" t="s">
        <v>4949</v>
      </c>
      <c r="E63" s="1951" t="s">
        <v>4958</v>
      </c>
      <c r="F63" s="1951" t="s">
        <v>4956</v>
      </c>
      <c r="G63" s="1957"/>
      <c r="H63" s="1951" t="s">
        <v>4950</v>
      </c>
      <c r="I63" s="1955"/>
      <c r="J63" s="1955"/>
      <c r="K63" s="1955"/>
      <c r="L63" s="1955"/>
      <c r="M63" s="1955"/>
      <c r="N63" s="1955"/>
    </row>
    <row r="64" spans="1:14" ht="16.5">
      <c r="A64" s="1951">
        <f t="shared" si="0"/>
        <v>60</v>
      </c>
      <c r="B64" s="2506" t="s">
        <v>5973</v>
      </c>
      <c r="C64" s="1952"/>
      <c r="D64" s="1953" t="s">
        <v>4949</v>
      </c>
      <c r="E64" s="1951" t="s">
        <v>4958</v>
      </c>
      <c r="F64" s="1951" t="s">
        <v>4956</v>
      </c>
      <c r="G64" s="1957"/>
      <c r="H64" s="1951" t="s">
        <v>4950</v>
      </c>
      <c r="I64" s="1955"/>
      <c r="J64" s="1955"/>
      <c r="K64" s="1955"/>
      <c r="L64" s="1955"/>
      <c r="M64" s="1955"/>
      <c r="N64" s="1955"/>
    </row>
    <row r="65" spans="1:14" ht="16.5">
      <c r="A65" s="1951">
        <f t="shared" si="0"/>
        <v>61</v>
      </c>
      <c r="B65" s="2506" t="s">
        <v>5974</v>
      </c>
      <c r="C65" s="1952"/>
      <c r="D65" s="1953" t="s">
        <v>4949</v>
      </c>
      <c r="E65" s="1951" t="s">
        <v>4958</v>
      </c>
      <c r="F65" s="1951" t="s">
        <v>4958</v>
      </c>
      <c r="G65" s="1957"/>
      <c r="H65" s="1951" t="s">
        <v>4956</v>
      </c>
      <c r="I65" s="1955"/>
      <c r="J65" s="1955"/>
      <c r="K65" s="1955"/>
      <c r="L65" s="1955"/>
      <c r="M65" s="1955"/>
      <c r="N65" s="1955"/>
    </row>
    <row r="66" spans="1:14" ht="16.5">
      <c r="A66" s="1951">
        <f t="shared" si="0"/>
        <v>62</v>
      </c>
      <c r="B66" s="2506" t="s">
        <v>5975</v>
      </c>
      <c r="C66" s="1952"/>
      <c r="D66" s="1953" t="s">
        <v>4949</v>
      </c>
      <c r="E66" s="1951" t="s">
        <v>4958</v>
      </c>
      <c r="F66" s="1951" t="s">
        <v>4958</v>
      </c>
      <c r="G66" s="1957"/>
      <c r="H66" s="1951" t="s">
        <v>4950</v>
      </c>
      <c r="I66" s="1955"/>
      <c r="J66" s="1955"/>
      <c r="K66" s="1955"/>
      <c r="L66" s="1955"/>
      <c r="M66" s="1955"/>
      <c r="N66" s="1955"/>
    </row>
    <row r="67" spans="1:14" ht="16.5">
      <c r="A67" s="1951">
        <f t="shared" si="0"/>
        <v>63</v>
      </c>
      <c r="B67" s="2506" t="s">
        <v>5976</v>
      </c>
      <c r="C67" s="1952"/>
      <c r="D67" s="1953" t="s">
        <v>4949</v>
      </c>
      <c r="E67" s="1951" t="s">
        <v>4950</v>
      </c>
      <c r="F67" s="1951" t="s">
        <v>4958</v>
      </c>
      <c r="G67" s="1957"/>
      <c r="H67" s="1951" t="s">
        <v>4950</v>
      </c>
      <c r="I67" s="1955"/>
      <c r="J67" s="1955"/>
      <c r="K67" s="1955"/>
      <c r="L67" s="1955"/>
      <c r="M67" s="1955"/>
      <c r="N67" s="1955"/>
    </row>
    <row r="68" spans="1:14" ht="16.5">
      <c r="A68" s="1951">
        <f t="shared" si="0"/>
        <v>64</v>
      </c>
      <c r="B68" s="2506" t="s">
        <v>5977</v>
      </c>
      <c r="C68" s="1952"/>
      <c r="D68" s="1953" t="s">
        <v>4978</v>
      </c>
      <c r="E68" s="1951" t="s">
        <v>4956</v>
      </c>
      <c r="F68" s="1951" t="s">
        <v>4956</v>
      </c>
      <c r="G68" s="1957"/>
      <c r="H68" s="1951" t="s">
        <v>4956</v>
      </c>
      <c r="I68" s="1955"/>
      <c r="J68" s="1955"/>
      <c r="K68" s="1955"/>
      <c r="L68" s="1955"/>
      <c r="M68" s="1955"/>
      <c r="N68" s="1955"/>
    </row>
    <row r="69" spans="1:14" ht="16.5">
      <c r="A69" s="1951">
        <f t="shared" si="0"/>
        <v>65</v>
      </c>
      <c r="B69" s="2506" t="s">
        <v>5978</v>
      </c>
      <c r="C69" s="1952"/>
      <c r="D69" s="1951" t="s">
        <v>4949</v>
      </c>
      <c r="E69" s="1951" t="s">
        <v>4950</v>
      </c>
      <c r="F69" s="1951" t="s">
        <v>4958</v>
      </c>
      <c r="G69" s="1951"/>
      <c r="H69" s="1951" t="s">
        <v>4951</v>
      </c>
      <c r="I69" s="1955"/>
      <c r="J69" s="1955"/>
      <c r="K69" s="1955"/>
      <c r="L69" s="1955"/>
      <c r="M69" s="1955"/>
      <c r="N69" s="1955"/>
    </row>
    <row r="70" spans="1:14" ht="16.5">
      <c r="A70" s="1951">
        <f t="shared" si="0"/>
        <v>66</v>
      </c>
      <c r="B70" s="2506" t="s">
        <v>5979</v>
      </c>
      <c r="C70" s="1952"/>
      <c r="D70" s="1953" t="s">
        <v>4949</v>
      </c>
      <c r="E70" s="1951" t="s">
        <v>4950</v>
      </c>
      <c r="F70" s="1951" t="s">
        <v>4958</v>
      </c>
      <c r="G70" s="1951"/>
      <c r="H70" s="1951" t="s">
        <v>4951</v>
      </c>
      <c r="I70" s="1955"/>
      <c r="J70" s="1955"/>
      <c r="K70" s="1955"/>
      <c r="L70" s="1955"/>
      <c r="M70" s="1955"/>
      <c r="N70" s="1955"/>
    </row>
    <row r="71" spans="1:14" ht="33">
      <c r="A71" s="1951">
        <f t="shared" si="0"/>
        <v>67</v>
      </c>
      <c r="B71" s="2506" t="s">
        <v>5980</v>
      </c>
      <c r="C71" s="1952"/>
      <c r="D71" s="1953" t="s">
        <v>4949</v>
      </c>
      <c r="E71" s="1951" t="s">
        <v>4950</v>
      </c>
      <c r="F71" s="1951" t="s">
        <v>4959</v>
      </c>
      <c r="G71" s="1951" t="s">
        <v>4979</v>
      </c>
      <c r="H71" s="1951" t="s">
        <v>4980</v>
      </c>
      <c r="I71" s="1955"/>
      <c r="J71" s="1955"/>
      <c r="K71" s="1955"/>
      <c r="L71" s="1955"/>
      <c r="M71" s="1955"/>
      <c r="N71" s="1955"/>
    </row>
    <row r="72" spans="1:14" ht="16.5">
      <c r="A72" s="1951">
        <f t="shared" si="0"/>
        <v>68</v>
      </c>
      <c r="B72" s="2506" t="s">
        <v>5981</v>
      </c>
      <c r="C72" s="1952"/>
      <c r="D72" s="1953" t="s">
        <v>4949</v>
      </c>
      <c r="E72" s="1951" t="s">
        <v>4950</v>
      </c>
      <c r="F72" s="1951" t="s">
        <v>4959</v>
      </c>
      <c r="G72" s="1951" t="s">
        <v>4981</v>
      </c>
      <c r="H72" s="1951" t="s">
        <v>4950</v>
      </c>
      <c r="I72" s="1955"/>
      <c r="J72" s="1955"/>
      <c r="K72" s="1955"/>
      <c r="L72" s="1955"/>
      <c r="M72" s="1955"/>
      <c r="N72" s="1955"/>
    </row>
    <row r="73" spans="1:14" ht="16.5">
      <c r="A73" s="1951">
        <f t="shared" ref="A73:A141" si="1">A72+1</f>
        <v>69</v>
      </c>
      <c r="B73" s="2506" t="s">
        <v>5982</v>
      </c>
      <c r="C73" s="1952"/>
      <c r="D73" s="1953" t="s">
        <v>4949</v>
      </c>
      <c r="E73" s="1951" t="s">
        <v>4950</v>
      </c>
      <c r="F73" s="1951" t="s">
        <v>4959</v>
      </c>
      <c r="G73" s="1951" t="s">
        <v>4981</v>
      </c>
      <c r="H73" s="1951" t="s">
        <v>4956</v>
      </c>
      <c r="I73" s="1955"/>
      <c r="J73" s="1955"/>
      <c r="K73" s="1955"/>
      <c r="L73" s="1955"/>
      <c r="M73" s="1955"/>
      <c r="N73" s="1955"/>
    </row>
    <row r="74" spans="1:14" ht="16.5">
      <c r="A74" s="1951">
        <f t="shared" si="1"/>
        <v>70</v>
      </c>
      <c r="B74" s="2506" t="s">
        <v>5983</v>
      </c>
      <c r="C74" s="1952"/>
      <c r="D74" s="1953" t="s">
        <v>4952</v>
      </c>
      <c r="E74" s="1951" t="s">
        <v>4950</v>
      </c>
      <c r="F74" s="1951" t="s">
        <v>4951</v>
      </c>
      <c r="G74" s="1957"/>
      <c r="H74" s="1951" t="s">
        <v>4950</v>
      </c>
      <c r="I74" s="1955"/>
      <c r="J74" s="1955"/>
      <c r="K74" s="1955"/>
      <c r="L74" s="1955"/>
      <c r="M74" s="1955"/>
      <c r="N74" s="1955"/>
    </row>
    <row r="75" spans="1:14" ht="16.5">
      <c r="A75" s="1951">
        <f t="shared" si="1"/>
        <v>71</v>
      </c>
      <c r="B75" s="2506" t="s">
        <v>5984</v>
      </c>
      <c r="C75" s="1952"/>
      <c r="D75" s="1951" t="s">
        <v>4949</v>
      </c>
      <c r="E75" s="1951" t="s">
        <v>4958</v>
      </c>
      <c r="F75" s="1951" t="s">
        <v>4959</v>
      </c>
      <c r="G75" s="1957" t="s">
        <v>4982</v>
      </c>
      <c r="H75" s="1951" t="s">
        <v>4950</v>
      </c>
      <c r="I75" s="1955"/>
      <c r="J75" s="1955"/>
      <c r="K75" s="1955"/>
      <c r="L75" s="1955"/>
      <c r="M75" s="1955"/>
      <c r="N75" s="1955"/>
    </row>
    <row r="76" spans="1:14" ht="16.5">
      <c r="A76" s="1951">
        <f t="shared" si="1"/>
        <v>72</v>
      </c>
      <c r="B76" s="2506" t="s">
        <v>5985</v>
      </c>
      <c r="C76" s="1952"/>
      <c r="D76" s="1953" t="s">
        <v>4949</v>
      </c>
      <c r="E76" s="1951" t="s">
        <v>4958</v>
      </c>
      <c r="F76" s="1951" t="s">
        <v>4951</v>
      </c>
      <c r="G76" s="1957" t="s">
        <v>4983</v>
      </c>
      <c r="H76" s="1951" t="s">
        <v>4950</v>
      </c>
      <c r="I76" s="1955"/>
      <c r="J76" s="1955"/>
      <c r="K76" s="1955"/>
      <c r="L76" s="1955"/>
      <c r="M76" s="1955"/>
      <c r="N76" s="1955"/>
    </row>
    <row r="77" spans="1:14" ht="16.5">
      <c r="A77" s="1951">
        <f t="shared" si="1"/>
        <v>73</v>
      </c>
      <c r="B77" s="2506" t="s">
        <v>5986</v>
      </c>
      <c r="C77" s="1952"/>
      <c r="D77" s="1951" t="s">
        <v>4949</v>
      </c>
      <c r="E77" s="1951" t="s">
        <v>4958</v>
      </c>
      <c r="F77" s="1951" t="s">
        <v>4959</v>
      </c>
      <c r="G77" s="1957" t="s">
        <v>4982</v>
      </c>
      <c r="H77" s="1951" t="s">
        <v>4950</v>
      </c>
      <c r="I77" s="1955"/>
      <c r="J77" s="1955"/>
      <c r="K77" s="1955"/>
      <c r="L77" s="1955"/>
      <c r="M77" s="1955"/>
      <c r="N77" s="1955"/>
    </row>
    <row r="78" spans="1:14" ht="16.5">
      <c r="A78" s="1951">
        <f t="shared" si="1"/>
        <v>74</v>
      </c>
      <c r="B78" s="2506" t="s">
        <v>5987</v>
      </c>
      <c r="C78" s="1952"/>
      <c r="D78" s="1953" t="s">
        <v>4949</v>
      </c>
      <c r="E78" s="1951" t="s">
        <v>4958</v>
      </c>
      <c r="F78" s="1951" t="s">
        <v>4951</v>
      </c>
      <c r="G78" s="1957" t="s">
        <v>4983</v>
      </c>
      <c r="H78" s="1951" t="s">
        <v>4950</v>
      </c>
      <c r="I78" s="1955"/>
      <c r="J78" s="1955"/>
      <c r="K78" s="1955"/>
      <c r="L78" s="1955"/>
      <c r="M78" s="1955"/>
      <c r="N78" s="1955"/>
    </row>
    <row r="79" spans="1:14" ht="16.5">
      <c r="A79" s="1951">
        <f t="shared" si="1"/>
        <v>75</v>
      </c>
      <c r="B79" s="2506" t="s">
        <v>5988</v>
      </c>
      <c r="C79" s="1952"/>
      <c r="D79" s="1953" t="s">
        <v>4949</v>
      </c>
      <c r="E79" s="1951" t="s">
        <v>4958</v>
      </c>
      <c r="F79" s="1951" t="s">
        <v>4951</v>
      </c>
      <c r="G79" s="1957" t="s">
        <v>4982</v>
      </c>
      <c r="H79" s="1951" t="s">
        <v>4950</v>
      </c>
      <c r="I79" s="1955"/>
      <c r="J79" s="1955"/>
      <c r="K79" s="1955"/>
      <c r="L79" s="1955"/>
      <c r="M79" s="1955"/>
      <c r="N79" s="1955"/>
    </row>
    <row r="80" spans="1:14" ht="16.5">
      <c r="A80" s="1951">
        <f t="shared" si="1"/>
        <v>76</v>
      </c>
      <c r="B80" s="2506" t="s">
        <v>5989</v>
      </c>
      <c r="C80" s="1952"/>
      <c r="D80" s="1953" t="s">
        <v>4949</v>
      </c>
      <c r="E80" s="1951" t="s">
        <v>4958</v>
      </c>
      <c r="F80" s="1951" t="s">
        <v>4951</v>
      </c>
      <c r="G80" s="1957" t="s">
        <v>4983</v>
      </c>
      <c r="H80" s="1951" t="s">
        <v>4950</v>
      </c>
      <c r="I80" s="1955"/>
      <c r="J80" s="1955"/>
      <c r="K80" s="1955"/>
      <c r="L80" s="1955"/>
      <c r="M80" s="1955"/>
      <c r="N80" s="1955"/>
    </row>
    <row r="81" spans="1:14" ht="16.5">
      <c r="A81" s="1951">
        <f t="shared" si="1"/>
        <v>77</v>
      </c>
      <c r="B81" s="2506" t="s">
        <v>5990</v>
      </c>
      <c r="C81" s="1952"/>
      <c r="D81" s="1953" t="s">
        <v>4949</v>
      </c>
      <c r="E81" s="1951" t="s">
        <v>4958</v>
      </c>
      <c r="F81" s="1951" t="s">
        <v>4951</v>
      </c>
      <c r="G81" s="1957" t="s">
        <v>4982</v>
      </c>
      <c r="H81" s="1951" t="s">
        <v>4950</v>
      </c>
      <c r="I81" s="1955"/>
      <c r="J81" s="1955"/>
      <c r="K81" s="1955"/>
      <c r="L81" s="1955"/>
      <c r="M81" s="1955"/>
      <c r="N81" s="1955"/>
    </row>
    <row r="82" spans="1:14" ht="16.5">
      <c r="A82" s="1951">
        <f t="shared" si="1"/>
        <v>78</v>
      </c>
      <c r="B82" s="2506" t="s">
        <v>5991</v>
      </c>
      <c r="C82" s="1952"/>
      <c r="D82" s="1953" t="s">
        <v>4949</v>
      </c>
      <c r="E82" s="1951" t="s">
        <v>4958</v>
      </c>
      <c r="F82" s="1951" t="s">
        <v>4951</v>
      </c>
      <c r="G82" s="1957" t="s">
        <v>4983</v>
      </c>
      <c r="H82" s="1951" t="s">
        <v>4950</v>
      </c>
      <c r="I82" s="1955"/>
      <c r="J82" s="1955"/>
      <c r="K82" s="1955"/>
      <c r="L82" s="1955"/>
      <c r="M82" s="1955"/>
      <c r="N82" s="1955"/>
    </row>
    <row r="83" spans="1:14" ht="16.5">
      <c r="A83" s="1951">
        <f t="shared" si="1"/>
        <v>79</v>
      </c>
      <c r="B83" s="2506" t="s">
        <v>5992</v>
      </c>
      <c r="C83" s="1952"/>
      <c r="D83" s="1953" t="s">
        <v>4949</v>
      </c>
      <c r="E83" s="1951" t="s">
        <v>4958</v>
      </c>
      <c r="F83" s="1951" t="s">
        <v>4956</v>
      </c>
      <c r="G83" s="1957"/>
      <c r="H83" s="1951" t="s">
        <v>4951</v>
      </c>
      <c r="I83" s="1955"/>
      <c r="J83" s="1955"/>
      <c r="K83" s="1955"/>
      <c r="L83" s="1955"/>
      <c r="M83" s="1955"/>
      <c r="N83" s="1955"/>
    </row>
    <row r="84" spans="1:14" ht="16.5">
      <c r="A84" s="1951">
        <f t="shared" si="1"/>
        <v>80</v>
      </c>
      <c r="B84" s="2506" t="s">
        <v>5993</v>
      </c>
      <c r="C84" s="1952"/>
      <c r="D84" s="1953" t="s">
        <v>4949</v>
      </c>
      <c r="E84" s="1951" t="s">
        <v>4958</v>
      </c>
      <c r="F84" s="1951" t="s">
        <v>4956</v>
      </c>
      <c r="G84" s="1957"/>
      <c r="H84" s="1951" t="s">
        <v>4951</v>
      </c>
      <c r="I84" s="1955"/>
      <c r="J84" s="1955"/>
      <c r="K84" s="1955"/>
      <c r="L84" s="1955"/>
      <c r="M84" s="1955"/>
      <c r="N84" s="1955"/>
    </row>
    <row r="85" spans="1:14" ht="16.5">
      <c r="A85" s="1951">
        <f t="shared" si="1"/>
        <v>81</v>
      </c>
      <c r="B85" s="2506" t="s">
        <v>5994</v>
      </c>
      <c r="C85" s="1952"/>
      <c r="D85" s="1953" t="s">
        <v>4949</v>
      </c>
      <c r="E85" s="1951" t="s">
        <v>4958</v>
      </c>
      <c r="F85" s="1951" t="s">
        <v>4956</v>
      </c>
      <c r="G85" s="1957"/>
      <c r="H85" s="1951" t="s">
        <v>4951</v>
      </c>
      <c r="I85" s="1955"/>
      <c r="J85" s="1955"/>
      <c r="K85" s="1955"/>
      <c r="L85" s="1955"/>
      <c r="M85" s="1955"/>
      <c r="N85" s="1955"/>
    </row>
    <row r="86" spans="1:14" ht="16.5">
      <c r="A86" s="1951">
        <f t="shared" si="1"/>
        <v>82</v>
      </c>
      <c r="B86" s="2506" t="s">
        <v>5995</v>
      </c>
      <c r="C86" s="1952"/>
      <c r="D86" s="1951" t="s">
        <v>4949</v>
      </c>
      <c r="E86" s="1951" t="s">
        <v>4958</v>
      </c>
      <c r="F86" s="1951" t="s">
        <v>4958</v>
      </c>
      <c r="G86" s="1957"/>
      <c r="H86" s="1951" t="s">
        <v>4951</v>
      </c>
      <c r="I86" s="1955"/>
      <c r="J86" s="1955"/>
      <c r="K86" s="1955"/>
      <c r="L86" s="1955"/>
      <c r="M86" s="1955"/>
      <c r="N86" s="1955"/>
    </row>
    <row r="87" spans="1:14" ht="16.5">
      <c r="A87" s="1951">
        <f t="shared" si="1"/>
        <v>83</v>
      </c>
      <c r="B87" s="2506" t="s">
        <v>5996</v>
      </c>
      <c r="C87" s="1952"/>
      <c r="D87" s="1953" t="s">
        <v>4949</v>
      </c>
      <c r="E87" s="1951" t="s">
        <v>4958</v>
      </c>
      <c r="F87" s="1951" t="s">
        <v>4956</v>
      </c>
      <c r="G87" s="1957"/>
      <c r="H87" s="1951" t="s">
        <v>4951</v>
      </c>
      <c r="I87" s="1955"/>
      <c r="J87" s="1955"/>
      <c r="K87" s="1955"/>
      <c r="L87" s="1955"/>
      <c r="M87" s="1955"/>
      <c r="N87" s="1955"/>
    </row>
    <row r="88" spans="1:14" ht="16.5">
      <c r="A88" s="1951">
        <f t="shared" si="1"/>
        <v>84</v>
      </c>
      <c r="B88" s="2506" t="s">
        <v>5997</v>
      </c>
      <c r="C88" s="1952"/>
      <c r="D88" s="1953" t="s">
        <v>4949</v>
      </c>
      <c r="E88" s="1951" t="s">
        <v>4958</v>
      </c>
      <c r="F88" s="1951" t="s">
        <v>4956</v>
      </c>
      <c r="G88" s="1957"/>
      <c r="H88" s="1951" t="s">
        <v>4951</v>
      </c>
      <c r="I88" s="1955"/>
      <c r="J88" s="1955"/>
      <c r="K88" s="1955"/>
      <c r="L88" s="1955"/>
      <c r="M88" s="1955"/>
      <c r="N88" s="1955"/>
    </row>
    <row r="89" spans="1:14" ht="16.5">
      <c r="A89" s="1951">
        <f t="shared" si="1"/>
        <v>85</v>
      </c>
      <c r="B89" s="2506" t="s">
        <v>5998</v>
      </c>
      <c r="C89" s="1952"/>
      <c r="D89" s="1951" t="s">
        <v>4949</v>
      </c>
      <c r="E89" s="1951" t="s">
        <v>4958</v>
      </c>
      <c r="F89" s="1951" t="s">
        <v>4959</v>
      </c>
      <c r="G89" s="1957"/>
      <c r="H89" s="1951" t="s">
        <v>4951</v>
      </c>
      <c r="I89" s="1955"/>
      <c r="J89" s="1955"/>
      <c r="K89" s="1955"/>
      <c r="L89" s="1955"/>
      <c r="M89" s="1955"/>
      <c r="N89" s="1955"/>
    </row>
    <row r="90" spans="1:14" ht="16.5">
      <c r="A90" s="1951">
        <f t="shared" si="1"/>
        <v>86</v>
      </c>
      <c r="B90" s="2506" t="s">
        <v>5999</v>
      </c>
      <c r="C90" s="1952"/>
      <c r="D90" s="1951" t="s">
        <v>4949</v>
      </c>
      <c r="E90" s="1951" t="s">
        <v>4958</v>
      </c>
      <c r="F90" s="1951" t="s">
        <v>4958</v>
      </c>
      <c r="G90" s="1957"/>
      <c r="H90" s="1951" t="s">
        <v>4956</v>
      </c>
      <c r="I90" s="1955"/>
      <c r="J90" s="1955"/>
      <c r="K90" s="1955"/>
      <c r="L90" s="1955"/>
      <c r="M90" s="1955"/>
      <c r="N90" s="1955"/>
    </row>
    <row r="91" spans="1:14" ht="16.5">
      <c r="A91" s="1951">
        <f t="shared" si="1"/>
        <v>87</v>
      </c>
      <c r="B91" s="2506" t="s">
        <v>6000</v>
      </c>
      <c r="C91" s="1952"/>
      <c r="D91" s="1953" t="s">
        <v>4949</v>
      </c>
      <c r="E91" s="1951" t="s">
        <v>4958</v>
      </c>
      <c r="F91" s="1951" t="s">
        <v>4958</v>
      </c>
      <c r="G91" s="1957"/>
      <c r="H91" s="1951" t="s">
        <v>4958</v>
      </c>
      <c r="I91" s="1955"/>
      <c r="J91" s="1955"/>
      <c r="K91" s="1955"/>
      <c r="L91" s="1955"/>
      <c r="M91" s="1955"/>
      <c r="N91" s="1955"/>
    </row>
    <row r="92" spans="1:14" ht="16.5">
      <c r="A92" s="1951">
        <f t="shared" si="1"/>
        <v>88</v>
      </c>
      <c r="B92" s="2506" t="s">
        <v>6001</v>
      </c>
      <c r="C92" s="1952"/>
      <c r="D92" s="1953" t="s">
        <v>4949</v>
      </c>
      <c r="E92" s="1951" t="s">
        <v>4958</v>
      </c>
      <c r="F92" s="1951" t="s">
        <v>4956</v>
      </c>
      <c r="G92" s="1957"/>
      <c r="H92" s="1951" t="s">
        <v>4951</v>
      </c>
      <c r="I92" s="1955"/>
      <c r="J92" s="1955"/>
      <c r="K92" s="1955"/>
      <c r="L92" s="1955"/>
      <c r="M92" s="1955"/>
      <c r="N92" s="1955"/>
    </row>
    <row r="93" spans="1:14" ht="16.5">
      <c r="A93" s="1951">
        <f t="shared" si="1"/>
        <v>89</v>
      </c>
      <c r="B93" s="2506" t="s">
        <v>6002</v>
      </c>
      <c r="C93" s="1952"/>
      <c r="D93" s="1953" t="s">
        <v>4949</v>
      </c>
      <c r="E93" s="1951" t="s">
        <v>4958</v>
      </c>
      <c r="F93" s="1951" t="s">
        <v>4956</v>
      </c>
      <c r="G93" s="1957"/>
      <c r="H93" s="1951" t="s">
        <v>4951</v>
      </c>
      <c r="I93" s="1955"/>
      <c r="J93" s="1955"/>
      <c r="K93" s="1955"/>
      <c r="L93" s="1955"/>
      <c r="M93" s="1955"/>
      <c r="N93" s="1955"/>
    </row>
    <row r="94" spans="1:14" ht="16.5">
      <c r="A94" s="1951">
        <f t="shared" si="1"/>
        <v>90</v>
      </c>
      <c r="B94" s="3533" t="s">
        <v>8576</v>
      </c>
      <c r="C94" s="1952"/>
      <c r="D94" s="1951" t="s">
        <v>4949</v>
      </c>
      <c r="E94" s="1951" t="s">
        <v>4956</v>
      </c>
      <c r="F94" s="1951" t="s">
        <v>4956</v>
      </c>
      <c r="G94" s="1957"/>
      <c r="H94" s="1951" t="s">
        <v>4951</v>
      </c>
      <c r="I94" s="1955"/>
      <c r="J94" s="1955"/>
      <c r="K94" s="1955"/>
      <c r="L94" s="1955"/>
      <c r="M94" s="1955"/>
      <c r="N94" s="1955"/>
    </row>
    <row r="95" spans="1:14" ht="16.5">
      <c r="A95" s="1951">
        <f t="shared" si="1"/>
        <v>91</v>
      </c>
      <c r="B95" s="2506" t="s">
        <v>6003</v>
      </c>
      <c r="C95" s="1952"/>
      <c r="D95" s="1951" t="s">
        <v>4949</v>
      </c>
      <c r="E95" s="1951" t="s">
        <v>4950</v>
      </c>
      <c r="F95" s="1951" t="s">
        <v>4956</v>
      </c>
      <c r="G95" s="1957"/>
      <c r="H95" s="1951" t="s">
        <v>4953</v>
      </c>
      <c r="I95" s="1955"/>
      <c r="J95" s="1955"/>
      <c r="K95" s="1955"/>
      <c r="L95" s="1955"/>
      <c r="M95" s="1955"/>
      <c r="N95" s="1955"/>
    </row>
    <row r="96" spans="1:14" ht="16.5">
      <c r="A96" s="1951">
        <f t="shared" si="1"/>
        <v>92</v>
      </c>
      <c r="B96" s="2506" t="s">
        <v>6004</v>
      </c>
      <c r="C96" s="1952"/>
      <c r="D96" s="1951" t="s">
        <v>4949</v>
      </c>
      <c r="E96" s="1951" t="s">
        <v>4950</v>
      </c>
      <c r="F96" s="1951" t="s">
        <v>4956</v>
      </c>
      <c r="G96" s="1957"/>
      <c r="H96" s="1951" t="s">
        <v>4953</v>
      </c>
      <c r="I96" s="1955"/>
      <c r="J96" s="1955"/>
      <c r="K96" s="1955"/>
      <c r="L96" s="1955"/>
      <c r="M96" s="1955"/>
      <c r="N96" s="1955"/>
    </row>
    <row r="97" spans="1:14" ht="16.5">
      <c r="A97" s="1951">
        <f t="shared" si="1"/>
        <v>93</v>
      </c>
      <c r="B97" s="2506" t="s">
        <v>6005</v>
      </c>
      <c r="C97" s="1952"/>
      <c r="D97" s="1951" t="s">
        <v>4949</v>
      </c>
      <c r="E97" s="1951" t="s">
        <v>4950</v>
      </c>
      <c r="F97" s="1951" t="s">
        <v>4956</v>
      </c>
      <c r="G97" s="1957"/>
      <c r="H97" s="1951" t="s">
        <v>4953</v>
      </c>
      <c r="I97" s="1955"/>
      <c r="J97" s="1955"/>
      <c r="K97" s="1955"/>
      <c r="L97" s="1955"/>
      <c r="M97" s="1955"/>
      <c r="N97" s="1955"/>
    </row>
    <row r="98" spans="1:14" ht="16.5">
      <c r="A98" s="1951">
        <f t="shared" si="1"/>
        <v>94</v>
      </c>
      <c r="B98" s="2506" t="s">
        <v>6006</v>
      </c>
      <c r="C98" s="1952"/>
      <c r="D98" s="1951" t="s">
        <v>4949</v>
      </c>
      <c r="E98" s="1951" t="s">
        <v>4950</v>
      </c>
      <c r="F98" s="1951" t="s">
        <v>4956</v>
      </c>
      <c r="G98" s="1951"/>
      <c r="H98" s="1951" t="s">
        <v>4953</v>
      </c>
      <c r="I98" s="1955"/>
      <c r="J98" s="1955"/>
      <c r="K98" s="1955"/>
      <c r="L98" s="1955"/>
      <c r="M98" s="1955"/>
      <c r="N98" s="1955"/>
    </row>
    <row r="99" spans="1:14" ht="16.5">
      <c r="A99" s="1951">
        <f t="shared" si="1"/>
        <v>95</v>
      </c>
      <c r="B99" s="2506" t="s">
        <v>6007</v>
      </c>
      <c r="C99" s="1952"/>
      <c r="D99" s="1951" t="s">
        <v>4952</v>
      </c>
      <c r="E99" s="1951" t="s">
        <v>4958</v>
      </c>
      <c r="F99" s="1951" t="s">
        <v>4959</v>
      </c>
      <c r="G99" s="1951" t="s">
        <v>4960</v>
      </c>
      <c r="H99" s="1951" t="s">
        <v>4958</v>
      </c>
      <c r="I99" s="1955"/>
      <c r="J99" s="1955"/>
      <c r="K99" s="1955"/>
      <c r="L99" s="1955"/>
      <c r="M99" s="1955"/>
      <c r="N99" s="1955"/>
    </row>
    <row r="100" spans="1:14" ht="33">
      <c r="A100" s="1951">
        <f t="shared" si="1"/>
        <v>96</v>
      </c>
      <c r="B100" s="2513" t="s">
        <v>6008</v>
      </c>
      <c r="C100" s="1952"/>
      <c r="D100" s="1951" t="s">
        <v>4949</v>
      </c>
      <c r="E100" s="1951" t="s">
        <v>4950</v>
      </c>
      <c r="F100" s="1951" t="s">
        <v>4953</v>
      </c>
      <c r="G100" s="1951" t="s">
        <v>4954</v>
      </c>
      <c r="H100" s="1951" t="s">
        <v>4950</v>
      </c>
      <c r="I100" s="1955"/>
      <c r="J100" s="1955"/>
      <c r="K100" s="1955"/>
      <c r="L100" s="1955"/>
      <c r="M100" s="1955"/>
      <c r="N100" s="1955"/>
    </row>
    <row r="101" spans="1:14" ht="33">
      <c r="A101" s="1951">
        <f t="shared" si="1"/>
        <v>97</v>
      </c>
      <c r="B101" s="2513" t="s">
        <v>6009</v>
      </c>
      <c r="C101" s="1952"/>
      <c r="D101" s="1951" t="s">
        <v>4949</v>
      </c>
      <c r="E101" s="1951" t="s">
        <v>4950</v>
      </c>
      <c r="F101" s="1951" t="s">
        <v>4953</v>
      </c>
      <c r="G101" s="1951" t="s">
        <v>4954</v>
      </c>
      <c r="H101" s="1951" t="s">
        <v>4950</v>
      </c>
      <c r="I101" s="1955"/>
      <c r="J101" s="1955"/>
      <c r="K101" s="1955"/>
      <c r="L101" s="1955"/>
      <c r="M101" s="1955"/>
      <c r="N101" s="1955"/>
    </row>
    <row r="102" spans="1:14" ht="33">
      <c r="A102" s="1951">
        <f t="shared" si="1"/>
        <v>98</v>
      </c>
      <c r="B102" s="2513" t="s">
        <v>6010</v>
      </c>
      <c r="C102" s="1952"/>
      <c r="D102" s="1951" t="s">
        <v>4949</v>
      </c>
      <c r="E102" s="1951" t="s">
        <v>4950</v>
      </c>
      <c r="F102" s="1951" t="s">
        <v>4953</v>
      </c>
      <c r="G102" s="1951" t="s">
        <v>4954</v>
      </c>
      <c r="H102" s="1951" t="s">
        <v>4950</v>
      </c>
      <c r="I102" s="1955"/>
      <c r="J102" s="1955"/>
      <c r="K102" s="1955"/>
      <c r="L102" s="1955"/>
      <c r="M102" s="1955"/>
      <c r="N102" s="1955"/>
    </row>
    <row r="103" spans="1:14" ht="33">
      <c r="A103" s="1951">
        <f t="shared" si="1"/>
        <v>99</v>
      </c>
      <c r="B103" s="2513" t="s">
        <v>6011</v>
      </c>
      <c r="C103" s="1952"/>
      <c r="D103" s="1951" t="s">
        <v>4949</v>
      </c>
      <c r="E103" s="1951" t="s">
        <v>4950</v>
      </c>
      <c r="F103" s="1951" t="s">
        <v>4953</v>
      </c>
      <c r="G103" s="1951" t="s">
        <v>4954</v>
      </c>
      <c r="H103" s="1951" t="s">
        <v>4950</v>
      </c>
      <c r="I103" s="1955"/>
      <c r="J103" s="1955"/>
      <c r="K103" s="1955"/>
      <c r="L103" s="1955"/>
      <c r="M103" s="1955"/>
      <c r="N103" s="1955"/>
    </row>
    <row r="104" spans="1:14" ht="33">
      <c r="A104" s="1951">
        <f t="shared" si="1"/>
        <v>100</v>
      </c>
      <c r="B104" s="2513" t="s">
        <v>6012</v>
      </c>
      <c r="C104" s="1952"/>
      <c r="D104" s="1951" t="s">
        <v>4949</v>
      </c>
      <c r="E104" s="1951" t="s">
        <v>4950</v>
      </c>
      <c r="F104" s="1951" t="s">
        <v>4953</v>
      </c>
      <c r="G104" s="1951" t="s">
        <v>4954</v>
      </c>
      <c r="H104" s="1951" t="s">
        <v>4950</v>
      </c>
      <c r="I104" s="1955"/>
      <c r="J104" s="1955"/>
      <c r="K104" s="1955"/>
      <c r="L104" s="1955"/>
      <c r="M104" s="1955"/>
      <c r="N104" s="1955"/>
    </row>
    <row r="105" spans="1:14" ht="16.5">
      <c r="A105" s="1951">
        <f t="shared" si="1"/>
        <v>101</v>
      </c>
      <c r="B105" s="2506" t="s">
        <v>6013</v>
      </c>
      <c r="C105" s="1952"/>
      <c r="D105" s="1951" t="s">
        <v>4949</v>
      </c>
      <c r="E105" s="1951" t="s">
        <v>4950</v>
      </c>
      <c r="F105" s="1951" t="s">
        <v>4953</v>
      </c>
      <c r="G105" s="1951" t="s">
        <v>4954</v>
      </c>
      <c r="H105" s="1951" t="s">
        <v>4950</v>
      </c>
      <c r="I105" s="1955"/>
      <c r="J105" s="1955"/>
      <c r="K105" s="1955"/>
      <c r="L105" s="1955"/>
      <c r="M105" s="1955"/>
      <c r="N105" s="1955"/>
    </row>
    <row r="106" spans="1:14" ht="33">
      <c r="A106" s="1951">
        <f t="shared" si="1"/>
        <v>102</v>
      </c>
      <c r="B106" s="2513" t="s">
        <v>6014</v>
      </c>
      <c r="C106" s="1952"/>
      <c r="D106" s="1951" t="s">
        <v>4949</v>
      </c>
      <c r="E106" s="1951" t="s">
        <v>4950</v>
      </c>
      <c r="F106" s="1951" t="s">
        <v>4953</v>
      </c>
      <c r="G106" s="1951" t="s">
        <v>4954</v>
      </c>
      <c r="H106" s="1951" t="s">
        <v>4950</v>
      </c>
      <c r="I106" s="1955"/>
      <c r="J106" s="1955"/>
      <c r="K106" s="1955"/>
      <c r="L106" s="1955"/>
      <c r="M106" s="1955"/>
      <c r="N106" s="1955"/>
    </row>
    <row r="107" spans="1:14" ht="33">
      <c r="A107" s="1951">
        <f t="shared" si="1"/>
        <v>103</v>
      </c>
      <c r="B107" s="2513" t="s">
        <v>6015</v>
      </c>
      <c r="C107" s="1952"/>
      <c r="D107" s="1951" t="s">
        <v>4949</v>
      </c>
      <c r="E107" s="1951" t="s">
        <v>4950</v>
      </c>
      <c r="F107" s="1951" t="s">
        <v>4953</v>
      </c>
      <c r="G107" s="1951" t="s">
        <v>4954</v>
      </c>
      <c r="H107" s="1951" t="s">
        <v>4950</v>
      </c>
      <c r="I107" s="1955"/>
      <c r="J107" s="1955"/>
      <c r="K107" s="1955"/>
      <c r="L107" s="1955"/>
      <c r="M107" s="1955"/>
      <c r="N107" s="1955"/>
    </row>
    <row r="108" spans="1:14" ht="49.5">
      <c r="A108" s="1951">
        <f t="shared" si="1"/>
        <v>104</v>
      </c>
      <c r="B108" s="2513" t="s">
        <v>6016</v>
      </c>
      <c r="C108" s="1952"/>
      <c r="D108" s="1951" t="s">
        <v>4949</v>
      </c>
      <c r="E108" s="1951" t="s">
        <v>4950</v>
      </c>
      <c r="F108" s="1951" t="s">
        <v>4953</v>
      </c>
      <c r="G108" s="1951" t="s">
        <v>4954</v>
      </c>
      <c r="H108" s="1951" t="s">
        <v>4950</v>
      </c>
      <c r="I108" s="1955"/>
      <c r="J108" s="1955"/>
      <c r="K108" s="1955"/>
      <c r="L108" s="1955"/>
      <c r="M108" s="1955"/>
      <c r="N108" s="1955"/>
    </row>
    <row r="109" spans="1:14" ht="33">
      <c r="A109" s="1951">
        <f t="shared" si="1"/>
        <v>105</v>
      </c>
      <c r="B109" s="2513" t="s">
        <v>6017</v>
      </c>
      <c r="C109" s="1952"/>
      <c r="D109" s="1951" t="s">
        <v>4949</v>
      </c>
      <c r="E109" s="1951" t="s">
        <v>4950</v>
      </c>
      <c r="F109" s="1951" t="s">
        <v>4953</v>
      </c>
      <c r="G109" s="1951" t="s">
        <v>4961</v>
      </c>
      <c r="H109" s="1951" t="s">
        <v>4953</v>
      </c>
      <c r="I109" s="1955"/>
      <c r="J109" s="1955"/>
      <c r="K109" s="1955"/>
      <c r="L109" s="1955"/>
      <c r="M109" s="1955"/>
      <c r="N109" s="1955"/>
    </row>
    <row r="110" spans="1:14" ht="16.5">
      <c r="A110" s="1951">
        <f t="shared" si="1"/>
        <v>106</v>
      </c>
      <c r="B110" s="2506" t="s">
        <v>6018</v>
      </c>
      <c r="C110" s="1952"/>
      <c r="D110" s="1953" t="s">
        <v>4952</v>
      </c>
      <c r="E110" s="1951" t="s">
        <v>4950</v>
      </c>
      <c r="F110" s="1951" t="s">
        <v>4951</v>
      </c>
      <c r="G110" s="1957" t="s">
        <v>4954</v>
      </c>
      <c r="H110" s="1951" t="s">
        <v>4953</v>
      </c>
      <c r="I110" s="1955"/>
      <c r="J110" s="1955"/>
      <c r="K110" s="1955"/>
      <c r="L110" s="1955"/>
      <c r="M110" s="1955"/>
      <c r="N110" s="1955"/>
    </row>
    <row r="111" spans="1:14" ht="16.5">
      <c r="A111" s="1951">
        <f t="shared" si="1"/>
        <v>107</v>
      </c>
      <c r="B111" s="2506" t="s">
        <v>6019</v>
      </c>
      <c r="C111" s="1952"/>
      <c r="D111" s="1953" t="s">
        <v>4952</v>
      </c>
      <c r="E111" s="1951" t="s">
        <v>4950</v>
      </c>
      <c r="F111" s="1951" t="s">
        <v>4951</v>
      </c>
      <c r="G111" s="1951" t="s">
        <v>4961</v>
      </c>
      <c r="H111" s="1951" t="s">
        <v>4950</v>
      </c>
      <c r="I111" s="1955"/>
      <c r="J111" s="1955"/>
      <c r="K111" s="1955"/>
      <c r="L111" s="1955"/>
      <c r="M111" s="1955"/>
      <c r="N111" s="1955"/>
    </row>
    <row r="112" spans="1:14" ht="16.5">
      <c r="A112" s="1951">
        <f t="shared" si="1"/>
        <v>108</v>
      </c>
      <c r="B112" s="2506" t="s">
        <v>6020</v>
      </c>
      <c r="C112" s="1952"/>
      <c r="D112" s="1953" t="s">
        <v>4949</v>
      </c>
      <c r="E112" s="1951" t="s">
        <v>4950</v>
      </c>
      <c r="F112" s="1951" t="s">
        <v>4951</v>
      </c>
      <c r="G112" s="1951" t="s">
        <v>4961</v>
      </c>
      <c r="H112" s="1951" t="s">
        <v>4950</v>
      </c>
      <c r="I112" s="1955"/>
      <c r="J112" s="1955"/>
      <c r="K112" s="1955"/>
      <c r="L112" s="1955"/>
      <c r="M112" s="1955"/>
      <c r="N112" s="1955"/>
    </row>
    <row r="113" spans="1:14" ht="16.5">
      <c r="A113" s="1951">
        <f t="shared" si="1"/>
        <v>109</v>
      </c>
      <c r="B113" s="2506" t="s">
        <v>5399</v>
      </c>
      <c r="C113" s="1952"/>
      <c r="D113" s="1953" t="s">
        <v>4949</v>
      </c>
      <c r="E113" s="1951" t="s">
        <v>4950</v>
      </c>
      <c r="F113" s="1951" t="s">
        <v>4951</v>
      </c>
      <c r="G113" s="1951" t="s">
        <v>4961</v>
      </c>
      <c r="H113" s="1951" t="s">
        <v>4950</v>
      </c>
      <c r="I113" s="1955"/>
      <c r="J113" s="1955"/>
      <c r="K113" s="1955"/>
      <c r="L113" s="1955"/>
      <c r="M113" s="1955"/>
      <c r="N113" s="1955"/>
    </row>
    <row r="114" spans="1:14" ht="16.5">
      <c r="A114" s="1951">
        <f t="shared" si="1"/>
        <v>110</v>
      </c>
      <c r="B114" s="2506" t="s">
        <v>6021</v>
      </c>
      <c r="C114" s="1952"/>
      <c r="D114" s="1953" t="s">
        <v>4949</v>
      </c>
      <c r="E114" s="1951" t="s">
        <v>4950</v>
      </c>
      <c r="F114" s="1951" t="s">
        <v>4951</v>
      </c>
      <c r="G114" s="1951" t="s">
        <v>4961</v>
      </c>
      <c r="H114" s="1951" t="s">
        <v>4950</v>
      </c>
      <c r="I114" s="1955"/>
      <c r="J114" s="1955"/>
      <c r="K114" s="1955"/>
      <c r="L114" s="1955"/>
      <c r="M114" s="1955"/>
      <c r="N114" s="1955"/>
    </row>
    <row r="115" spans="1:14" ht="33">
      <c r="A115" s="1951">
        <f t="shared" si="1"/>
        <v>111</v>
      </c>
      <c r="B115" s="2506" t="s">
        <v>6022</v>
      </c>
      <c r="C115" s="1952"/>
      <c r="D115" s="1953" t="s">
        <v>4949</v>
      </c>
      <c r="E115" s="1951" t="s">
        <v>4950</v>
      </c>
      <c r="F115" s="1951" t="s">
        <v>4951</v>
      </c>
      <c r="G115" s="1951" t="s">
        <v>4961</v>
      </c>
      <c r="H115" s="1951" t="s">
        <v>4950</v>
      </c>
      <c r="I115" s="1955"/>
      <c r="J115" s="1955"/>
      <c r="K115" s="1955"/>
      <c r="L115" s="1955"/>
      <c r="M115" s="1955"/>
      <c r="N115" s="1955"/>
    </row>
    <row r="116" spans="1:14" ht="16.5">
      <c r="A116" s="1951">
        <f t="shared" si="1"/>
        <v>112</v>
      </c>
      <c r="B116" s="2506" t="s">
        <v>6023</v>
      </c>
      <c r="C116" s="1952"/>
      <c r="D116" s="1953" t="s">
        <v>4949</v>
      </c>
      <c r="E116" s="1951" t="s">
        <v>4950</v>
      </c>
      <c r="F116" s="1951" t="s">
        <v>4951</v>
      </c>
      <c r="G116" s="1951" t="s">
        <v>4961</v>
      </c>
      <c r="H116" s="1951" t="s">
        <v>4950</v>
      </c>
      <c r="I116" s="1955"/>
      <c r="J116" s="1955"/>
      <c r="K116" s="1955"/>
      <c r="L116" s="1955"/>
      <c r="M116" s="1955"/>
      <c r="N116" s="1955"/>
    </row>
    <row r="117" spans="1:14" ht="16.5">
      <c r="A117" s="1951">
        <f t="shared" si="1"/>
        <v>113</v>
      </c>
      <c r="B117" s="2506" t="s">
        <v>6024</v>
      </c>
      <c r="C117" s="1952"/>
      <c r="D117" s="1953" t="s">
        <v>4949</v>
      </c>
      <c r="E117" s="1951" t="s">
        <v>4950</v>
      </c>
      <c r="F117" s="1951" t="s">
        <v>4951</v>
      </c>
      <c r="G117" s="1951" t="s">
        <v>4961</v>
      </c>
      <c r="H117" s="1953" t="s">
        <v>4958</v>
      </c>
      <c r="I117" s="1955"/>
      <c r="J117" s="1955"/>
      <c r="K117" s="1955"/>
      <c r="L117" s="1955"/>
      <c r="M117" s="1955"/>
      <c r="N117" s="1955"/>
    </row>
    <row r="118" spans="1:14" ht="16.5">
      <c r="A118" s="1951">
        <f t="shared" si="1"/>
        <v>114</v>
      </c>
      <c r="B118" s="2506" t="s">
        <v>6025</v>
      </c>
      <c r="C118" s="1952"/>
      <c r="D118" s="1953" t="s">
        <v>4949</v>
      </c>
      <c r="E118" s="1951" t="s">
        <v>4950</v>
      </c>
      <c r="F118" s="1951" t="s">
        <v>4951</v>
      </c>
      <c r="G118" s="1951" t="s">
        <v>4961</v>
      </c>
      <c r="H118" s="1951" t="s">
        <v>4950</v>
      </c>
      <c r="I118" s="1955"/>
      <c r="J118" s="1955"/>
      <c r="K118" s="1955"/>
      <c r="L118" s="1955"/>
      <c r="M118" s="1955"/>
      <c r="N118" s="1955"/>
    </row>
    <row r="119" spans="1:14" ht="33">
      <c r="A119" s="1951">
        <f t="shared" si="1"/>
        <v>115</v>
      </c>
      <c r="B119" s="2506" t="s">
        <v>6026</v>
      </c>
      <c r="C119" s="1952"/>
      <c r="D119" s="1953" t="s">
        <v>4949</v>
      </c>
      <c r="E119" s="1951" t="s">
        <v>4950</v>
      </c>
      <c r="F119" s="1951" t="s">
        <v>4951</v>
      </c>
      <c r="G119" s="1951" t="s">
        <v>4961</v>
      </c>
      <c r="H119" s="1951" t="s">
        <v>4959</v>
      </c>
      <c r="I119" s="1955"/>
      <c r="J119" s="1955"/>
      <c r="K119" s="1955"/>
      <c r="L119" s="1955"/>
      <c r="M119" s="1955"/>
      <c r="N119" s="1955"/>
    </row>
    <row r="120" spans="1:14" ht="33">
      <c r="A120" s="1951">
        <f t="shared" si="1"/>
        <v>116</v>
      </c>
      <c r="B120" s="2506" t="s">
        <v>6027</v>
      </c>
      <c r="C120" s="1952"/>
      <c r="D120" s="1953" t="s">
        <v>4949</v>
      </c>
      <c r="E120" s="1951" t="s">
        <v>4950</v>
      </c>
      <c r="F120" s="1951" t="s">
        <v>4951</v>
      </c>
      <c r="G120" s="1951" t="s">
        <v>4961</v>
      </c>
      <c r="H120" s="1951" t="s">
        <v>4959</v>
      </c>
      <c r="I120" s="1955"/>
      <c r="J120" s="1955"/>
      <c r="K120" s="1955"/>
      <c r="L120" s="1955"/>
      <c r="M120" s="1955"/>
      <c r="N120" s="1955"/>
    </row>
    <row r="121" spans="1:14" ht="16.5">
      <c r="A121" s="1951">
        <f t="shared" si="1"/>
        <v>117</v>
      </c>
      <c r="B121" s="2506" t="s">
        <v>6028</v>
      </c>
      <c r="C121" s="1952"/>
      <c r="D121" s="1953" t="s">
        <v>4949</v>
      </c>
      <c r="E121" s="1951" t="s">
        <v>4950</v>
      </c>
      <c r="F121" s="1951" t="s">
        <v>4951</v>
      </c>
      <c r="G121" s="1951" t="s">
        <v>4961</v>
      </c>
      <c r="H121" s="1951" t="s">
        <v>4953</v>
      </c>
      <c r="I121" s="1955"/>
      <c r="J121" s="1955"/>
      <c r="K121" s="1955"/>
      <c r="L121" s="1955"/>
      <c r="M121" s="1955"/>
      <c r="N121" s="1955"/>
    </row>
    <row r="122" spans="1:14" ht="16.5">
      <c r="A122" s="1951">
        <f t="shared" si="1"/>
        <v>118</v>
      </c>
      <c r="B122" s="2506" t="s">
        <v>6029</v>
      </c>
      <c r="C122" s="1952"/>
      <c r="D122" s="1953" t="s">
        <v>4949</v>
      </c>
      <c r="E122" s="1951" t="s">
        <v>4950</v>
      </c>
      <c r="F122" s="1951" t="s">
        <v>4951</v>
      </c>
      <c r="G122" s="1951" t="s">
        <v>4961</v>
      </c>
      <c r="H122" s="1951" t="s">
        <v>4953</v>
      </c>
      <c r="I122" s="1955"/>
      <c r="J122" s="1955"/>
      <c r="K122" s="1955"/>
      <c r="L122" s="1955"/>
      <c r="M122" s="1955"/>
      <c r="N122" s="1955"/>
    </row>
    <row r="123" spans="1:14" ht="16.5">
      <c r="A123" s="1951">
        <f t="shared" si="1"/>
        <v>119</v>
      </c>
      <c r="B123" s="2506" t="s">
        <v>6030</v>
      </c>
      <c r="C123" s="1952"/>
      <c r="D123" s="1953" t="s">
        <v>4949</v>
      </c>
      <c r="E123" s="1951" t="s">
        <v>4950</v>
      </c>
      <c r="F123" s="1951" t="s">
        <v>4951</v>
      </c>
      <c r="G123" s="1951" t="s">
        <v>4961</v>
      </c>
      <c r="H123" s="1951" t="s">
        <v>4953</v>
      </c>
      <c r="I123" s="1955"/>
      <c r="J123" s="1955"/>
      <c r="K123" s="1955"/>
      <c r="L123" s="1955"/>
      <c r="M123" s="1955"/>
      <c r="N123" s="1955"/>
    </row>
    <row r="124" spans="1:14" ht="18.75">
      <c r="A124" s="1951">
        <f t="shared" si="1"/>
        <v>120</v>
      </c>
      <c r="B124" s="2506" t="s">
        <v>6031</v>
      </c>
      <c r="C124" s="1952"/>
      <c r="D124" s="1953" t="s">
        <v>4949</v>
      </c>
      <c r="E124" s="1951" t="s">
        <v>4950</v>
      </c>
      <c r="F124" s="1951" t="s">
        <v>4951</v>
      </c>
      <c r="G124" s="1951" t="s">
        <v>4961</v>
      </c>
      <c r="H124" s="1960" t="s">
        <v>2555</v>
      </c>
      <c r="I124" s="1955"/>
      <c r="J124" s="1955"/>
      <c r="K124" s="1955"/>
      <c r="L124" s="1955"/>
      <c r="M124" s="1955"/>
      <c r="N124" s="1955"/>
    </row>
    <row r="125" spans="1:14" s="2525" customFormat="1" ht="16.5">
      <c r="A125" s="2519">
        <f t="shared" si="1"/>
        <v>121</v>
      </c>
      <c r="B125" s="2520" t="s">
        <v>6059</v>
      </c>
      <c r="C125" s="2521"/>
      <c r="D125" s="2522" t="s">
        <v>6060</v>
      </c>
      <c r="E125" s="2519" t="s">
        <v>6061</v>
      </c>
      <c r="F125" s="2519" t="s">
        <v>6062</v>
      </c>
      <c r="G125" s="2519" t="s">
        <v>6063</v>
      </c>
      <c r="H125" s="2523" t="s">
        <v>2521</v>
      </c>
      <c r="I125" s="2524"/>
      <c r="J125" s="2524"/>
      <c r="K125" s="2524"/>
      <c r="L125" s="2524"/>
      <c r="M125" s="2524"/>
      <c r="N125" s="2524"/>
    </row>
    <row r="126" spans="1:14" s="2525" customFormat="1" ht="16.5">
      <c r="A126" s="2519">
        <f t="shared" si="1"/>
        <v>122</v>
      </c>
      <c r="B126" s="2520" t="s">
        <v>6064</v>
      </c>
      <c r="C126" s="2521"/>
      <c r="D126" s="2522" t="s">
        <v>6060</v>
      </c>
      <c r="E126" s="2519" t="s">
        <v>6061</v>
      </c>
      <c r="F126" s="2519" t="s">
        <v>6062</v>
      </c>
      <c r="G126" s="2519" t="s">
        <v>6063</v>
      </c>
      <c r="H126" s="2523" t="s">
        <v>2521</v>
      </c>
      <c r="I126" s="2524"/>
      <c r="J126" s="2524"/>
      <c r="K126" s="2524"/>
      <c r="L126" s="2524"/>
      <c r="M126" s="2524"/>
      <c r="N126" s="2524"/>
    </row>
    <row r="127" spans="1:14" s="2525" customFormat="1" ht="16.5">
      <c r="A127" s="2519">
        <f t="shared" si="1"/>
        <v>123</v>
      </c>
      <c r="B127" s="2520" t="s">
        <v>6065</v>
      </c>
      <c r="C127" s="2521"/>
      <c r="D127" s="2522" t="s">
        <v>6060</v>
      </c>
      <c r="E127" s="2519" t="s">
        <v>6061</v>
      </c>
      <c r="F127" s="2519" t="s">
        <v>6062</v>
      </c>
      <c r="G127" s="2519" t="s">
        <v>6063</v>
      </c>
      <c r="H127" s="2523" t="s">
        <v>2521</v>
      </c>
      <c r="I127" s="2524"/>
      <c r="J127" s="2524"/>
      <c r="K127" s="2524"/>
      <c r="L127" s="2524"/>
      <c r="M127" s="2524"/>
      <c r="N127" s="2524"/>
    </row>
    <row r="128" spans="1:14" ht="16.5">
      <c r="A128" s="1951">
        <f t="shared" si="1"/>
        <v>124</v>
      </c>
      <c r="B128" s="2506" t="s">
        <v>6032</v>
      </c>
      <c r="C128" s="1952"/>
      <c r="D128" s="1953" t="s">
        <v>4949</v>
      </c>
      <c r="E128" s="1951" t="s">
        <v>4950</v>
      </c>
      <c r="F128" s="1951" t="s">
        <v>4951</v>
      </c>
      <c r="G128" s="1951" t="s">
        <v>4961</v>
      </c>
      <c r="H128" s="1951" t="s">
        <v>4953</v>
      </c>
      <c r="I128" s="1955"/>
      <c r="J128" s="1955"/>
      <c r="K128" s="1955"/>
      <c r="L128" s="1955"/>
      <c r="M128" s="1955"/>
      <c r="N128" s="1955"/>
    </row>
    <row r="129" spans="1:14" s="1851" customFormat="1" ht="16.5">
      <c r="A129" s="1951">
        <f t="shared" si="1"/>
        <v>125</v>
      </c>
      <c r="B129" s="67" t="s">
        <v>6033</v>
      </c>
      <c r="C129" s="1959"/>
      <c r="D129" s="1953" t="s">
        <v>4949</v>
      </c>
      <c r="E129" s="1953" t="s">
        <v>4950</v>
      </c>
      <c r="F129" s="1953" t="s">
        <v>4951</v>
      </c>
      <c r="G129" s="1961" t="s">
        <v>4961</v>
      </c>
      <c r="H129" s="1953" t="s">
        <v>4953</v>
      </c>
      <c r="I129" s="1959"/>
      <c r="J129" s="1959"/>
      <c r="K129" s="1959"/>
      <c r="L129" s="1959"/>
      <c r="M129" s="1959"/>
      <c r="N129" s="1959"/>
    </row>
    <row r="130" spans="1:14" s="1851" customFormat="1" ht="16.5">
      <c r="A130" s="1951">
        <f t="shared" si="1"/>
        <v>126</v>
      </c>
      <c r="B130" s="67" t="s">
        <v>6034</v>
      </c>
      <c r="C130" s="1959"/>
      <c r="D130" s="1953" t="s">
        <v>4949</v>
      </c>
      <c r="E130" s="1953" t="s">
        <v>4950</v>
      </c>
      <c r="F130" s="1953" t="s">
        <v>4951</v>
      </c>
      <c r="G130" s="1961" t="s">
        <v>4961</v>
      </c>
      <c r="H130" s="1953" t="s">
        <v>4950</v>
      </c>
      <c r="I130" s="1959"/>
      <c r="J130" s="1959"/>
      <c r="K130" s="1959"/>
      <c r="L130" s="1959"/>
      <c r="M130" s="1959"/>
      <c r="N130" s="1959"/>
    </row>
    <row r="131" spans="1:14" s="1851" customFormat="1" ht="16.5">
      <c r="A131" s="1951">
        <f t="shared" si="1"/>
        <v>127</v>
      </c>
      <c r="B131" s="67" t="s">
        <v>6035</v>
      </c>
      <c r="C131" s="1959"/>
      <c r="D131" s="1953" t="s">
        <v>4949</v>
      </c>
      <c r="E131" s="1951" t="s">
        <v>4950</v>
      </c>
      <c r="F131" s="1951" t="s">
        <v>4951</v>
      </c>
      <c r="G131" s="1951" t="s">
        <v>4961</v>
      </c>
      <c r="H131" s="1951" t="s">
        <v>4950</v>
      </c>
      <c r="I131" s="1955"/>
      <c r="J131" s="1955"/>
      <c r="K131" s="1955"/>
      <c r="L131" s="1955"/>
      <c r="M131" s="1955"/>
      <c r="N131" s="1955"/>
    </row>
    <row r="132" spans="1:14" s="1851" customFormat="1" ht="16.5">
      <c r="A132" s="1951">
        <f t="shared" si="1"/>
        <v>128</v>
      </c>
      <c r="B132" s="67" t="s">
        <v>3438</v>
      </c>
      <c r="C132" s="1959"/>
      <c r="D132" s="1953" t="s">
        <v>4949</v>
      </c>
      <c r="E132" s="1953" t="s">
        <v>4950</v>
      </c>
      <c r="F132" s="1953" t="s">
        <v>4951</v>
      </c>
      <c r="G132" s="1961" t="s">
        <v>4961</v>
      </c>
      <c r="H132" s="1953" t="s">
        <v>4956</v>
      </c>
      <c r="I132" s="1959"/>
      <c r="J132" s="1959"/>
      <c r="K132" s="1959"/>
      <c r="L132" s="1959"/>
      <c r="M132" s="1959"/>
      <c r="N132" s="1959"/>
    </row>
    <row r="133" spans="1:14" ht="16.5">
      <c r="A133" s="1951">
        <f t="shared" si="1"/>
        <v>129</v>
      </c>
      <c r="B133" s="2506" t="s">
        <v>3439</v>
      </c>
      <c r="C133" s="1952"/>
      <c r="D133" s="1953" t="s">
        <v>4949</v>
      </c>
      <c r="E133" s="1951" t="s">
        <v>4950</v>
      </c>
      <c r="F133" s="1951" t="s">
        <v>4951</v>
      </c>
      <c r="G133" s="1951" t="s">
        <v>4961</v>
      </c>
      <c r="H133" s="1951" t="s">
        <v>4950</v>
      </c>
      <c r="I133" s="1955"/>
      <c r="J133" s="1955"/>
      <c r="K133" s="1955"/>
      <c r="L133" s="1955"/>
      <c r="M133" s="1955"/>
      <c r="N133" s="1955"/>
    </row>
    <row r="134" spans="1:14" ht="16.5">
      <c r="A134" s="1951">
        <f t="shared" si="1"/>
        <v>130</v>
      </c>
      <c r="B134" s="2513" t="s">
        <v>6036</v>
      </c>
      <c r="C134" s="1952"/>
      <c r="D134" s="1953" t="s">
        <v>4949</v>
      </c>
      <c r="E134" s="1951" t="s">
        <v>4950</v>
      </c>
      <c r="F134" s="1951" t="s">
        <v>4951</v>
      </c>
      <c r="G134" s="1951" t="s">
        <v>4961</v>
      </c>
      <c r="H134" s="1951" t="s">
        <v>4950</v>
      </c>
      <c r="I134" s="1955"/>
      <c r="J134" s="1955"/>
      <c r="K134" s="1955"/>
      <c r="L134" s="1955"/>
      <c r="M134" s="1955"/>
      <c r="N134" s="1955"/>
    </row>
    <row r="135" spans="1:14" ht="33">
      <c r="A135" s="1951">
        <f t="shared" si="1"/>
        <v>131</v>
      </c>
      <c r="B135" s="2513" t="s">
        <v>6037</v>
      </c>
      <c r="C135" s="1952"/>
      <c r="D135" s="1953" t="s">
        <v>4949</v>
      </c>
      <c r="E135" s="1951" t="s">
        <v>4950</v>
      </c>
      <c r="F135" s="1951" t="s">
        <v>4951</v>
      </c>
      <c r="G135" s="1951" t="s">
        <v>4961</v>
      </c>
      <c r="H135" s="1951" t="s">
        <v>4950</v>
      </c>
      <c r="I135" s="1955"/>
      <c r="J135" s="1955"/>
      <c r="K135" s="1955"/>
      <c r="L135" s="1955"/>
      <c r="M135" s="1955"/>
      <c r="N135" s="1955"/>
    </row>
    <row r="136" spans="1:14" ht="16.5">
      <c r="A136" s="1951">
        <f t="shared" si="1"/>
        <v>132</v>
      </c>
      <c r="B136" s="2506" t="s">
        <v>6038</v>
      </c>
      <c r="C136" s="1952"/>
      <c r="D136" s="1953" t="s">
        <v>4949</v>
      </c>
      <c r="E136" s="1951" t="s">
        <v>4950</v>
      </c>
      <c r="F136" s="1951" t="s">
        <v>4951</v>
      </c>
      <c r="G136" s="1951" t="s">
        <v>4961</v>
      </c>
      <c r="H136" s="1951" t="s">
        <v>4950</v>
      </c>
      <c r="I136" s="1955"/>
      <c r="J136" s="1955"/>
      <c r="K136" s="1955"/>
      <c r="L136" s="1955"/>
      <c r="M136" s="1955"/>
      <c r="N136" s="1955"/>
    </row>
    <row r="137" spans="1:14" ht="16.5">
      <c r="A137" s="1951">
        <f t="shared" si="1"/>
        <v>133</v>
      </c>
      <c r="B137" s="2506" t="s">
        <v>6039</v>
      </c>
      <c r="C137" s="1952"/>
      <c r="D137" s="1953" t="s">
        <v>4949</v>
      </c>
      <c r="E137" s="1951" t="s">
        <v>4950</v>
      </c>
      <c r="F137" s="1951" t="s">
        <v>4951</v>
      </c>
      <c r="G137" s="1951" t="s">
        <v>4961</v>
      </c>
      <c r="H137" s="1951" t="s">
        <v>4950</v>
      </c>
      <c r="I137" s="1955"/>
      <c r="J137" s="1955"/>
      <c r="K137" s="1955"/>
      <c r="L137" s="1955"/>
      <c r="M137" s="1955"/>
      <c r="N137" s="1955"/>
    </row>
    <row r="138" spans="1:14" ht="33">
      <c r="A138" s="1951">
        <f t="shared" si="1"/>
        <v>134</v>
      </c>
      <c r="B138" s="2506" t="s">
        <v>6040</v>
      </c>
      <c r="C138" s="1952"/>
      <c r="D138" s="1953" t="s">
        <v>4949</v>
      </c>
      <c r="E138" s="1951" t="s">
        <v>4950</v>
      </c>
      <c r="F138" s="1951" t="s">
        <v>4953</v>
      </c>
      <c r="G138" s="1961" t="s">
        <v>4961</v>
      </c>
      <c r="H138" s="1960" t="s">
        <v>2521</v>
      </c>
      <c r="I138" s="1955"/>
      <c r="J138" s="1955"/>
      <c r="K138" s="1955"/>
      <c r="L138" s="1955"/>
      <c r="M138" s="1955"/>
      <c r="N138" s="1955"/>
    </row>
    <row r="139" spans="1:14" ht="16.5">
      <c r="A139" s="1951">
        <f t="shared" si="1"/>
        <v>135</v>
      </c>
      <c r="B139" s="67" t="s">
        <v>6041</v>
      </c>
      <c r="C139" s="1952"/>
      <c r="D139" s="1953" t="s">
        <v>4949</v>
      </c>
      <c r="E139" s="1953" t="s">
        <v>4950</v>
      </c>
      <c r="F139" s="1953" t="s">
        <v>4953</v>
      </c>
      <c r="G139" s="1961" t="s">
        <v>4961</v>
      </c>
      <c r="H139" s="1962" t="s">
        <v>2556</v>
      </c>
      <c r="I139" s="1955"/>
      <c r="J139" s="1955"/>
      <c r="K139" s="1955"/>
      <c r="L139" s="1955"/>
      <c r="M139" s="1955"/>
      <c r="N139" s="1955"/>
    </row>
    <row r="140" spans="1:14" ht="16.5">
      <c r="A140" s="1951">
        <f t="shared" si="1"/>
        <v>136</v>
      </c>
      <c r="B140" s="2506" t="s">
        <v>6042</v>
      </c>
      <c r="C140" s="1952"/>
      <c r="D140" s="1953" t="s">
        <v>4949</v>
      </c>
      <c r="E140" s="1951" t="s">
        <v>4950</v>
      </c>
      <c r="F140" s="1951" t="s">
        <v>4951</v>
      </c>
      <c r="G140" s="1961" t="s">
        <v>4961</v>
      </c>
      <c r="H140" s="1951" t="s">
        <v>4950</v>
      </c>
      <c r="I140" s="1955"/>
      <c r="J140" s="1955"/>
      <c r="K140" s="1955"/>
      <c r="L140" s="1955"/>
      <c r="M140" s="1955"/>
      <c r="N140" s="1955"/>
    </row>
    <row r="141" spans="1:14" ht="16.5">
      <c r="A141" s="1951">
        <f t="shared" si="1"/>
        <v>137</v>
      </c>
      <c r="B141" s="2506" t="s">
        <v>6043</v>
      </c>
      <c r="C141" s="1952"/>
      <c r="D141" s="1953" t="s">
        <v>4949</v>
      </c>
      <c r="E141" s="1951" t="s">
        <v>4950</v>
      </c>
      <c r="F141" s="1951" t="s">
        <v>4951</v>
      </c>
      <c r="G141" s="1961" t="s">
        <v>4961</v>
      </c>
      <c r="H141" s="1951" t="s">
        <v>4950</v>
      </c>
      <c r="I141" s="1955"/>
      <c r="J141" s="1955"/>
      <c r="K141" s="1955"/>
      <c r="L141" s="1955"/>
      <c r="M141" s="1955"/>
      <c r="N141" s="1955"/>
    </row>
    <row r="142" spans="1:14" ht="16.5">
      <c r="A142" s="1951">
        <f t="shared" ref="A142:A150" si="2">A141+1</f>
        <v>138</v>
      </c>
      <c r="B142" s="2506" t="s">
        <v>6044</v>
      </c>
      <c r="C142" s="1952"/>
      <c r="D142" s="1953" t="s">
        <v>4949</v>
      </c>
      <c r="E142" s="1951" t="s">
        <v>4950</v>
      </c>
      <c r="F142" s="1951" t="s">
        <v>4951</v>
      </c>
      <c r="G142" s="1951" t="s">
        <v>4961</v>
      </c>
      <c r="H142" s="1951" t="s">
        <v>4953</v>
      </c>
      <c r="I142" s="1955"/>
      <c r="J142" s="1955"/>
      <c r="K142" s="1955"/>
      <c r="L142" s="1955"/>
      <c r="M142" s="1955"/>
      <c r="N142" s="1955"/>
    </row>
    <row r="143" spans="1:14" ht="16.5">
      <c r="A143" s="1951">
        <f t="shared" si="2"/>
        <v>139</v>
      </c>
      <c r="B143" s="2506" t="s">
        <v>6045</v>
      </c>
      <c r="C143" s="1952"/>
      <c r="D143" s="1953" t="s">
        <v>4949</v>
      </c>
      <c r="E143" s="1951" t="s">
        <v>4950</v>
      </c>
      <c r="F143" s="1951" t="s">
        <v>4951</v>
      </c>
      <c r="G143" s="1951" t="s">
        <v>4961</v>
      </c>
      <c r="H143" s="1951" t="s">
        <v>4953</v>
      </c>
      <c r="I143" s="1955"/>
      <c r="J143" s="1955"/>
      <c r="K143" s="1955"/>
      <c r="L143" s="1955"/>
      <c r="M143" s="1955"/>
      <c r="N143" s="1955"/>
    </row>
    <row r="144" spans="1:14" ht="16.5">
      <c r="A144" s="1951">
        <f t="shared" si="2"/>
        <v>140</v>
      </c>
      <c r="B144" s="2506" t="s">
        <v>6046</v>
      </c>
      <c r="C144" s="1952"/>
      <c r="D144" s="1953" t="s">
        <v>4949</v>
      </c>
      <c r="E144" s="1951" t="s">
        <v>4950</v>
      </c>
      <c r="F144" s="1951" t="s">
        <v>4951</v>
      </c>
      <c r="G144" s="1951" t="s">
        <v>4961</v>
      </c>
      <c r="H144" s="1951" t="s">
        <v>4950</v>
      </c>
      <c r="I144" s="1955"/>
      <c r="J144" s="1955"/>
      <c r="K144" s="1955"/>
      <c r="L144" s="1955"/>
      <c r="M144" s="1955"/>
      <c r="N144" s="1955"/>
    </row>
    <row r="145" spans="1:14" ht="16.5">
      <c r="A145" s="1951">
        <f t="shared" si="2"/>
        <v>141</v>
      </c>
      <c r="B145" s="2506" t="s">
        <v>6047</v>
      </c>
      <c r="C145" s="1952"/>
      <c r="D145" s="1953" t="s">
        <v>4949</v>
      </c>
      <c r="E145" s="1951" t="s">
        <v>4950</v>
      </c>
      <c r="F145" s="1951" t="s">
        <v>4951</v>
      </c>
      <c r="G145" s="1951" t="s">
        <v>4961</v>
      </c>
      <c r="H145" s="1951" t="s">
        <v>4950</v>
      </c>
      <c r="I145" s="1955"/>
      <c r="J145" s="1955"/>
      <c r="K145" s="1955"/>
      <c r="L145" s="1955"/>
      <c r="M145" s="1955"/>
      <c r="N145" s="1955"/>
    </row>
    <row r="146" spans="1:14" ht="33">
      <c r="A146" s="1951">
        <f t="shared" si="2"/>
        <v>142</v>
      </c>
      <c r="B146" s="2506" t="s">
        <v>6048</v>
      </c>
      <c r="C146" s="1952"/>
      <c r="D146" s="1953" t="s">
        <v>4949</v>
      </c>
      <c r="E146" s="1951" t="s">
        <v>4950</v>
      </c>
      <c r="F146" s="1951" t="s">
        <v>4951</v>
      </c>
      <c r="G146" s="1951" t="s">
        <v>4961</v>
      </c>
      <c r="H146" s="1951" t="s">
        <v>4950</v>
      </c>
      <c r="I146" s="1955"/>
      <c r="J146" s="1955"/>
      <c r="K146" s="1955"/>
      <c r="L146" s="1955"/>
      <c r="M146" s="1955"/>
      <c r="N146" s="1955"/>
    </row>
    <row r="147" spans="1:14" ht="16.5">
      <c r="A147" s="1951">
        <f t="shared" si="2"/>
        <v>143</v>
      </c>
      <c r="B147" s="2506" t="s">
        <v>6049</v>
      </c>
      <c r="C147" s="1952"/>
      <c r="D147" s="1953" t="s">
        <v>4949</v>
      </c>
      <c r="E147" s="1951" t="s">
        <v>4950</v>
      </c>
      <c r="F147" s="1951" t="s">
        <v>4951</v>
      </c>
      <c r="G147" s="1951" t="s">
        <v>4961</v>
      </c>
      <c r="H147" s="1951" t="s">
        <v>4950</v>
      </c>
      <c r="I147" s="1955"/>
      <c r="J147" s="1955"/>
      <c r="K147" s="1955"/>
      <c r="L147" s="1955"/>
      <c r="M147" s="1955"/>
      <c r="N147" s="1955"/>
    </row>
    <row r="148" spans="1:14" ht="16.5">
      <c r="A148" s="1951">
        <f t="shared" si="2"/>
        <v>144</v>
      </c>
      <c r="B148" s="2506" t="s">
        <v>6050</v>
      </c>
      <c r="C148" s="1952"/>
      <c r="D148" s="1953" t="s">
        <v>4949</v>
      </c>
      <c r="E148" s="1951" t="s">
        <v>4950</v>
      </c>
      <c r="F148" s="1951" t="s">
        <v>4951</v>
      </c>
      <c r="G148" s="1951" t="s">
        <v>4961</v>
      </c>
      <c r="H148" s="1951" t="s">
        <v>4950</v>
      </c>
      <c r="I148" s="1955"/>
      <c r="J148" s="1955"/>
      <c r="K148" s="1955"/>
      <c r="L148" s="1955"/>
      <c r="M148" s="1955"/>
      <c r="N148" s="1955"/>
    </row>
    <row r="149" spans="1:14" ht="16.5">
      <c r="A149" s="1951">
        <f t="shared" si="2"/>
        <v>145</v>
      </c>
      <c r="B149" s="2506" t="s">
        <v>6051</v>
      </c>
      <c r="C149" s="1952"/>
      <c r="D149" s="1953" t="s">
        <v>4949</v>
      </c>
      <c r="E149" s="1951" t="s">
        <v>4950</v>
      </c>
      <c r="F149" s="1951" t="s">
        <v>4951</v>
      </c>
      <c r="G149" s="1951" t="s">
        <v>4961</v>
      </c>
      <c r="H149" s="1951" t="s">
        <v>4950</v>
      </c>
      <c r="I149" s="1955"/>
      <c r="J149" s="1955"/>
      <c r="K149" s="1955"/>
      <c r="L149" s="1955"/>
      <c r="M149" s="1955"/>
      <c r="N149" s="1955"/>
    </row>
    <row r="150" spans="1:14" ht="16.5">
      <c r="A150" s="1951">
        <f t="shared" si="2"/>
        <v>146</v>
      </c>
      <c r="B150" s="2506" t="s">
        <v>6052</v>
      </c>
      <c r="C150" s="1952"/>
      <c r="D150" s="1953" t="s">
        <v>4949</v>
      </c>
      <c r="E150" s="1951" t="s">
        <v>4950</v>
      </c>
      <c r="F150" s="1951" t="s">
        <v>4956</v>
      </c>
      <c r="G150" s="1951"/>
      <c r="H150" s="1951" t="s">
        <v>4950</v>
      </c>
      <c r="I150" s="1955"/>
      <c r="J150" s="1955"/>
      <c r="K150" s="1955"/>
      <c r="L150" s="1955"/>
      <c r="M150" s="1955"/>
      <c r="N150" s="1955"/>
    </row>
    <row r="151" spans="1:14" ht="16.5">
      <c r="A151" s="1963" t="s">
        <v>1394</v>
      </c>
      <c r="B151" s="2514"/>
      <c r="C151" s="1964"/>
      <c r="D151" s="1965"/>
      <c r="E151" s="1965"/>
      <c r="F151" s="1965"/>
      <c r="G151" s="1964"/>
      <c r="H151" s="1965"/>
    </row>
    <row r="152" spans="1:14" ht="16.5">
      <c r="A152" s="1965">
        <v>1</v>
      </c>
      <c r="B152" s="2515" t="s">
        <v>6053</v>
      </c>
    </row>
    <row r="153" spans="1:14" ht="16.5">
      <c r="A153" s="1965">
        <v>2</v>
      </c>
      <c r="B153" s="2515" t="s">
        <v>6054</v>
      </c>
    </row>
    <row r="154" spans="1:14" ht="16.5">
      <c r="A154" s="1965">
        <v>3</v>
      </c>
      <c r="B154" s="2516" t="s">
        <v>1396</v>
      </c>
    </row>
    <row r="155" spans="1:14" ht="16.5">
      <c r="A155" s="1965">
        <v>4</v>
      </c>
      <c r="B155" s="2517" t="s">
        <v>1397</v>
      </c>
    </row>
    <row r="156" spans="1:14" ht="16.5">
      <c r="A156" s="1965">
        <v>5</v>
      </c>
      <c r="B156" s="2515" t="s">
        <v>6055</v>
      </c>
    </row>
    <row r="157" spans="1:14" ht="16.5">
      <c r="A157" s="1965">
        <v>6</v>
      </c>
      <c r="B157" s="2515" t="s">
        <v>6056</v>
      </c>
    </row>
    <row r="158" spans="1:14" ht="16.5">
      <c r="A158" s="1965">
        <v>7</v>
      </c>
      <c r="B158" s="68" t="s">
        <v>6057</v>
      </c>
    </row>
    <row r="159" spans="1:14" ht="16.5">
      <c r="A159" s="1965">
        <v>8</v>
      </c>
      <c r="B159" s="68" t="s">
        <v>6058</v>
      </c>
    </row>
  </sheetData>
  <mergeCells count="1">
    <mergeCell ref="A3:A4"/>
  </mergeCells>
  <phoneticPr fontId="30"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pane="topRight"/>
      <selection pane="bottomLeft"/>
      <selection pane="bottomRight"/>
    </sheetView>
  </sheetViews>
  <sheetFormatPr defaultColWidth="9" defaultRowHeight="13.5"/>
  <cols>
    <col min="1" max="1" width="5.125" style="1252" customWidth="1"/>
    <col min="2" max="3" width="9" style="1252"/>
    <col min="4" max="4" width="13" style="1252" customWidth="1"/>
    <col min="5" max="9" width="9" style="1252"/>
    <col min="10" max="10" width="11.625" style="1252" customWidth="1"/>
    <col min="11" max="12" width="9.25" style="1252" bestFit="1" customWidth="1"/>
    <col min="13" max="13" width="16.25" style="1252" customWidth="1"/>
    <col min="14" max="14" width="14.875" style="1252" customWidth="1"/>
    <col min="15" max="18" width="5.625" style="1252" bestFit="1" customWidth="1"/>
    <col min="19" max="19" width="14.625" style="1252" customWidth="1"/>
    <col min="20" max="20" width="12.25" style="1252" customWidth="1"/>
    <col min="21" max="21" width="18.125" style="1252" customWidth="1"/>
    <col min="22" max="16384" width="9" style="1252"/>
  </cols>
  <sheetData>
    <row r="1" spans="1:23" ht="16.5">
      <c r="A1" s="2186" t="str">
        <f>+封面!A3&amp;" "&amp;封面!A2</f>
        <v xml:space="preserve"> 中央再保險股份有限公司 年度檢查報表</v>
      </c>
      <c r="B1" s="1249"/>
      <c r="C1" s="58"/>
      <c r="D1" s="58"/>
      <c r="E1" s="58"/>
      <c r="F1" s="1250"/>
      <c r="G1" s="58"/>
      <c r="H1" s="58"/>
      <c r="I1" s="58"/>
      <c r="J1" s="58"/>
      <c r="K1" s="58"/>
      <c r="L1" s="58"/>
      <c r="M1" s="58"/>
      <c r="N1" s="58"/>
      <c r="O1" s="58"/>
      <c r="P1" s="58"/>
      <c r="Q1" s="58"/>
      <c r="R1" s="58"/>
      <c r="S1" s="58"/>
      <c r="T1" s="58"/>
      <c r="U1" s="1325"/>
      <c r="V1" s="1251" t="s">
        <v>4176</v>
      </c>
    </row>
    <row r="2" spans="1:23" ht="15" thickBot="1">
      <c r="A2" s="1251" t="s">
        <v>4316</v>
      </c>
      <c r="B2" s="1251"/>
      <c r="C2" s="58"/>
      <c r="D2" s="58"/>
      <c r="E2" s="58"/>
      <c r="F2" s="1250"/>
      <c r="G2" s="58"/>
      <c r="H2" s="58"/>
      <c r="I2" s="58"/>
      <c r="J2" s="58"/>
      <c r="K2" s="58"/>
      <c r="L2" s="58"/>
      <c r="M2" s="58"/>
      <c r="N2" s="58"/>
      <c r="O2" s="58"/>
      <c r="P2" s="58"/>
      <c r="Q2" s="58"/>
      <c r="R2" s="58"/>
      <c r="S2" s="58"/>
      <c r="T2" s="58"/>
      <c r="U2" s="1325"/>
      <c r="V2" s="58"/>
    </row>
    <row r="3" spans="1:23" ht="16.5" customHeight="1">
      <c r="A3" s="2942" t="s">
        <v>3625</v>
      </c>
      <c r="B3" s="2945" t="s">
        <v>4232</v>
      </c>
      <c r="C3" s="2947" t="s">
        <v>4233</v>
      </c>
      <c r="D3" s="2947"/>
      <c r="E3" s="2945" t="s">
        <v>4234</v>
      </c>
      <c r="F3" s="2945"/>
      <c r="G3" s="2945"/>
      <c r="H3" s="2945"/>
      <c r="I3" s="2945"/>
      <c r="J3" s="2958" t="s">
        <v>4235</v>
      </c>
      <c r="K3" s="2945" t="s">
        <v>4236</v>
      </c>
      <c r="L3" s="2952" t="s">
        <v>4237</v>
      </c>
      <c r="M3" s="2945" t="s">
        <v>4239</v>
      </c>
      <c r="N3" s="2945" t="s">
        <v>4183</v>
      </c>
      <c r="O3" s="2945" t="s">
        <v>4317</v>
      </c>
      <c r="P3" s="2991"/>
      <c r="Q3" s="2997" t="s">
        <v>4318</v>
      </c>
      <c r="R3" s="2998"/>
      <c r="S3" s="3001" t="s">
        <v>4243</v>
      </c>
      <c r="T3" s="2945" t="s">
        <v>4244</v>
      </c>
      <c r="U3" s="2956" t="s">
        <v>4245</v>
      </c>
      <c r="V3" s="2945" t="s">
        <v>4247</v>
      </c>
      <c r="W3" s="2950" t="s">
        <v>4248</v>
      </c>
    </row>
    <row r="4" spans="1:23" ht="28.5">
      <c r="A4" s="2943"/>
      <c r="B4" s="2946"/>
      <c r="C4" s="2948"/>
      <c r="D4" s="2948"/>
      <c r="E4" s="1119" t="s">
        <v>4249</v>
      </c>
      <c r="F4" s="1119" t="s">
        <v>4250</v>
      </c>
      <c r="G4" s="1120" t="s">
        <v>4251</v>
      </c>
      <c r="H4" s="1120" t="s">
        <v>4252</v>
      </c>
      <c r="I4" s="1120" t="s">
        <v>4253</v>
      </c>
      <c r="J4" s="2953"/>
      <c r="K4" s="2946"/>
      <c r="L4" s="2953"/>
      <c r="M4" s="2948"/>
      <c r="N4" s="2946"/>
      <c r="O4" s="2994"/>
      <c r="P4" s="2994"/>
      <c r="Q4" s="2999"/>
      <c r="R4" s="3000"/>
      <c r="S4" s="2953"/>
      <c r="T4" s="2946"/>
      <c r="U4" s="2957"/>
      <c r="V4" s="2946"/>
      <c r="W4" s="2951"/>
    </row>
    <row r="5" spans="1:23" ht="15" thickBot="1">
      <c r="A5" s="2944"/>
      <c r="B5" s="1123" t="s">
        <v>66</v>
      </c>
      <c r="C5" s="2949" t="s">
        <v>67</v>
      </c>
      <c r="D5" s="2949"/>
      <c r="E5" s="1123" t="s">
        <v>68</v>
      </c>
      <c r="F5" s="1123" t="s">
        <v>69</v>
      </c>
      <c r="G5" s="1123" t="s">
        <v>70</v>
      </c>
      <c r="H5" s="1123" t="s">
        <v>71</v>
      </c>
      <c r="I5" s="1123" t="s">
        <v>72</v>
      </c>
      <c r="J5" s="1123" t="s">
        <v>454</v>
      </c>
      <c r="K5" s="1123" t="s">
        <v>455</v>
      </c>
      <c r="L5" s="1123" t="s">
        <v>456</v>
      </c>
      <c r="M5" s="1123" t="s">
        <v>457</v>
      </c>
      <c r="N5" s="1123" t="s">
        <v>469</v>
      </c>
      <c r="O5" s="1123" t="s">
        <v>4319</v>
      </c>
      <c r="P5" s="1123" t="s">
        <v>4320</v>
      </c>
      <c r="Q5" s="1123" t="s">
        <v>4319</v>
      </c>
      <c r="R5" s="1123" t="s">
        <v>4320</v>
      </c>
      <c r="S5" s="1123" t="s">
        <v>460</v>
      </c>
      <c r="T5" s="1123" t="s">
        <v>461</v>
      </c>
      <c r="U5" s="1123" t="s">
        <v>462</v>
      </c>
      <c r="V5" s="1123" t="s">
        <v>463</v>
      </c>
      <c r="W5" s="1125" t="s">
        <v>464</v>
      </c>
    </row>
    <row r="6" spans="1:23" ht="14.25" customHeight="1">
      <c r="A6" s="1253">
        <v>1</v>
      </c>
      <c r="B6" s="2961" t="s">
        <v>4254</v>
      </c>
      <c r="C6" s="2964" t="s">
        <v>4255</v>
      </c>
      <c r="D6" s="3001" t="s">
        <v>4256</v>
      </c>
      <c r="E6" s="1255"/>
      <c r="F6" s="1255"/>
      <c r="G6" s="1439"/>
      <c r="H6" s="1256"/>
      <c r="I6" s="1439"/>
      <c r="J6" s="1256"/>
      <c r="K6" s="1440"/>
      <c r="L6" s="1440"/>
      <c r="M6" s="1176"/>
      <c r="N6" s="1441"/>
      <c r="O6" s="1442"/>
      <c r="P6" s="1440"/>
      <c r="Q6" s="1442"/>
      <c r="R6" s="1440"/>
      <c r="S6" s="1441"/>
      <c r="T6" s="1257"/>
      <c r="U6" s="1442"/>
      <c r="V6" s="1257"/>
      <c r="W6" s="1260"/>
    </row>
    <row r="7" spans="1:23">
      <c r="A7" s="1261">
        <f>A6+1</f>
        <v>2</v>
      </c>
      <c r="B7" s="2962"/>
      <c r="C7" s="2965"/>
      <c r="D7" s="3002"/>
      <c r="E7" s="1262"/>
      <c r="F7" s="1262"/>
      <c r="G7" s="1443"/>
      <c r="H7" s="1263"/>
      <c r="I7" s="1443"/>
      <c r="J7" s="1263"/>
      <c r="K7" s="1444"/>
      <c r="L7" s="1444"/>
      <c r="M7" s="1184"/>
      <c r="N7" s="1445"/>
      <c r="O7" s="1446"/>
      <c r="P7" s="1444"/>
      <c r="Q7" s="1446"/>
      <c r="R7" s="1444"/>
      <c r="S7" s="1445"/>
      <c r="T7" s="1264"/>
      <c r="U7" s="1446"/>
      <c r="V7" s="1264"/>
      <c r="W7" s="1267"/>
    </row>
    <row r="8" spans="1:23">
      <c r="A8" s="1261">
        <f t="shared" ref="A8:A71" si="0">A7+1</f>
        <v>3</v>
      </c>
      <c r="B8" s="2962"/>
      <c r="C8" s="2965"/>
      <c r="D8" s="3002"/>
      <c r="E8" s="1262"/>
      <c r="F8" s="1262"/>
      <c r="G8" s="1443"/>
      <c r="H8" s="1263"/>
      <c r="I8" s="1443"/>
      <c r="J8" s="1263"/>
      <c r="K8" s="1444"/>
      <c r="L8" s="1444"/>
      <c r="M8" s="1184"/>
      <c r="N8" s="1445"/>
      <c r="O8" s="1446"/>
      <c r="P8" s="1444"/>
      <c r="Q8" s="1446"/>
      <c r="R8" s="1444"/>
      <c r="S8" s="1445"/>
      <c r="T8" s="1264"/>
      <c r="U8" s="1446"/>
      <c r="V8" s="1264"/>
      <c r="W8" s="1267"/>
    </row>
    <row r="9" spans="1:23">
      <c r="A9" s="1261">
        <f t="shared" si="0"/>
        <v>4</v>
      </c>
      <c r="B9" s="2962"/>
      <c r="C9" s="2965"/>
      <c r="D9" s="3002"/>
      <c r="E9" s="1262"/>
      <c r="F9" s="1262"/>
      <c r="G9" s="1443"/>
      <c r="H9" s="1263"/>
      <c r="I9" s="1443"/>
      <c r="J9" s="1263"/>
      <c r="K9" s="1444"/>
      <c r="L9" s="1444"/>
      <c r="M9" s="1184"/>
      <c r="N9" s="1445"/>
      <c r="O9" s="1446"/>
      <c r="P9" s="1444"/>
      <c r="Q9" s="1446"/>
      <c r="R9" s="1444"/>
      <c r="S9" s="1445"/>
      <c r="T9" s="1264"/>
      <c r="U9" s="1446"/>
      <c r="V9" s="1264"/>
      <c r="W9" s="1267"/>
    </row>
    <row r="10" spans="1:23">
      <c r="A10" s="1261">
        <f t="shared" si="0"/>
        <v>5</v>
      </c>
      <c r="B10" s="2962"/>
      <c r="C10" s="2965"/>
      <c r="D10" s="3002"/>
      <c r="E10" s="1262"/>
      <c r="F10" s="1262"/>
      <c r="G10" s="1443"/>
      <c r="H10" s="1263"/>
      <c r="I10" s="1443"/>
      <c r="J10" s="1263"/>
      <c r="K10" s="1444"/>
      <c r="L10" s="1444"/>
      <c r="M10" s="1184"/>
      <c r="N10" s="1445"/>
      <c r="O10" s="1446"/>
      <c r="P10" s="1444"/>
      <c r="Q10" s="1446"/>
      <c r="R10" s="1444"/>
      <c r="S10" s="1445"/>
      <c r="T10" s="1264"/>
      <c r="U10" s="1446"/>
      <c r="V10" s="1264"/>
      <c r="W10" s="1267"/>
    </row>
    <row r="11" spans="1:23">
      <c r="A11" s="1261">
        <f t="shared" si="0"/>
        <v>6</v>
      </c>
      <c r="B11" s="2962"/>
      <c r="C11" s="2965"/>
      <c r="D11" s="3002"/>
      <c r="E11" s="1262"/>
      <c r="F11" s="1262"/>
      <c r="G11" s="1443"/>
      <c r="H11" s="1263"/>
      <c r="I11" s="1443"/>
      <c r="J11" s="1263"/>
      <c r="K11" s="1444"/>
      <c r="L11" s="1444"/>
      <c r="M11" s="1184"/>
      <c r="N11" s="1445"/>
      <c r="O11" s="1446"/>
      <c r="P11" s="1444"/>
      <c r="Q11" s="1446"/>
      <c r="R11" s="1444"/>
      <c r="S11" s="1445"/>
      <c r="T11" s="1264"/>
      <c r="U11" s="1446"/>
      <c r="V11" s="1264"/>
      <c r="W11" s="1267"/>
    </row>
    <row r="12" spans="1:23">
      <c r="A12" s="1261">
        <f t="shared" si="0"/>
        <v>7</v>
      </c>
      <c r="B12" s="2962"/>
      <c r="C12" s="2965"/>
      <c r="D12" s="3002"/>
      <c r="E12" s="1262"/>
      <c r="F12" s="1262"/>
      <c r="G12" s="1443"/>
      <c r="H12" s="1263"/>
      <c r="I12" s="1443"/>
      <c r="J12" s="1263"/>
      <c r="K12" s="1444"/>
      <c r="L12" s="1444"/>
      <c r="M12" s="1184"/>
      <c r="N12" s="1445"/>
      <c r="O12" s="1446"/>
      <c r="P12" s="1444"/>
      <c r="Q12" s="1446"/>
      <c r="R12" s="1444"/>
      <c r="S12" s="1445"/>
      <c r="T12" s="1264"/>
      <c r="U12" s="1446"/>
      <c r="V12" s="1264"/>
      <c r="W12" s="1267"/>
    </row>
    <row r="13" spans="1:23">
      <c r="A13" s="1261">
        <f t="shared" si="0"/>
        <v>8</v>
      </c>
      <c r="B13" s="2962"/>
      <c r="C13" s="2965"/>
      <c r="D13" s="3002"/>
      <c r="E13" s="1262"/>
      <c r="F13" s="1262"/>
      <c r="G13" s="1443"/>
      <c r="H13" s="1263"/>
      <c r="I13" s="1443"/>
      <c r="J13" s="1263"/>
      <c r="K13" s="1444"/>
      <c r="L13" s="1444"/>
      <c r="M13" s="1184"/>
      <c r="N13" s="1445"/>
      <c r="O13" s="1446"/>
      <c r="P13" s="1444"/>
      <c r="Q13" s="1446"/>
      <c r="R13" s="1444"/>
      <c r="S13" s="1445"/>
      <c r="T13" s="1264"/>
      <c r="U13" s="1446"/>
      <c r="V13" s="1264"/>
      <c r="W13" s="1267"/>
    </row>
    <row r="14" spans="1:23">
      <c r="A14" s="1261">
        <f t="shared" si="0"/>
        <v>9</v>
      </c>
      <c r="B14" s="2962"/>
      <c r="C14" s="2965"/>
      <c r="D14" s="3002"/>
      <c r="E14" s="1262"/>
      <c r="F14" s="1262"/>
      <c r="G14" s="1443"/>
      <c r="H14" s="1263"/>
      <c r="I14" s="1443"/>
      <c r="J14" s="1263"/>
      <c r="K14" s="1444"/>
      <c r="L14" s="1444"/>
      <c r="M14" s="1184"/>
      <c r="N14" s="1445"/>
      <c r="O14" s="1446"/>
      <c r="P14" s="1444"/>
      <c r="Q14" s="1446"/>
      <c r="R14" s="1444"/>
      <c r="S14" s="1445"/>
      <c r="T14" s="1264"/>
      <c r="U14" s="1446"/>
      <c r="V14" s="1264"/>
      <c r="W14" s="1267"/>
    </row>
    <row r="15" spans="1:23">
      <c r="A15" s="1261">
        <f t="shared" si="0"/>
        <v>10</v>
      </c>
      <c r="B15" s="2962"/>
      <c r="C15" s="2965"/>
      <c r="D15" s="3002"/>
      <c r="E15" s="1262"/>
      <c r="F15" s="1262"/>
      <c r="G15" s="1443"/>
      <c r="H15" s="1263"/>
      <c r="I15" s="1443"/>
      <c r="J15" s="1263"/>
      <c r="K15" s="1444"/>
      <c r="L15" s="1444"/>
      <c r="M15" s="1184"/>
      <c r="N15" s="1445"/>
      <c r="O15" s="1446"/>
      <c r="P15" s="1444"/>
      <c r="Q15" s="1446"/>
      <c r="R15" s="1444"/>
      <c r="S15" s="1445"/>
      <c r="T15" s="1264"/>
      <c r="U15" s="1446"/>
      <c r="V15" s="1264"/>
      <c r="W15" s="1267"/>
    </row>
    <row r="16" spans="1:23">
      <c r="A16" s="1261">
        <f t="shared" si="0"/>
        <v>11</v>
      </c>
      <c r="B16" s="2962"/>
      <c r="C16" s="2965"/>
      <c r="D16" s="3002"/>
      <c r="E16" s="1262"/>
      <c r="F16" s="1262"/>
      <c r="G16" s="1443"/>
      <c r="H16" s="1263"/>
      <c r="I16" s="1443"/>
      <c r="J16" s="1263"/>
      <c r="K16" s="1444"/>
      <c r="L16" s="1444"/>
      <c r="M16" s="1184"/>
      <c r="N16" s="1445"/>
      <c r="O16" s="1446"/>
      <c r="P16" s="1444"/>
      <c r="Q16" s="1446"/>
      <c r="R16" s="1444"/>
      <c r="S16" s="1445"/>
      <c r="T16" s="1264"/>
      <c r="U16" s="1446"/>
      <c r="V16" s="1264"/>
      <c r="W16" s="1267"/>
    </row>
    <row r="17" spans="1:23">
      <c r="A17" s="1261">
        <f t="shared" si="0"/>
        <v>12</v>
      </c>
      <c r="B17" s="2962"/>
      <c r="C17" s="2965"/>
      <c r="D17" s="3002"/>
      <c r="E17" s="1262"/>
      <c r="F17" s="1262"/>
      <c r="G17" s="1443"/>
      <c r="H17" s="1263"/>
      <c r="I17" s="1443"/>
      <c r="J17" s="1263"/>
      <c r="K17" s="1444"/>
      <c r="L17" s="1444"/>
      <c r="M17" s="1184"/>
      <c r="N17" s="1445"/>
      <c r="O17" s="1446"/>
      <c r="P17" s="1444"/>
      <c r="Q17" s="1446"/>
      <c r="R17" s="1444"/>
      <c r="S17" s="1445"/>
      <c r="T17" s="1264"/>
      <c r="U17" s="1446"/>
      <c r="V17" s="1264"/>
      <c r="W17" s="1267"/>
    </row>
    <row r="18" spans="1:23">
      <c r="A18" s="1261">
        <f t="shared" si="0"/>
        <v>13</v>
      </c>
      <c r="B18" s="2962"/>
      <c r="C18" s="2965"/>
      <c r="D18" s="3002"/>
      <c r="E18" s="1262"/>
      <c r="F18" s="1262"/>
      <c r="G18" s="1443"/>
      <c r="H18" s="1263"/>
      <c r="I18" s="1443"/>
      <c r="J18" s="1263"/>
      <c r="K18" s="1444"/>
      <c r="L18" s="1444"/>
      <c r="M18" s="1184"/>
      <c r="N18" s="1445"/>
      <c r="O18" s="1446"/>
      <c r="P18" s="1444"/>
      <c r="Q18" s="1446"/>
      <c r="R18" s="1444"/>
      <c r="S18" s="1445"/>
      <c r="T18" s="1264"/>
      <c r="U18" s="1446"/>
      <c r="V18" s="1264"/>
      <c r="W18" s="1267"/>
    </row>
    <row r="19" spans="1:23">
      <c r="A19" s="1261">
        <f t="shared" si="0"/>
        <v>14</v>
      </c>
      <c r="B19" s="2962"/>
      <c r="C19" s="2965"/>
      <c r="D19" s="2953"/>
      <c r="E19" s="1262"/>
      <c r="F19" s="1262"/>
      <c r="G19" s="1443"/>
      <c r="H19" s="1263"/>
      <c r="I19" s="1443"/>
      <c r="J19" s="1263"/>
      <c r="K19" s="1444"/>
      <c r="L19" s="1444"/>
      <c r="M19" s="1184"/>
      <c r="N19" s="1445"/>
      <c r="O19" s="1446"/>
      <c r="P19" s="1444"/>
      <c r="Q19" s="1446"/>
      <c r="R19" s="1444"/>
      <c r="S19" s="1445"/>
      <c r="T19" s="1264"/>
      <c r="U19" s="1446"/>
      <c r="V19" s="1264"/>
      <c r="W19" s="1267"/>
    </row>
    <row r="20" spans="1:23" ht="14.25">
      <c r="A20" s="1261">
        <f t="shared" si="0"/>
        <v>15</v>
      </c>
      <c r="B20" s="2962"/>
      <c r="C20" s="2965"/>
      <c r="D20" s="1279" t="s">
        <v>3514</v>
      </c>
      <c r="E20" s="1269"/>
      <c r="F20" s="1269"/>
      <c r="G20" s="1447"/>
      <c r="H20" s="1270"/>
      <c r="I20" s="1447"/>
      <c r="J20" s="1270"/>
      <c r="K20" s="1448"/>
      <c r="L20" s="1448"/>
      <c r="M20" s="1184">
        <f>SUM(M6:M19)</f>
        <v>0</v>
      </c>
      <c r="N20" s="1445">
        <f>SUM(N6:N19)</f>
        <v>0</v>
      </c>
      <c r="O20" s="1448"/>
      <c r="P20" s="1448"/>
      <c r="Q20" s="1448"/>
      <c r="R20" s="1448"/>
      <c r="S20" s="1445">
        <f>SUM(S6:S19)</f>
        <v>0</v>
      </c>
      <c r="T20" s="1271"/>
      <c r="U20" s="1449"/>
      <c r="V20" s="1271"/>
      <c r="W20" s="1450"/>
    </row>
    <row r="21" spans="1:23">
      <c r="A21" s="1261">
        <f t="shared" si="0"/>
        <v>16</v>
      </c>
      <c r="B21" s="2962"/>
      <c r="C21" s="2965"/>
      <c r="D21" s="2994" t="s">
        <v>4258</v>
      </c>
      <c r="E21" s="1262"/>
      <c r="F21" s="1262"/>
      <c r="G21" s="1443"/>
      <c r="H21" s="1263"/>
      <c r="I21" s="1443"/>
      <c r="J21" s="1263"/>
      <c r="K21" s="1444"/>
      <c r="L21" s="1444"/>
      <c r="M21" s="1184"/>
      <c r="N21" s="1445"/>
      <c r="O21" s="1446"/>
      <c r="P21" s="1444"/>
      <c r="Q21" s="1446"/>
      <c r="R21" s="1444"/>
      <c r="S21" s="1445"/>
      <c r="T21" s="1264"/>
      <c r="U21" s="1446"/>
      <c r="V21" s="1264"/>
      <c r="W21" s="1267"/>
    </row>
    <row r="22" spans="1:23">
      <c r="A22" s="1261">
        <f t="shared" si="0"/>
        <v>17</v>
      </c>
      <c r="B22" s="2962"/>
      <c r="C22" s="2965"/>
      <c r="D22" s="2994"/>
      <c r="E22" s="1262"/>
      <c r="F22" s="1262"/>
      <c r="G22" s="1443"/>
      <c r="H22" s="1263"/>
      <c r="I22" s="1443"/>
      <c r="J22" s="1263"/>
      <c r="K22" s="1444"/>
      <c r="L22" s="1444"/>
      <c r="M22" s="1184"/>
      <c r="N22" s="1445"/>
      <c r="O22" s="1446"/>
      <c r="P22" s="1444"/>
      <c r="Q22" s="1446"/>
      <c r="R22" s="1444"/>
      <c r="S22" s="1445"/>
      <c r="T22" s="1264"/>
      <c r="U22" s="1446"/>
      <c r="V22" s="1264"/>
      <c r="W22" s="1267"/>
    </row>
    <row r="23" spans="1:23">
      <c r="A23" s="1261">
        <f t="shared" si="0"/>
        <v>18</v>
      </c>
      <c r="B23" s="2962"/>
      <c r="C23" s="2965"/>
      <c r="D23" s="2994"/>
      <c r="E23" s="1262"/>
      <c r="F23" s="1262"/>
      <c r="G23" s="1443"/>
      <c r="H23" s="1263"/>
      <c r="I23" s="1443"/>
      <c r="J23" s="1263"/>
      <c r="K23" s="1444"/>
      <c r="L23" s="1444"/>
      <c r="M23" s="1184"/>
      <c r="N23" s="1445"/>
      <c r="O23" s="1446"/>
      <c r="P23" s="1444"/>
      <c r="Q23" s="1446"/>
      <c r="R23" s="1444"/>
      <c r="S23" s="1445"/>
      <c r="T23" s="1264"/>
      <c r="U23" s="1446"/>
      <c r="V23" s="1264"/>
      <c r="W23" s="1267"/>
    </row>
    <row r="24" spans="1:23">
      <c r="A24" s="1261">
        <f t="shared" si="0"/>
        <v>19</v>
      </c>
      <c r="B24" s="2962"/>
      <c r="C24" s="2965"/>
      <c r="D24" s="2994"/>
      <c r="E24" s="1262"/>
      <c r="F24" s="1262"/>
      <c r="G24" s="1443"/>
      <c r="H24" s="1263"/>
      <c r="I24" s="1443"/>
      <c r="J24" s="1263"/>
      <c r="K24" s="1444"/>
      <c r="L24" s="1444"/>
      <c r="M24" s="1184"/>
      <c r="N24" s="1445"/>
      <c r="O24" s="1446"/>
      <c r="P24" s="1444"/>
      <c r="Q24" s="1446"/>
      <c r="R24" s="1444"/>
      <c r="S24" s="1445"/>
      <c r="T24" s="1264"/>
      <c r="U24" s="1446"/>
      <c r="V24" s="1264"/>
      <c r="W24" s="1267"/>
    </row>
    <row r="25" spans="1:23">
      <c r="A25" s="1261">
        <f t="shared" si="0"/>
        <v>20</v>
      </c>
      <c r="B25" s="2962"/>
      <c r="C25" s="2965"/>
      <c r="D25" s="2994"/>
      <c r="E25" s="1262"/>
      <c r="F25" s="1262"/>
      <c r="G25" s="1443"/>
      <c r="H25" s="1263"/>
      <c r="I25" s="1443"/>
      <c r="J25" s="1263"/>
      <c r="K25" s="1444"/>
      <c r="L25" s="1444"/>
      <c r="M25" s="1184"/>
      <c r="N25" s="1445"/>
      <c r="O25" s="1446"/>
      <c r="P25" s="1444"/>
      <c r="Q25" s="1446"/>
      <c r="R25" s="1444"/>
      <c r="S25" s="1445"/>
      <c r="T25" s="1264"/>
      <c r="U25" s="1446"/>
      <c r="V25" s="1264"/>
      <c r="W25" s="1267"/>
    </row>
    <row r="26" spans="1:23">
      <c r="A26" s="1261">
        <f t="shared" si="0"/>
        <v>21</v>
      </c>
      <c r="B26" s="2962"/>
      <c r="C26" s="2965"/>
      <c r="D26" s="2994"/>
      <c r="E26" s="1262"/>
      <c r="F26" s="1262"/>
      <c r="G26" s="1443"/>
      <c r="H26" s="1263"/>
      <c r="I26" s="1443"/>
      <c r="J26" s="1263"/>
      <c r="K26" s="1444"/>
      <c r="L26" s="1444"/>
      <c r="M26" s="1184"/>
      <c r="N26" s="1445"/>
      <c r="O26" s="1446"/>
      <c r="P26" s="1444"/>
      <c r="Q26" s="1446"/>
      <c r="R26" s="1444"/>
      <c r="S26" s="1445"/>
      <c r="T26" s="1264"/>
      <c r="U26" s="1446"/>
      <c r="V26" s="1264"/>
      <c r="W26" s="1267"/>
    </row>
    <row r="27" spans="1:23" ht="15" thickBot="1">
      <c r="A27" s="1261">
        <f t="shared" si="0"/>
        <v>22</v>
      </c>
      <c r="B27" s="2962"/>
      <c r="C27" s="2966"/>
      <c r="D27" s="1273" t="s">
        <v>3514</v>
      </c>
      <c r="E27" s="1274"/>
      <c r="F27" s="1274"/>
      <c r="G27" s="1274"/>
      <c r="H27" s="1274"/>
      <c r="I27" s="1274"/>
      <c r="J27" s="1274"/>
      <c r="K27" s="1274"/>
      <c r="L27" s="1274"/>
      <c r="M27" s="1451">
        <f>SUM(M21:M26)</f>
        <v>0</v>
      </c>
      <c r="N27" s="1452">
        <f>SUM(N21:N26)</f>
        <v>0</v>
      </c>
      <c r="O27" s="1276"/>
      <c r="P27" s="1276"/>
      <c r="Q27" s="1276"/>
      <c r="R27" s="1276"/>
      <c r="S27" s="1452">
        <f>SUM(S21:S26)</f>
        <v>0</v>
      </c>
      <c r="T27" s="1276"/>
      <c r="U27" s="1276"/>
      <c r="V27" s="1276"/>
      <c r="W27" s="1453"/>
    </row>
    <row r="28" spans="1:23" ht="16.5" customHeight="1">
      <c r="A28" s="1261">
        <f t="shared" si="0"/>
        <v>23</v>
      </c>
      <c r="B28" s="2962"/>
      <c r="C28" s="2964" t="s">
        <v>4259</v>
      </c>
      <c r="D28" s="2987" t="s">
        <v>4321</v>
      </c>
      <c r="E28" s="1255"/>
      <c r="F28" s="1255"/>
      <c r="G28" s="1256"/>
      <c r="H28" s="1256"/>
      <c r="I28" s="1256"/>
      <c r="J28" s="1256"/>
      <c r="K28" s="1257"/>
      <c r="L28" s="1257"/>
      <c r="M28" s="1257"/>
      <c r="N28" s="1257"/>
      <c r="O28" s="1259"/>
      <c r="P28" s="1257"/>
      <c r="Q28" s="1259"/>
      <c r="R28" s="1257"/>
      <c r="S28" s="1257"/>
      <c r="T28" s="1257"/>
      <c r="U28" s="1259"/>
      <c r="V28" s="1257"/>
      <c r="W28" s="1260"/>
    </row>
    <row r="29" spans="1:23">
      <c r="A29" s="1261">
        <f t="shared" si="0"/>
        <v>24</v>
      </c>
      <c r="B29" s="2962"/>
      <c r="C29" s="2965"/>
      <c r="D29" s="2968"/>
      <c r="E29" s="1262"/>
      <c r="F29" s="1262"/>
      <c r="G29" s="1263"/>
      <c r="H29" s="1263"/>
      <c r="I29" s="1263"/>
      <c r="J29" s="1263"/>
      <c r="K29" s="1264"/>
      <c r="L29" s="1264"/>
      <c r="M29" s="1264"/>
      <c r="N29" s="1264"/>
      <c r="O29" s="1266"/>
      <c r="P29" s="1264"/>
      <c r="Q29" s="1266"/>
      <c r="R29" s="1264"/>
      <c r="S29" s="1264"/>
      <c r="T29" s="1264"/>
      <c r="U29" s="1266"/>
      <c r="V29" s="1264"/>
      <c r="W29" s="1267"/>
    </row>
    <row r="30" spans="1:23">
      <c r="A30" s="1261">
        <f t="shared" si="0"/>
        <v>25</v>
      </c>
      <c r="B30" s="2962"/>
      <c r="C30" s="2965"/>
      <c r="D30" s="2968"/>
      <c r="E30" s="1262"/>
      <c r="F30" s="1262"/>
      <c r="G30" s="1263"/>
      <c r="H30" s="1263"/>
      <c r="I30" s="1263"/>
      <c r="J30" s="1263"/>
      <c r="K30" s="1264"/>
      <c r="L30" s="1264"/>
      <c r="M30" s="1264"/>
      <c r="N30" s="1264"/>
      <c r="O30" s="1266"/>
      <c r="P30" s="1264"/>
      <c r="Q30" s="1266"/>
      <c r="R30" s="1264"/>
      <c r="S30" s="1264"/>
      <c r="T30" s="1264"/>
      <c r="U30" s="1266"/>
      <c r="V30" s="1264"/>
      <c r="W30" s="1267"/>
    </row>
    <row r="31" spans="1:23">
      <c r="A31" s="1261">
        <f t="shared" si="0"/>
        <v>26</v>
      </c>
      <c r="B31" s="2962"/>
      <c r="C31" s="2965"/>
      <c r="D31" s="2968"/>
      <c r="E31" s="1262"/>
      <c r="F31" s="1262"/>
      <c r="G31" s="1263"/>
      <c r="H31" s="1263"/>
      <c r="I31" s="1263"/>
      <c r="J31" s="1263"/>
      <c r="K31" s="1264"/>
      <c r="L31" s="1264"/>
      <c r="M31" s="1264"/>
      <c r="N31" s="1264"/>
      <c r="O31" s="1266"/>
      <c r="P31" s="1264"/>
      <c r="Q31" s="1266"/>
      <c r="R31" s="1264"/>
      <c r="S31" s="1264"/>
      <c r="T31" s="1264"/>
      <c r="U31" s="1266"/>
      <c r="V31" s="1264"/>
      <c r="W31" s="1267"/>
    </row>
    <row r="32" spans="1:23">
      <c r="A32" s="1261">
        <f t="shared" si="0"/>
        <v>27</v>
      </c>
      <c r="B32" s="2962"/>
      <c r="C32" s="2965"/>
      <c r="D32" s="2968"/>
      <c r="E32" s="1262"/>
      <c r="F32" s="1262"/>
      <c r="G32" s="1263"/>
      <c r="H32" s="1263"/>
      <c r="I32" s="1263"/>
      <c r="J32" s="1263"/>
      <c r="K32" s="1264"/>
      <c r="L32" s="1264"/>
      <c r="M32" s="1264"/>
      <c r="N32" s="1264"/>
      <c r="O32" s="1266"/>
      <c r="P32" s="1264"/>
      <c r="Q32" s="1266"/>
      <c r="R32" s="1264"/>
      <c r="S32" s="1264"/>
      <c r="T32" s="1264"/>
      <c r="U32" s="1266"/>
      <c r="V32" s="1264"/>
      <c r="W32" s="1267"/>
    </row>
    <row r="33" spans="1:23">
      <c r="A33" s="1261">
        <f t="shared" si="0"/>
        <v>28</v>
      </c>
      <c r="B33" s="2962"/>
      <c r="C33" s="2965"/>
      <c r="D33" s="2968"/>
      <c r="E33" s="1262"/>
      <c r="F33" s="1262"/>
      <c r="G33" s="1263"/>
      <c r="H33" s="1263"/>
      <c r="I33" s="1263"/>
      <c r="J33" s="1263"/>
      <c r="K33" s="1264"/>
      <c r="L33" s="1264"/>
      <c r="M33" s="1264"/>
      <c r="N33" s="1264"/>
      <c r="O33" s="1266"/>
      <c r="P33" s="1264"/>
      <c r="Q33" s="1266"/>
      <c r="R33" s="1264"/>
      <c r="S33" s="1264"/>
      <c r="T33" s="1264"/>
      <c r="U33" s="1266"/>
      <c r="V33" s="1264"/>
      <c r="W33" s="1267"/>
    </row>
    <row r="34" spans="1:23">
      <c r="A34" s="1261">
        <f t="shared" si="0"/>
        <v>29</v>
      </c>
      <c r="B34" s="2962"/>
      <c r="C34" s="2965"/>
      <c r="D34" s="2968"/>
      <c r="E34" s="1262"/>
      <c r="F34" s="1262"/>
      <c r="G34" s="1263"/>
      <c r="H34" s="1263"/>
      <c r="I34" s="1263"/>
      <c r="J34" s="1263"/>
      <c r="K34" s="1264"/>
      <c r="L34" s="1264"/>
      <c r="M34" s="1264"/>
      <c r="N34" s="1264"/>
      <c r="O34" s="1266"/>
      <c r="P34" s="1264"/>
      <c r="Q34" s="1266"/>
      <c r="R34" s="1264"/>
      <c r="S34" s="1264"/>
      <c r="T34" s="1264"/>
      <c r="U34" s="1266"/>
      <c r="V34" s="1264"/>
      <c r="W34" s="1267"/>
    </row>
    <row r="35" spans="1:23">
      <c r="A35" s="1261">
        <f t="shared" si="0"/>
        <v>30</v>
      </c>
      <c r="B35" s="2962"/>
      <c r="C35" s="2965"/>
      <c r="D35" s="2968"/>
      <c r="E35" s="1262"/>
      <c r="F35" s="1262"/>
      <c r="G35" s="1263"/>
      <c r="H35" s="1263"/>
      <c r="I35" s="1263"/>
      <c r="J35" s="1263"/>
      <c r="K35" s="1264"/>
      <c r="L35" s="1264"/>
      <c r="M35" s="1264"/>
      <c r="N35" s="1264"/>
      <c r="O35" s="1266"/>
      <c r="P35" s="1264"/>
      <c r="Q35" s="1266"/>
      <c r="R35" s="1264"/>
      <c r="S35" s="1264"/>
      <c r="T35" s="1264"/>
      <c r="U35" s="1266"/>
      <c r="V35" s="1264"/>
      <c r="W35" s="1267"/>
    </row>
    <row r="36" spans="1:23">
      <c r="A36" s="1261">
        <f t="shared" si="0"/>
        <v>31</v>
      </c>
      <c r="B36" s="2962"/>
      <c r="C36" s="2965"/>
      <c r="D36" s="2968"/>
      <c r="E36" s="1262"/>
      <c r="F36" s="1262"/>
      <c r="G36" s="1263"/>
      <c r="H36" s="1263"/>
      <c r="I36" s="1263"/>
      <c r="J36" s="1263"/>
      <c r="K36" s="1264"/>
      <c r="L36" s="1264"/>
      <c r="M36" s="1264"/>
      <c r="N36" s="1264"/>
      <c r="O36" s="1266"/>
      <c r="P36" s="1264"/>
      <c r="Q36" s="1266"/>
      <c r="R36" s="1264"/>
      <c r="S36" s="1264"/>
      <c r="T36" s="1264"/>
      <c r="U36" s="1266"/>
      <c r="V36" s="1264"/>
      <c r="W36" s="1267"/>
    </row>
    <row r="37" spans="1:23">
      <c r="A37" s="1261">
        <f t="shared" si="0"/>
        <v>32</v>
      </c>
      <c r="B37" s="2962"/>
      <c r="C37" s="2965"/>
      <c r="D37" s="2968"/>
      <c r="E37" s="1262"/>
      <c r="F37" s="1262"/>
      <c r="G37" s="1263"/>
      <c r="H37" s="1263"/>
      <c r="I37" s="1263"/>
      <c r="J37" s="1263"/>
      <c r="K37" s="1264"/>
      <c r="L37" s="1264"/>
      <c r="M37" s="1264"/>
      <c r="N37" s="1264"/>
      <c r="O37" s="1266"/>
      <c r="P37" s="1264"/>
      <c r="Q37" s="1266"/>
      <c r="R37" s="1264"/>
      <c r="S37" s="1264"/>
      <c r="T37" s="1264"/>
      <c r="U37" s="1266"/>
      <c r="V37" s="1264"/>
      <c r="W37" s="1267"/>
    </row>
    <row r="38" spans="1:23" ht="16.5">
      <c r="A38" s="1261">
        <f t="shared" si="0"/>
        <v>33</v>
      </c>
      <c r="B38" s="2962"/>
      <c r="C38" s="2965"/>
      <c r="D38" s="1395" t="s">
        <v>4305</v>
      </c>
      <c r="E38" s="1271"/>
      <c r="F38" s="1271"/>
      <c r="G38" s="1271"/>
      <c r="H38" s="1271"/>
      <c r="I38" s="1271"/>
      <c r="J38" s="1271"/>
      <c r="K38" s="1271"/>
      <c r="L38" s="1271"/>
      <c r="M38" s="1264">
        <f>SUM(M28:M37)</f>
        <v>0</v>
      </c>
      <c r="N38" s="1264">
        <f>SUM(N28:N37)</f>
        <v>0</v>
      </c>
      <c r="O38" s="1271"/>
      <c r="P38" s="1271"/>
      <c r="Q38" s="1271"/>
      <c r="R38" s="1271"/>
      <c r="S38" s="1264">
        <f>SUM(S28:S37)</f>
        <v>0</v>
      </c>
      <c r="T38" s="1271"/>
      <c r="U38" s="1272"/>
      <c r="V38" s="1271"/>
      <c r="W38" s="1450"/>
    </row>
    <row r="39" spans="1:23" ht="14.25" customHeight="1">
      <c r="A39" s="1261">
        <f t="shared" si="0"/>
        <v>34</v>
      </c>
      <c r="B39" s="2962"/>
      <c r="C39" s="2965"/>
      <c r="D39" s="2968" t="s">
        <v>4322</v>
      </c>
      <c r="E39" s="1262"/>
      <c r="F39" s="1262"/>
      <c r="G39" s="1263"/>
      <c r="H39" s="1263"/>
      <c r="I39" s="1263"/>
      <c r="J39" s="1263"/>
      <c r="K39" s="1264"/>
      <c r="L39" s="1264"/>
      <c r="M39" s="1264"/>
      <c r="N39" s="1264"/>
      <c r="O39" s="1266"/>
      <c r="P39" s="1264"/>
      <c r="Q39" s="1266"/>
      <c r="R39" s="1264"/>
      <c r="S39" s="1264"/>
      <c r="T39" s="1264"/>
      <c r="U39" s="1266"/>
      <c r="V39" s="1264"/>
      <c r="W39" s="1267"/>
    </row>
    <row r="40" spans="1:23">
      <c r="A40" s="1261">
        <f t="shared" si="0"/>
        <v>35</v>
      </c>
      <c r="B40" s="2962"/>
      <c r="C40" s="2965"/>
      <c r="D40" s="2968"/>
      <c r="E40" s="1262"/>
      <c r="F40" s="1262"/>
      <c r="G40" s="1263"/>
      <c r="H40" s="1263"/>
      <c r="I40" s="1263"/>
      <c r="J40" s="1263"/>
      <c r="K40" s="1264"/>
      <c r="L40" s="1264"/>
      <c r="M40" s="1264"/>
      <c r="N40" s="1264"/>
      <c r="O40" s="1266"/>
      <c r="P40" s="1264"/>
      <c r="Q40" s="1266"/>
      <c r="R40" s="1264"/>
      <c r="S40" s="1264"/>
      <c r="T40" s="1264"/>
      <c r="U40" s="1266"/>
      <c r="V40" s="1264"/>
      <c r="W40" s="1267"/>
    </row>
    <row r="41" spans="1:23">
      <c r="A41" s="1261">
        <f t="shared" si="0"/>
        <v>36</v>
      </c>
      <c r="B41" s="2962"/>
      <c r="C41" s="2965"/>
      <c r="D41" s="2968"/>
      <c r="E41" s="1262"/>
      <c r="F41" s="1262"/>
      <c r="G41" s="1263"/>
      <c r="H41" s="1263"/>
      <c r="I41" s="1263"/>
      <c r="J41" s="1263"/>
      <c r="K41" s="1264"/>
      <c r="L41" s="1264"/>
      <c r="M41" s="1264"/>
      <c r="N41" s="1264"/>
      <c r="O41" s="1266"/>
      <c r="P41" s="1264"/>
      <c r="Q41" s="1266"/>
      <c r="R41" s="1264"/>
      <c r="S41" s="1264"/>
      <c r="T41" s="1264"/>
      <c r="U41" s="1266"/>
      <c r="V41" s="1264"/>
      <c r="W41" s="1267"/>
    </row>
    <row r="42" spans="1:23">
      <c r="A42" s="1261">
        <f t="shared" si="0"/>
        <v>37</v>
      </c>
      <c r="B42" s="2962"/>
      <c r="C42" s="2965"/>
      <c r="D42" s="2968"/>
      <c r="E42" s="1262"/>
      <c r="F42" s="1262"/>
      <c r="G42" s="1263"/>
      <c r="H42" s="1263"/>
      <c r="I42" s="1263"/>
      <c r="J42" s="1263"/>
      <c r="K42" s="1264"/>
      <c r="L42" s="1264"/>
      <c r="M42" s="1264"/>
      <c r="N42" s="1264"/>
      <c r="O42" s="1266"/>
      <c r="P42" s="1264"/>
      <c r="Q42" s="1266"/>
      <c r="R42" s="1264"/>
      <c r="S42" s="1264"/>
      <c r="T42" s="1264"/>
      <c r="U42" s="1266"/>
      <c r="V42" s="1264"/>
      <c r="W42" s="1267"/>
    </row>
    <row r="43" spans="1:23">
      <c r="A43" s="1261">
        <f t="shared" si="0"/>
        <v>38</v>
      </c>
      <c r="B43" s="2962"/>
      <c r="C43" s="2965"/>
      <c r="D43" s="2968"/>
      <c r="E43" s="1262"/>
      <c r="F43" s="1262"/>
      <c r="G43" s="1263"/>
      <c r="H43" s="1263"/>
      <c r="I43" s="1263"/>
      <c r="J43" s="1263"/>
      <c r="K43" s="1264"/>
      <c r="L43" s="1264"/>
      <c r="M43" s="1264"/>
      <c r="N43" s="1264"/>
      <c r="O43" s="1266"/>
      <c r="P43" s="1264"/>
      <c r="Q43" s="1266"/>
      <c r="R43" s="1264"/>
      <c r="S43" s="1264"/>
      <c r="T43" s="1264"/>
      <c r="U43" s="1266"/>
      <c r="V43" s="1264"/>
      <c r="W43" s="1267"/>
    </row>
    <row r="44" spans="1:23">
      <c r="A44" s="1261">
        <f t="shared" si="0"/>
        <v>39</v>
      </c>
      <c r="B44" s="2962"/>
      <c r="C44" s="2965"/>
      <c r="D44" s="2968"/>
      <c r="E44" s="1262"/>
      <c r="F44" s="1262"/>
      <c r="G44" s="1263"/>
      <c r="H44" s="1263"/>
      <c r="I44" s="1263"/>
      <c r="J44" s="1263"/>
      <c r="K44" s="1264"/>
      <c r="L44" s="1264"/>
      <c r="M44" s="1264"/>
      <c r="N44" s="1264"/>
      <c r="O44" s="1266"/>
      <c r="P44" s="1264"/>
      <c r="Q44" s="1266"/>
      <c r="R44" s="1264"/>
      <c r="S44" s="1264"/>
      <c r="T44" s="1264"/>
      <c r="U44" s="1266"/>
      <c r="V44" s="1264"/>
      <c r="W44" s="1267"/>
    </row>
    <row r="45" spans="1:23">
      <c r="A45" s="1261">
        <f t="shared" si="0"/>
        <v>40</v>
      </c>
      <c r="B45" s="2962"/>
      <c r="C45" s="2965"/>
      <c r="D45" s="2968"/>
      <c r="E45" s="1262"/>
      <c r="F45" s="1262"/>
      <c r="G45" s="1263"/>
      <c r="H45" s="1263"/>
      <c r="I45" s="1263"/>
      <c r="J45" s="1263"/>
      <c r="K45" s="1264"/>
      <c r="L45" s="1264"/>
      <c r="M45" s="1264"/>
      <c r="N45" s="1264"/>
      <c r="O45" s="1266"/>
      <c r="P45" s="1264"/>
      <c r="Q45" s="1266"/>
      <c r="R45" s="1264"/>
      <c r="S45" s="1264"/>
      <c r="T45" s="1264"/>
      <c r="U45" s="1266"/>
      <c r="V45" s="1264"/>
      <c r="W45" s="1267"/>
    </row>
    <row r="46" spans="1:23">
      <c r="A46" s="1261">
        <f t="shared" si="0"/>
        <v>41</v>
      </c>
      <c r="B46" s="2962"/>
      <c r="C46" s="2965"/>
      <c r="D46" s="2968"/>
      <c r="E46" s="1262"/>
      <c r="F46" s="1262"/>
      <c r="G46" s="1263"/>
      <c r="H46" s="1263"/>
      <c r="I46" s="1263"/>
      <c r="J46" s="1263"/>
      <c r="K46" s="1264"/>
      <c r="L46" s="1264"/>
      <c r="M46" s="1264"/>
      <c r="N46" s="1264"/>
      <c r="O46" s="1266"/>
      <c r="P46" s="1264"/>
      <c r="Q46" s="1266"/>
      <c r="R46" s="1264"/>
      <c r="S46" s="1264"/>
      <c r="T46" s="1264"/>
      <c r="U46" s="1266"/>
      <c r="V46" s="1264"/>
      <c r="W46" s="1267"/>
    </row>
    <row r="47" spans="1:23">
      <c r="A47" s="1261">
        <f t="shared" si="0"/>
        <v>42</v>
      </c>
      <c r="B47" s="2962"/>
      <c r="C47" s="2965"/>
      <c r="D47" s="2968"/>
      <c r="E47" s="1262"/>
      <c r="F47" s="1262"/>
      <c r="G47" s="1263"/>
      <c r="H47" s="1263"/>
      <c r="I47" s="1263"/>
      <c r="J47" s="1263"/>
      <c r="K47" s="1264"/>
      <c r="L47" s="1264"/>
      <c r="M47" s="1264"/>
      <c r="N47" s="1264"/>
      <c r="O47" s="1266"/>
      <c r="P47" s="1264"/>
      <c r="Q47" s="1266"/>
      <c r="R47" s="1264"/>
      <c r="S47" s="1264"/>
      <c r="T47" s="1264"/>
      <c r="U47" s="1266"/>
      <c r="V47" s="1264"/>
      <c r="W47" s="1267"/>
    </row>
    <row r="48" spans="1:23">
      <c r="A48" s="1261">
        <f t="shared" si="0"/>
        <v>43</v>
      </c>
      <c r="B48" s="2962"/>
      <c r="C48" s="2965"/>
      <c r="D48" s="2968"/>
      <c r="E48" s="1262"/>
      <c r="F48" s="1262"/>
      <c r="G48" s="1263"/>
      <c r="H48" s="1263"/>
      <c r="I48" s="1263"/>
      <c r="J48" s="1263"/>
      <c r="K48" s="1264"/>
      <c r="L48" s="1264"/>
      <c r="M48" s="1264"/>
      <c r="N48" s="1264"/>
      <c r="O48" s="1266"/>
      <c r="P48" s="1264"/>
      <c r="Q48" s="1266"/>
      <c r="R48" s="1264"/>
      <c r="S48" s="1264"/>
      <c r="T48" s="1264"/>
      <c r="U48" s="1266"/>
      <c r="V48" s="1264"/>
      <c r="W48" s="1267"/>
    </row>
    <row r="49" spans="1:23" ht="15" thickBot="1">
      <c r="A49" s="1261">
        <f t="shared" si="0"/>
        <v>44</v>
      </c>
      <c r="B49" s="2962"/>
      <c r="C49" s="2966"/>
      <c r="D49" s="1273" t="s">
        <v>3514</v>
      </c>
      <c r="E49" s="1276"/>
      <c r="F49" s="1276"/>
      <c r="G49" s="1276"/>
      <c r="H49" s="1276"/>
      <c r="I49" s="1276"/>
      <c r="J49" s="1276"/>
      <c r="K49" s="1276"/>
      <c r="L49" s="1276"/>
      <c r="M49" s="1275">
        <f>SUM(M39:M48)</f>
        <v>0</v>
      </c>
      <c r="N49" s="1275">
        <f>SUM(N39:N48)</f>
        <v>0</v>
      </c>
      <c r="O49" s="1276"/>
      <c r="P49" s="1276"/>
      <c r="Q49" s="1276"/>
      <c r="R49" s="1276"/>
      <c r="S49" s="1275">
        <f>SUM(S39:S48)</f>
        <v>0</v>
      </c>
      <c r="T49" s="1276"/>
      <c r="U49" s="1276"/>
      <c r="V49" s="1276"/>
      <c r="W49" s="1453"/>
    </row>
    <row r="50" spans="1:23">
      <c r="A50" s="1261">
        <f t="shared" si="0"/>
        <v>45</v>
      </c>
      <c r="B50" s="2962"/>
      <c r="C50" s="2988" t="s">
        <v>4260</v>
      </c>
      <c r="D50" s="2947" t="s">
        <v>4199</v>
      </c>
      <c r="E50" s="1255"/>
      <c r="F50" s="1255"/>
      <c r="G50" s="1256"/>
      <c r="H50" s="1256"/>
      <c r="I50" s="1256"/>
      <c r="J50" s="1256"/>
      <c r="K50" s="1257"/>
      <c r="L50" s="1257"/>
      <c r="M50" s="1257"/>
      <c r="N50" s="1257"/>
      <c r="O50" s="1259"/>
      <c r="P50" s="1257"/>
      <c r="Q50" s="1259"/>
      <c r="R50" s="1257"/>
      <c r="S50" s="1257"/>
      <c r="T50" s="1257"/>
      <c r="U50" s="1259"/>
      <c r="V50" s="1257"/>
      <c r="W50" s="1260"/>
    </row>
    <row r="51" spans="1:23">
      <c r="A51" s="1261">
        <f t="shared" si="0"/>
        <v>46</v>
      </c>
      <c r="B51" s="2962"/>
      <c r="C51" s="2989"/>
      <c r="D51" s="2948"/>
      <c r="E51" s="1262"/>
      <c r="F51" s="1262"/>
      <c r="G51" s="1263"/>
      <c r="H51" s="1263"/>
      <c r="I51" s="1263"/>
      <c r="J51" s="1263"/>
      <c r="K51" s="1264"/>
      <c r="L51" s="1264"/>
      <c r="M51" s="1264"/>
      <c r="N51" s="1264"/>
      <c r="O51" s="1266"/>
      <c r="P51" s="1264"/>
      <c r="Q51" s="1266"/>
      <c r="R51" s="1264"/>
      <c r="S51" s="1264"/>
      <c r="T51" s="1264"/>
      <c r="U51" s="1266"/>
      <c r="V51" s="1264"/>
      <c r="W51" s="1267"/>
    </row>
    <row r="52" spans="1:23">
      <c r="A52" s="1261">
        <f t="shared" si="0"/>
        <v>47</v>
      </c>
      <c r="B52" s="2962"/>
      <c r="C52" s="2989"/>
      <c r="D52" s="2948"/>
      <c r="E52" s="1262"/>
      <c r="F52" s="1262"/>
      <c r="G52" s="1263"/>
      <c r="H52" s="1263"/>
      <c r="I52" s="1263"/>
      <c r="J52" s="1263"/>
      <c r="K52" s="1264"/>
      <c r="L52" s="1264"/>
      <c r="M52" s="1264"/>
      <c r="N52" s="1264"/>
      <c r="O52" s="1266"/>
      <c r="P52" s="1264"/>
      <c r="Q52" s="1266"/>
      <c r="R52" s="1264"/>
      <c r="S52" s="1264"/>
      <c r="T52" s="1264"/>
      <c r="U52" s="1266"/>
      <c r="V52" s="1264"/>
      <c r="W52" s="1267"/>
    </row>
    <row r="53" spans="1:23">
      <c r="A53" s="1261">
        <f t="shared" si="0"/>
        <v>48</v>
      </c>
      <c r="B53" s="2962"/>
      <c r="C53" s="2989"/>
      <c r="D53" s="2948"/>
      <c r="E53" s="1262"/>
      <c r="F53" s="1262"/>
      <c r="G53" s="1263"/>
      <c r="H53" s="1263"/>
      <c r="I53" s="1263"/>
      <c r="J53" s="1263"/>
      <c r="K53" s="1264"/>
      <c r="L53" s="1264"/>
      <c r="M53" s="1264"/>
      <c r="N53" s="1264"/>
      <c r="O53" s="1266"/>
      <c r="P53" s="1264"/>
      <c r="Q53" s="1266"/>
      <c r="R53" s="1264"/>
      <c r="S53" s="1264"/>
      <c r="T53" s="1264"/>
      <c r="U53" s="1266"/>
      <c r="V53" s="1264"/>
      <c r="W53" s="1267"/>
    </row>
    <row r="54" spans="1:23">
      <c r="A54" s="1261">
        <f t="shared" si="0"/>
        <v>49</v>
      </c>
      <c r="B54" s="2962"/>
      <c r="C54" s="2989"/>
      <c r="D54" s="2948"/>
      <c r="E54" s="1262"/>
      <c r="F54" s="1262"/>
      <c r="G54" s="1263"/>
      <c r="H54" s="1263"/>
      <c r="I54" s="1263"/>
      <c r="J54" s="1263"/>
      <c r="K54" s="1264"/>
      <c r="L54" s="1264"/>
      <c r="M54" s="1264"/>
      <c r="N54" s="1264"/>
      <c r="O54" s="1266"/>
      <c r="P54" s="1264"/>
      <c r="Q54" s="1266"/>
      <c r="R54" s="1264"/>
      <c r="S54" s="1264"/>
      <c r="T54" s="1264"/>
      <c r="U54" s="1266"/>
      <c r="V54" s="1264"/>
      <c r="W54" s="1267"/>
    </row>
    <row r="55" spans="1:23">
      <c r="A55" s="1261">
        <f t="shared" si="0"/>
        <v>50</v>
      </c>
      <c r="B55" s="2962"/>
      <c r="C55" s="2989"/>
      <c r="D55" s="2948"/>
      <c r="E55" s="1262"/>
      <c r="F55" s="1262"/>
      <c r="G55" s="1263"/>
      <c r="H55" s="1263"/>
      <c r="I55" s="1263"/>
      <c r="J55" s="1263"/>
      <c r="K55" s="1264"/>
      <c r="L55" s="1264"/>
      <c r="M55" s="1264"/>
      <c r="N55" s="1264"/>
      <c r="O55" s="1266"/>
      <c r="P55" s="1264"/>
      <c r="Q55" s="1266"/>
      <c r="R55" s="1264"/>
      <c r="S55" s="1264"/>
      <c r="T55" s="1264"/>
      <c r="U55" s="1266"/>
      <c r="V55" s="1264"/>
      <c r="W55" s="1267"/>
    </row>
    <row r="56" spans="1:23">
      <c r="A56" s="1261">
        <f t="shared" si="0"/>
        <v>51</v>
      </c>
      <c r="B56" s="2962"/>
      <c r="C56" s="2989"/>
      <c r="D56" s="2948"/>
      <c r="E56" s="1262"/>
      <c r="F56" s="1262"/>
      <c r="G56" s="1263"/>
      <c r="H56" s="1263"/>
      <c r="I56" s="1263"/>
      <c r="J56" s="1263"/>
      <c r="K56" s="1264"/>
      <c r="L56" s="1264"/>
      <c r="M56" s="1264"/>
      <c r="N56" s="1264"/>
      <c r="O56" s="1266"/>
      <c r="P56" s="1264"/>
      <c r="Q56" s="1266"/>
      <c r="R56" s="1264"/>
      <c r="S56" s="1264"/>
      <c r="T56" s="1264"/>
      <c r="U56" s="1266"/>
      <c r="V56" s="1264"/>
      <c r="W56" s="1267"/>
    </row>
    <row r="57" spans="1:23">
      <c r="A57" s="1261">
        <f t="shared" si="0"/>
        <v>52</v>
      </c>
      <c r="B57" s="2962"/>
      <c r="C57" s="2989"/>
      <c r="D57" s="2948"/>
      <c r="E57" s="1262"/>
      <c r="F57" s="1262"/>
      <c r="G57" s="1263"/>
      <c r="H57" s="1263"/>
      <c r="I57" s="1263"/>
      <c r="J57" s="1263"/>
      <c r="K57" s="1264"/>
      <c r="L57" s="1264"/>
      <c r="M57" s="1264"/>
      <c r="N57" s="1264"/>
      <c r="O57" s="1266"/>
      <c r="P57" s="1264"/>
      <c r="Q57" s="1266"/>
      <c r="R57" s="1264"/>
      <c r="S57" s="1264"/>
      <c r="T57" s="1264"/>
      <c r="U57" s="1266"/>
      <c r="V57" s="1264"/>
      <c r="W57" s="1267"/>
    </row>
    <row r="58" spans="1:23">
      <c r="A58" s="1261">
        <f t="shared" si="0"/>
        <v>53</v>
      </c>
      <c r="B58" s="2962"/>
      <c r="C58" s="2989"/>
      <c r="D58" s="2948"/>
      <c r="E58" s="1262"/>
      <c r="F58" s="1262"/>
      <c r="G58" s="1263"/>
      <c r="H58" s="1263"/>
      <c r="I58" s="1263"/>
      <c r="J58" s="1263"/>
      <c r="K58" s="1264"/>
      <c r="L58" s="1264"/>
      <c r="M58" s="1264"/>
      <c r="N58" s="1264"/>
      <c r="O58" s="1266"/>
      <c r="P58" s="1264"/>
      <c r="Q58" s="1266"/>
      <c r="R58" s="1264"/>
      <c r="S58" s="1264"/>
      <c r="T58" s="1264"/>
      <c r="U58" s="1266"/>
      <c r="V58" s="1264"/>
      <c r="W58" s="1267"/>
    </row>
    <row r="59" spans="1:23">
      <c r="A59" s="1261">
        <f t="shared" si="0"/>
        <v>54</v>
      </c>
      <c r="B59" s="2962"/>
      <c r="C59" s="2989"/>
      <c r="D59" s="2948"/>
      <c r="E59" s="1262"/>
      <c r="F59" s="1262"/>
      <c r="G59" s="1263"/>
      <c r="H59" s="1263"/>
      <c r="I59" s="1263"/>
      <c r="J59" s="1263"/>
      <c r="K59" s="1264"/>
      <c r="L59" s="1264"/>
      <c r="M59" s="1264"/>
      <c r="N59" s="1264"/>
      <c r="O59" s="1266"/>
      <c r="P59" s="1264"/>
      <c r="Q59" s="1266"/>
      <c r="R59" s="1264"/>
      <c r="S59" s="1264"/>
      <c r="T59" s="1264"/>
      <c r="U59" s="1266"/>
      <c r="V59" s="1264"/>
      <c r="W59" s="1267"/>
    </row>
    <row r="60" spans="1:23" ht="14.25">
      <c r="A60" s="1261">
        <f t="shared" si="0"/>
        <v>55</v>
      </c>
      <c r="B60" s="2962"/>
      <c r="C60" s="2989"/>
      <c r="D60" s="1279" t="s">
        <v>3514</v>
      </c>
      <c r="E60" s="1271"/>
      <c r="F60" s="1271"/>
      <c r="G60" s="1271"/>
      <c r="H60" s="1271"/>
      <c r="I60" s="1271"/>
      <c r="J60" s="1271"/>
      <c r="K60" s="1271"/>
      <c r="L60" s="1271"/>
      <c r="M60" s="1264">
        <f>SUM(M50:M59)</f>
        <v>0</v>
      </c>
      <c r="N60" s="1264">
        <f>SUM(N50:N59)</f>
        <v>0</v>
      </c>
      <c r="O60" s="1271"/>
      <c r="P60" s="1271"/>
      <c r="Q60" s="1271"/>
      <c r="R60" s="1271"/>
      <c r="S60" s="1264">
        <f>SUM(S50:S59)</f>
        <v>0</v>
      </c>
      <c r="T60" s="1271"/>
      <c r="U60" s="1271"/>
      <c r="V60" s="1271"/>
      <c r="W60" s="1450"/>
    </row>
    <row r="61" spans="1:23" ht="14.25" customHeight="1">
      <c r="A61" s="1261">
        <f t="shared" si="0"/>
        <v>56</v>
      </c>
      <c r="B61" s="2962"/>
      <c r="C61" s="2989"/>
      <c r="D61" s="2977" t="s">
        <v>4323</v>
      </c>
      <c r="E61" s="1262"/>
      <c r="F61" s="1262"/>
      <c r="G61" s="1263"/>
      <c r="H61" s="1263"/>
      <c r="I61" s="1263"/>
      <c r="J61" s="1263"/>
      <c r="K61" s="1264"/>
      <c r="L61" s="1264"/>
      <c r="M61" s="1264"/>
      <c r="N61" s="1264"/>
      <c r="O61" s="1266"/>
      <c r="P61" s="1264"/>
      <c r="Q61" s="1266"/>
      <c r="R61" s="1264"/>
      <c r="S61" s="1264"/>
      <c r="T61" s="1264"/>
      <c r="U61" s="1266"/>
      <c r="V61" s="1264"/>
      <c r="W61" s="1267"/>
    </row>
    <row r="62" spans="1:23">
      <c r="A62" s="1261">
        <f t="shared" si="0"/>
        <v>57</v>
      </c>
      <c r="B62" s="2962"/>
      <c r="C62" s="2989"/>
      <c r="D62" s="2978"/>
      <c r="E62" s="1262"/>
      <c r="F62" s="1262"/>
      <c r="G62" s="1263"/>
      <c r="H62" s="1263"/>
      <c r="I62" s="1263"/>
      <c r="J62" s="1263"/>
      <c r="K62" s="1264"/>
      <c r="L62" s="1264"/>
      <c r="M62" s="1264"/>
      <c r="N62" s="1264"/>
      <c r="O62" s="1266"/>
      <c r="P62" s="1266"/>
      <c r="Q62" s="1266"/>
      <c r="R62" s="1266"/>
      <c r="S62" s="1264"/>
      <c r="T62" s="1264"/>
      <c r="U62" s="1280"/>
      <c r="V62" s="1264"/>
      <c r="W62" s="1267"/>
    </row>
    <row r="63" spans="1:23">
      <c r="A63" s="1261">
        <f t="shared" si="0"/>
        <v>58</v>
      </c>
      <c r="B63" s="2962"/>
      <c r="C63" s="2989"/>
      <c r="D63" s="2978"/>
      <c r="E63" s="1262"/>
      <c r="F63" s="1262"/>
      <c r="G63" s="1263"/>
      <c r="H63" s="1263"/>
      <c r="I63" s="1263"/>
      <c r="J63" s="1263"/>
      <c r="K63" s="1264"/>
      <c r="L63" s="1264"/>
      <c r="M63" s="1264"/>
      <c r="N63" s="1264"/>
      <c r="O63" s="1266"/>
      <c r="P63" s="1266"/>
      <c r="Q63" s="1266"/>
      <c r="R63" s="1266"/>
      <c r="S63" s="1264"/>
      <c r="T63" s="1264"/>
      <c r="U63" s="1280"/>
      <c r="V63" s="1264"/>
      <c r="W63" s="1267"/>
    </row>
    <row r="64" spans="1:23">
      <c r="A64" s="1261">
        <f t="shared" si="0"/>
        <v>59</v>
      </c>
      <c r="B64" s="2962"/>
      <c r="C64" s="2989"/>
      <c r="D64" s="2978"/>
      <c r="E64" s="1262"/>
      <c r="F64" s="1262"/>
      <c r="G64" s="1263"/>
      <c r="H64" s="1263"/>
      <c r="I64" s="1263"/>
      <c r="J64" s="1263"/>
      <c r="K64" s="1264"/>
      <c r="L64" s="1264"/>
      <c r="M64" s="1264"/>
      <c r="N64" s="1264"/>
      <c r="O64" s="1266"/>
      <c r="P64" s="1266"/>
      <c r="Q64" s="1266"/>
      <c r="R64" s="1266"/>
      <c r="S64" s="1264"/>
      <c r="T64" s="1264"/>
      <c r="U64" s="1280"/>
      <c r="V64" s="1264"/>
      <c r="W64" s="1267"/>
    </row>
    <row r="65" spans="1:23">
      <c r="A65" s="1261">
        <f t="shared" si="0"/>
        <v>60</v>
      </c>
      <c r="B65" s="2962"/>
      <c r="C65" s="2989"/>
      <c r="D65" s="2978"/>
      <c r="E65" s="1262"/>
      <c r="F65" s="1262"/>
      <c r="G65" s="1263"/>
      <c r="H65" s="1263"/>
      <c r="I65" s="1263"/>
      <c r="J65" s="1263"/>
      <c r="K65" s="1264"/>
      <c r="L65" s="1264"/>
      <c r="M65" s="1264"/>
      <c r="N65" s="1264"/>
      <c r="O65" s="1266"/>
      <c r="P65" s="1266"/>
      <c r="Q65" s="1266"/>
      <c r="R65" s="1266"/>
      <c r="S65" s="1264"/>
      <c r="T65" s="1264"/>
      <c r="U65" s="1280"/>
      <c r="V65" s="1264"/>
      <c r="W65" s="1267"/>
    </row>
    <row r="66" spans="1:23">
      <c r="A66" s="1261">
        <f t="shared" si="0"/>
        <v>61</v>
      </c>
      <c r="B66" s="2962"/>
      <c r="C66" s="2989"/>
      <c r="D66" s="2978"/>
      <c r="E66" s="1262"/>
      <c r="F66" s="1262"/>
      <c r="G66" s="1263"/>
      <c r="H66" s="1263"/>
      <c r="I66" s="1263"/>
      <c r="J66" s="1263"/>
      <c r="K66" s="1264"/>
      <c r="L66" s="1264"/>
      <c r="M66" s="1264"/>
      <c r="N66" s="1264"/>
      <c r="O66" s="1266"/>
      <c r="P66" s="1266"/>
      <c r="Q66" s="1266"/>
      <c r="R66" s="1266"/>
      <c r="S66" s="1264"/>
      <c r="T66" s="1264"/>
      <c r="U66" s="1280"/>
      <c r="V66" s="1264"/>
      <c r="W66" s="1267"/>
    </row>
    <row r="67" spans="1:23">
      <c r="A67" s="1261">
        <f t="shared" si="0"/>
        <v>62</v>
      </c>
      <c r="B67" s="2962"/>
      <c r="C67" s="2989"/>
      <c r="D67" s="2978"/>
      <c r="E67" s="1262"/>
      <c r="F67" s="1262"/>
      <c r="G67" s="1263"/>
      <c r="H67" s="1263"/>
      <c r="I67" s="1263"/>
      <c r="J67" s="1263"/>
      <c r="K67" s="1264"/>
      <c r="L67" s="1264"/>
      <c r="M67" s="1264"/>
      <c r="N67" s="1264"/>
      <c r="O67" s="1266"/>
      <c r="P67" s="1266"/>
      <c r="Q67" s="1266"/>
      <c r="R67" s="1266"/>
      <c r="S67" s="1264"/>
      <c r="T67" s="1264"/>
      <c r="U67" s="1280"/>
      <c r="V67" s="1264"/>
      <c r="W67" s="1267"/>
    </row>
    <row r="68" spans="1:23">
      <c r="A68" s="1261">
        <f t="shared" si="0"/>
        <v>63</v>
      </c>
      <c r="B68" s="2962"/>
      <c r="C68" s="2989"/>
      <c r="D68" s="2978"/>
      <c r="E68" s="1262"/>
      <c r="F68" s="1262"/>
      <c r="G68" s="1263"/>
      <c r="H68" s="1263"/>
      <c r="I68" s="1263"/>
      <c r="J68" s="1263"/>
      <c r="K68" s="1264"/>
      <c r="L68" s="1264"/>
      <c r="M68" s="1264"/>
      <c r="N68" s="1264"/>
      <c r="O68" s="1266"/>
      <c r="P68" s="1266"/>
      <c r="Q68" s="1266"/>
      <c r="R68" s="1266"/>
      <c r="S68" s="1264"/>
      <c r="T68" s="1264"/>
      <c r="U68" s="1280"/>
      <c r="V68" s="1264"/>
      <c r="W68" s="1267"/>
    </row>
    <row r="69" spans="1:23">
      <c r="A69" s="1261">
        <f t="shared" si="0"/>
        <v>64</v>
      </c>
      <c r="B69" s="2962"/>
      <c r="C69" s="2989"/>
      <c r="D69" s="2978"/>
      <c r="E69" s="1262"/>
      <c r="F69" s="1262"/>
      <c r="G69" s="1263"/>
      <c r="H69" s="1263"/>
      <c r="I69" s="1263"/>
      <c r="J69" s="1263"/>
      <c r="K69" s="1264"/>
      <c r="L69" s="1264"/>
      <c r="M69" s="1264"/>
      <c r="N69" s="1264"/>
      <c r="O69" s="1266"/>
      <c r="P69" s="1266"/>
      <c r="Q69" s="1266"/>
      <c r="R69" s="1266"/>
      <c r="S69" s="1264"/>
      <c r="T69" s="1264"/>
      <c r="U69" s="1280"/>
      <c r="V69" s="1264"/>
      <c r="W69" s="1267"/>
    </row>
    <row r="70" spans="1:23">
      <c r="A70" s="1261">
        <f t="shared" si="0"/>
        <v>65</v>
      </c>
      <c r="B70" s="2962"/>
      <c r="C70" s="2989"/>
      <c r="D70" s="2978"/>
      <c r="E70" s="1262"/>
      <c r="F70" s="1262"/>
      <c r="G70" s="1263"/>
      <c r="H70" s="1263"/>
      <c r="I70" s="1263"/>
      <c r="J70" s="1263"/>
      <c r="K70" s="1264"/>
      <c r="L70" s="1264"/>
      <c r="M70" s="1264"/>
      <c r="N70" s="1264"/>
      <c r="O70" s="1266"/>
      <c r="P70" s="1266"/>
      <c r="Q70" s="1266"/>
      <c r="R70" s="1266"/>
      <c r="S70" s="1264"/>
      <c r="T70" s="1264"/>
      <c r="U70" s="1280"/>
      <c r="V70" s="1264"/>
      <c r="W70" s="1267"/>
    </row>
    <row r="71" spans="1:23" ht="16.5">
      <c r="A71" s="1261">
        <f t="shared" si="0"/>
        <v>66</v>
      </c>
      <c r="B71" s="2962"/>
      <c r="C71" s="2989"/>
      <c r="D71" s="1395" t="s">
        <v>4305</v>
      </c>
      <c r="E71" s="1271"/>
      <c r="F71" s="1271"/>
      <c r="G71" s="1271"/>
      <c r="H71" s="1271"/>
      <c r="I71" s="1271"/>
      <c r="J71" s="1271"/>
      <c r="K71" s="1271"/>
      <c r="L71" s="1271"/>
      <c r="M71" s="1264">
        <f>SUM(M61:M70)</f>
        <v>0</v>
      </c>
      <c r="N71" s="1264">
        <f>SUM(N61:N70)</f>
        <v>0</v>
      </c>
      <c r="O71" s="1271"/>
      <c r="P71" s="1271"/>
      <c r="Q71" s="1271"/>
      <c r="R71" s="1271"/>
      <c r="S71" s="1264">
        <f>SUM(S61:S70)</f>
        <v>0</v>
      </c>
      <c r="T71" s="1271"/>
      <c r="U71" s="1271"/>
      <c r="V71" s="1271"/>
      <c r="W71" s="1450"/>
    </row>
    <row r="72" spans="1:23" ht="14.25" customHeight="1">
      <c r="A72" s="1261">
        <f t="shared" ref="A72:A135" si="1">A71+1</f>
        <v>67</v>
      </c>
      <c r="B72" s="2962"/>
      <c r="C72" s="2989"/>
      <c r="D72" s="2968" t="s">
        <v>4322</v>
      </c>
      <c r="E72" s="1262"/>
      <c r="F72" s="1262"/>
      <c r="G72" s="1263"/>
      <c r="H72" s="1263"/>
      <c r="I72" s="1263"/>
      <c r="J72" s="1263"/>
      <c r="K72" s="1264"/>
      <c r="L72" s="1264"/>
      <c r="M72" s="1264"/>
      <c r="N72" s="1264"/>
      <c r="O72" s="1266"/>
      <c r="P72" s="1266"/>
      <c r="Q72" s="1266"/>
      <c r="R72" s="1266"/>
      <c r="S72" s="1264"/>
      <c r="T72" s="1264"/>
      <c r="U72" s="1280"/>
      <c r="V72" s="1264"/>
      <c r="W72" s="1267"/>
    </row>
    <row r="73" spans="1:23">
      <c r="A73" s="1261">
        <f t="shared" si="1"/>
        <v>68</v>
      </c>
      <c r="B73" s="2962"/>
      <c r="C73" s="2989"/>
      <c r="D73" s="2968"/>
      <c r="E73" s="1262"/>
      <c r="F73" s="1262"/>
      <c r="G73" s="1263"/>
      <c r="H73" s="1263"/>
      <c r="I73" s="1263"/>
      <c r="J73" s="1263"/>
      <c r="K73" s="1264"/>
      <c r="L73" s="1264"/>
      <c r="M73" s="1264"/>
      <c r="N73" s="1264"/>
      <c r="O73" s="1266"/>
      <c r="P73" s="1266"/>
      <c r="Q73" s="1266"/>
      <c r="R73" s="1266"/>
      <c r="S73" s="1264"/>
      <c r="T73" s="1264"/>
      <c r="U73" s="1280"/>
      <c r="V73" s="1264"/>
      <c r="W73" s="1267"/>
    </row>
    <row r="74" spans="1:23">
      <c r="A74" s="1261">
        <f t="shared" si="1"/>
        <v>69</v>
      </c>
      <c r="B74" s="2962"/>
      <c r="C74" s="2989"/>
      <c r="D74" s="2968"/>
      <c r="E74" s="1262"/>
      <c r="F74" s="1262"/>
      <c r="G74" s="1263"/>
      <c r="H74" s="1263"/>
      <c r="I74" s="1263"/>
      <c r="J74" s="1263"/>
      <c r="K74" s="1264"/>
      <c r="L74" s="1264"/>
      <c r="M74" s="1264"/>
      <c r="N74" s="1264"/>
      <c r="O74" s="1266"/>
      <c r="P74" s="1266"/>
      <c r="Q74" s="1266"/>
      <c r="R74" s="1266"/>
      <c r="S74" s="1264"/>
      <c r="T74" s="1264"/>
      <c r="U74" s="1280"/>
      <c r="V74" s="1264"/>
      <c r="W74" s="1267"/>
    </row>
    <row r="75" spans="1:23">
      <c r="A75" s="1261">
        <f t="shared" si="1"/>
        <v>70</v>
      </c>
      <c r="B75" s="2962"/>
      <c r="C75" s="2989"/>
      <c r="D75" s="2968"/>
      <c r="E75" s="1262"/>
      <c r="F75" s="1262"/>
      <c r="G75" s="1263"/>
      <c r="H75" s="1263"/>
      <c r="I75" s="1263"/>
      <c r="J75" s="1263"/>
      <c r="K75" s="1264"/>
      <c r="L75" s="1264"/>
      <c r="M75" s="1264"/>
      <c r="N75" s="1264"/>
      <c r="O75" s="1266"/>
      <c r="P75" s="1266"/>
      <c r="Q75" s="1266"/>
      <c r="R75" s="1266"/>
      <c r="S75" s="1264"/>
      <c r="T75" s="1264"/>
      <c r="U75" s="1280"/>
      <c r="V75" s="1264"/>
      <c r="W75" s="1267"/>
    </row>
    <row r="76" spans="1:23">
      <c r="A76" s="1261">
        <f t="shared" si="1"/>
        <v>71</v>
      </c>
      <c r="B76" s="2962"/>
      <c r="C76" s="2989"/>
      <c r="D76" s="2968"/>
      <c r="E76" s="1262"/>
      <c r="F76" s="1262"/>
      <c r="G76" s="1263"/>
      <c r="H76" s="1263"/>
      <c r="I76" s="1263"/>
      <c r="J76" s="1263"/>
      <c r="K76" s="1264"/>
      <c r="L76" s="1264"/>
      <c r="M76" s="1264"/>
      <c r="N76" s="1264"/>
      <c r="O76" s="1266"/>
      <c r="P76" s="1266"/>
      <c r="Q76" s="1266"/>
      <c r="R76" s="1266"/>
      <c r="S76" s="1264"/>
      <c r="T76" s="1264"/>
      <c r="U76" s="1280"/>
      <c r="V76" s="1264"/>
      <c r="W76" s="1267"/>
    </row>
    <row r="77" spans="1:23">
      <c r="A77" s="1261">
        <f t="shared" si="1"/>
        <v>72</v>
      </c>
      <c r="B77" s="2962"/>
      <c r="C77" s="2989"/>
      <c r="D77" s="2968"/>
      <c r="E77" s="1262"/>
      <c r="F77" s="1262"/>
      <c r="G77" s="1263"/>
      <c r="H77" s="1263"/>
      <c r="I77" s="1263"/>
      <c r="J77" s="1263"/>
      <c r="K77" s="1264"/>
      <c r="L77" s="1264"/>
      <c r="M77" s="1264"/>
      <c r="N77" s="1264"/>
      <c r="O77" s="1266"/>
      <c r="P77" s="1266"/>
      <c r="Q77" s="1266"/>
      <c r="R77" s="1266"/>
      <c r="S77" s="1264"/>
      <c r="T77" s="1264"/>
      <c r="U77" s="1280"/>
      <c r="V77" s="1264"/>
      <c r="W77" s="1267"/>
    </row>
    <row r="78" spans="1:23">
      <c r="A78" s="1261">
        <f t="shared" si="1"/>
        <v>73</v>
      </c>
      <c r="B78" s="2962"/>
      <c r="C78" s="2989"/>
      <c r="D78" s="2968"/>
      <c r="E78" s="1262"/>
      <c r="F78" s="1262"/>
      <c r="G78" s="1263"/>
      <c r="H78" s="1263"/>
      <c r="I78" s="1263"/>
      <c r="J78" s="1263"/>
      <c r="K78" s="1264"/>
      <c r="L78" s="1264"/>
      <c r="M78" s="1264"/>
      <c r="N78" s="1264"/>
      <c r="O78" s="1266"/>
      <c r="P78" s="1264"/>
      <c r="Q78" s="1266"/>
      <c r="R78" s="1264"/>
      <c r="S78" s="1264"/>
      <c r="T78" s="1264"/>
      <c r="U78" s="1266"/>
      <c r="V78" s="1264"/>
      <c r="W78" s="1267"/>
    </row>
    <row r="79" spans="1:23">
      <c r="A79" s="1261">
        <f t="shared" si="1"/>
        <v>74</v>
      </c>
      <c r="B79" s="2962"/>
      <c r="C79" s="2989"/>
      <c r="D79" s="2968"/>
      <c r="E79" s="1262"/>
      <c r="F79" s="1262"/>
      <c r="G79" s="1263"/>
      <c r="H79" s="1263"/>
      <c r="I79" s="1263"/>
      <c r="J79" s="1263"/>
      <c r="K79" s="1264"/>
      <c r="L79" s="1264"/>
      <c r="M79" s="1264"/>
      <c r="N79" s="1264"/>
      <c r="O79" s="1266"/>
      <c r="P79" s="1264"/>
      <c r="Q79" s="1266"/>
      <c r="R79" s="1264"/>
      <c r="S79" s="1264"/>
      <c r="T79" s="1264"/>
      <c r="U79" s="1266"/>
      <c r="V79" s="1264"/>
      <c r="W79" s="1267"/>
    </row>
    <row r="80" spans="1:23">
      <c r="A80" s="1261">
        <f t="shared" si="1"/>
        <v>75</v>
      </c>
      <c r="B80" s="2962"/>
      <c r="C80" s="2989"/>
      <c r="D80" s="2968"/>
      <c r="E80" s="1262"/>
      <c r="F80" s="1262"/>
      <c r="G80" s="1263"/>
      <c r="H80" s="1263"/>
      <c r="I80" s="1263"/>
      <c r="J80" s="1263"/>
      <c r="K80" s="1264"/>
      <c r="L80" s="1264"/>
      <c r="M80" s="1264"/>
      <c r="N80" s="1264"/>
      <c r="O80" s="1266"/>
      <c r="P80" s="1264"/>
      <c r="Q80" s="1266"/>
      <c r="R80" s="1264"/>
      <c r="S80" s="1264"/>
      <c r="T80" s="1264"/>
      <c r="U80" s="1266"/>
      <c r="V80" s="1264"/>
      <c r="W80" s="1267"/>
    </row>
    <row r="81" spans="1:23">
      <c r="A81" s="1261">
        <f t="shared" si="1"/>
        <v>76</v>
      </c>
      <c r="B81" s="2962"/>
      <c r="C81" s="2989"/>
      <c r="D81" s="2968"/>
      <c r="E81" s="1262"/>
      <c r="F81" s="1262"/>
      <c r="G81" s="1263"/>
      <c r="H81" s="1263"/>
      <c r="I81" s="1263"/>
      <c r="J81" s="1263"/>
      <c r="K81" s="1264"/>
      <c r="L81" s="1264"/>
      <c r="M81" s="1264"/>
      <c r="N81" s="1264"/>
      <c r="O81" s="1266"/>
      <c r="P81" s="1264"/>
      <c r="Q81" s="1266"/>
      <c r="R81" s="1264"/>
      <c r="S81" s="1264"/>
      <c r="T81" s="1264"/>
      <c r="U81" s="1266"/>
      <c r="V81" s="1264"/>
      <c r="W81" s="1267"/>
    </row>
    <row r="82" spans="1:23" ht="15" thickBot="1">
      <c r="A82" s="1261">
        <f t="shared" si="1"/>
        <v>77</v>
      </c>
      <c r="B82" s="2962"/>
      <c r="C82" s="2990"/>
      <c r="D82" s="1273" t="s">
        <v>3514</v>
      </c>
      <c r="E82" s="1276"/>
      <c r="F82" s="1276"/>
      <c r="G82" s="1276"/>
      <c r="H82" s="1276"/>
      <c r="I82" s="1276"/>
      <c r="J82" s="1276"/>
      <c r="K82" s="1276"/>
      <c r="L82" s="1276"/>
      <c r="M82" s="1275">
        <f>SUM(M72:M81)</f>
        <v>0</v>
      </c>
      <c r="N82" s="1275">
        <f>SUM(N72:N81)</f>
        <v>0</v>
      </c>
      <c r="O82" s="1276"/>
      <c r="P82" s="1276"/>
      <c r="Q82" s="1276"/>
      <c r="R82" s="1276"/>
      <c r="S82" s="1275">
        <f>SUM(S72:S81)</f>
        <v>0</v>
      </c>
      <c r="T82" s="1276"/>
      <c r="U82" s="1276"/>
      <c r="V82" s="1276"/>
      <c r="W82" s="1453"/>
    </row>
    <row r="83" spans="1:23" ht="16.5" customHeight="1">
      <c r="A83" s="1261">
        <f t="shared" si="1"/>
        <v>78</v>
      </c>
      <c r="B83" s="2962"/>
      <c r="C83" s="2964" t="s">
        <v>4261</v>
      </c>
      <c r="D83" s="2991" t="s">
        <v>4262</v>
      </c>
      <c r="E83" s="1255"/>
      <c r="F83" s="1255"/>
      <c r="G83" s="1256"/>
      <c r="H83" s="1256"/>
      <c r="I83" s="1256"/>
      <c r="J83" s="1256"/>
      <c r="K83" s="1257"/>
      <c r="L83" s="1257"/>
      <c r="M83" s="1257"/>
      <c r="N83" s="1257"/>
      <c r="O83" s="1259"/>
      <c r="P83" s="1257"/>
      <c r="Q83" s="1259"/>
      <c r="R83" s="1257"/>
      <c r="S83" s="1257"/>
      <c r="T83" s="1281"/>
      <c r="U83" s="1259"/>
      <c r="V83" s="1257"/>
      <c r="W83" s="1260"/>
    </row>
    <row r="84" spans="1:23">
      <c r="A84" s="1261">
        <f t="shared" si="1"/>
        <v>79</v>
      </c>
      <c r="B84" s="2962"/>
      <c r="C84" s="2965"/>
      <c r="D84" s="2994"/>
      <c r="E84" s="1262"/>
      <c r="F84" s="1262"/>
      <c r="G84" s="1263"/>
      <c r="H84" s="1263"/>
      <c r="I84" s="1263"/>
      <c r="J84" s="1263"/>
      <c r="K84" s="1264"/>
      <c r="L84" s="1264"/>
      <c r="M84" s="1264"/>
      <c r="N84" s="1264"/>
      <c r="O84" s="1266"/>
      <c r="P84" s="1264"/>
      <c r="Q84" s="1266"/>
      <c r="R84" s="1264"/>
      <c r="S84" s="1264"/>
      <c r="T84" s="1280"/>
      <c r="U84" s="1266"/>
      <c r="V84" s="1264"/>
      <c r="W84" s="1267"/>
    </row>
    <row r="85" spans="1:23">
      <c r="A85" s="1261">
        <f t="shared" si="1"/>
        <v>80</v>
      </c>
      <c r="B85" s="2962"/>
      <c r="C85" s="2965"/>
      <c r="D85" s="2994"/>
      <c r="E85" s="1262"/>
      <c r="F85" s="1262"/>
      <c r="G85" s="1263"/>
      <c r="H85" s="1263"/>
      <c r="I85" s="1263"/>
      <c r="J85" s="1263"/>
      <c r="K85" s="1264"/>
      <c r="L85" s="1264"/>
      <c r="M85" s="1264"/>
      <c r="N85" s="1264"/>
      <c r="O85" s="1266"/>
      <c r="P85" s="1264"/>
      <c r="Q85" s="1266"/>
      <c r="R85" s="1264"/>
      <c r="S85" s="1264"/>
      <c r="T85" s="1280"/>
      <c r="U85" s="1266"/>
      <c r="V85" s="1264"/>
      <c r="W85" s="1267"/>
    </row>
    <row r="86" spans="1:23">
      <c r="A86" s="1261">
        <f t="shared" si="1"/>
        <v>81</v>
      </c>
      <c r="B86" s="2962"/>
      <c r="C86" s="2965"/>
      <c r="D86" s="2994"/>
      <c r="E86" s="1262"/>
      <c r="F86" s="1262"/>
      <c r="G86" s="1263"/>
      <c r="H86" s="1263"/>
      <c r="I86" s="1263"/>
      <c r="J86" s="1263"/>
      <c r="K86" s="1264"/>
      <c r="L86" s="1264"/>
      <c r="M86" s="1264"/>
      <c r="N86" s="1264"/>
      <c r="O86" s="1266"/>
      <c r="P86" s="1264"/>
      <c r="Q86" s="1266"/>
      <c r="R86" s="1264"/>
      <c r="S86" s="1264"/>
      <c r="T86" s="1280"/>
      <c r="U86" s="1266"/>
      <c r="V86" s="1264"/>
      <c r="W86" s="1267"/>
    </row>
    <row r="87" spans="1:23">
      <c r="A87" s="1261">
        <f t="shared" si="1"/>
        <v>82</v>
      </c>
      <c r="B87" s="2962"/>
      <c r="C87" s="2965"/>
      <c r="D87" s="2994"/>
      <c r="E87" s="1262"/>
      <c r="F87" s="1262"/>
      <c r="G87" s="1263"/>
      <c r="H87" s="1263"/>
      <c r="I87" s="1263"/>
      <c r="J87" s="1263"/>
      <c r="K87" s="1264"/>
      <c r="L87" s="1264"/>
      <c r="M87" s="1264"/>
      <c r="N87" s="1264"/>
      <c r="O87" s="1266"/>
      <c r="P87" s="1264"/>
      <c r="Q87" s="1266"/>
      <c r="R87" s="1264"/>
      <c r="S87" s="1264"/>
      <c r="T87" s="1280"/>
      <c r="U87" s="1266"/>
      <c r="V87" s="1264"/>
      <c r="W87" s="1267"/>
    </row>
    <row r="88" spans="1:23">
      <c r="A88" s="1261">
        <f t="shared" si="1"/>
        <v>83</v>
      </c>
      <c r="B88" s="2962"/>
      <c r="C88" s="2965"/>
      <c r="D88" s="2994"/>
      <c r="E88" s="1262"/>
      <c r="F88" s="1262"/>
      <c r="G88" s="1263"/>
      <c r="H88" s="1263"/>
      <c r="I88" s="1263"/>
      <c r="J88" s="1263"/>
      <c r="K88" s="1264"/>
      <c r="L88" s="1264"/>
      <c r="M88" s="1264"/>
      <c r="N88" s="1264"/>
      <c r="O88" s="1266"/>
      <c r="P88" s="1264"/>
      <c r="Q88" s="1266"/>
      <c r="R88" s="1264"/>
      <c r="S88" s="1264"/>
      <c r="T88" s="1280"/>
      <c r="U88" s="1266"/>
      <c r="V88" s="1264"/>
      <c r="W88" s="1267"/>
    </row>
    <row r="89" spans="1:23" ht="14.25">
      <c r="A89" s="1261">
        <f t="shared" si="1"/>
        <v>84</v>
      </c>
      <c r="B89" s="2962"/>
      <c r="C89" s="2965"/>
      <c r="D89" s="1279" t="s">
        <v>3514</v>
      </c>
      <c r="E89" s="1271"/>
      <c r="F89" s="1271"/>
      <c r="G89" s="1271"/>
      <c r="H89" s="1271"/>
      <c r="I89" s="1271"/>
      <c r="J89" s="1271"/>
      <c r="K89" s="1271"/>
      <c r="L89" s="1271"/>
      <c r="M89" s="1264">
        <f>SUM(M83:M88)</f>
        <v>0</v>
      </c>
      <c r="N89" s="1264">
        <f>SUM(N83:N88)</f>
        <v>0</v>
      </c>
      <c r="O89" s="1271"/>
      <c r="P89" s="1271"/>
      <c r="Q89" s="1271"/>
      <c r="R89" s="1271"/>
      <c r="S89" s="1264">
        <f>SUM(S83:S88)</f>
        <v>0</v>
      </c>
      <c r="T89" s="1271"/>
      <c r="U89" s="1271"/>
      <c r="V89" s="1271"/>
      <c r="W89" s="1450"/>
    </row>
    <row r="90" spans="1:23" ht="14.25" customHeight="1">
      <c r="A90" s="1261">
        <f t="shared" si="1"/>
        <v>85</v>
      </c>
      <c r="B90" s="2962"/>
      <c r="C90" s="2965"/>
      <c r="D90" s="2968" t="s">
        <v>4321</v>
      </c>
      <c r="E90" s="1262"/>
      <c r="F90" s="1262"/>
      <c r="G90" s="1263"/>
      <c r="H90" s="1263"/>
      <c r="I90" s="1263"/>
      <c r="J90" s="1263"/>
      <c r="K90" s="1264"/>
      <c r="L90" s="1264"/>
      <c r="M90" s="1264"/>
      <c r="N90" s="1264"/>
      <c r="O90" s="1266"/>
      <c r="P90" s="1264"/>
      <c r="Q90" s="1266"/>
      <c r="R90" s="1264"/>
      <c r="S90" s="1264"/>
      <c r="T90" s="1280"/>
      <c r="U90" s="1266"/>
      <c r="V90" s="1264"/>
      <c r="W90" s="1267"/>
    </row>
    <row r="91" spans="1:23">
      <c r="A91" s="1261">
        <f t="shared" si="1"/>
        <v>86</v>
      </c>
      <c r="B91" s="2962"/>
      <c r="C91" s="2965"/>
      <c r="D91" s="2968"/>
      <c r="E91" s="1262"/>
      <c r="F91" s="1262"/>
      <c r="G91" s="1263"/>
      <c r="H91" s="1263"/>
      <c r="I91" s="1263"/>
      <c r="J91" s="1263"/>
      <c r="K91" s="1264"/>
      <c r="L91" s="1264"/>
      <c r="M91" s="1264"/>
      <c r="N91" s="1264"/>
      <c r="O91" s="1266"/>
      <c r="P91" s="1264"/>
      <c r="Q91" s="1266"/>
      <c r="R91" s="1264"/>
      <c r="S91" s="1264"/>
      <c r="T91" s="1280"/>
      <c r="U91" s="1266"/>
      <c r="V91" s="1264"/>
      <c r="W91" s="1267"/>
    </row>
    <row r="92" spans="1:23">
      <c r="A92" s="1261">
        <f t="shared" si="1"/>
        <v>87</v>
      </c>
      <c r="B92" s="2962"/>
      <c r="C92" s="2965"/>
      <c r="D92" s="2968"/>
      <c r="E92" s="1262"/>
      <c r="F92" s="1262"/>
      <c r="G92" s="1263"/>
      <c r="H92" s="1263"/>
      <c r="I92" s="1263"/>
      <c r="J92" s="1263"/>
      <c r="K92" s="1264"/>
      <c r="L92" s="1264"/>
      <c r="M92" s="1264"/>
      <c r="N92" s="1264"/>
      <c r="O92" s="1266"/>
      <c r="P92" s="1264"/>
      <c r="Q92" s="1266"/>
      <c r="R92" s="1264"/>
      <c r="S92" s="1264"/>
      <c r="T92" s="1280"/>
      <c r="U92" s="1266"/>
      <c r="V92" s="1264"/>
      <c r="W92" s="1267"/>
    </row>
    <row r="93" spans="1:23">
      <c r="A93" s="1261">
        <f t="shared" si="1"/>
        <v>88</v>
      </c>
      <c r="B93" s="2962"/>
      <c r="C93" s="2965"/>
      <c r="D93" s="2968"/>
      <c r="E93" s="1262"/>
      <c r="F93" s="1262"/>
      <c r="G93" s="1263"/>
      <c r="H93" s="1263"/>
      <c r="I93" s="1263"/>
      <c r="J93" s="1263"/>
      <c r="K93" s="1264"/>
      <c r="L93" s="1264"/>
      <c r="M93" s="1264"/>
      <c r="N93" s="1264"/>
      <c r="O93" s="1266"/>
      <c r="P93" s="1264"/>
      <c r="Q93" s="1266"/>
      <c r="R93" s="1264"/>
      <c r="S93" s="1264"/>
      <c r="T93" s="1280"/>
      <c r="U93" s="1266"/>
      <c r="V93" s="1264"/>
      <c r="W93" s="1267"/>
    </row>
    <row r="94" spans="1:23" ht="16.5" customHeight="1">
      <c r="A94" s="1261">
        <f t="shared" si="1"/>
        <v>89</v>
      </c>
      <c r="B94" s="2962"/>
      <c r="C94" s="2965"/>
      <c r="D94" s="2968"/>
      <c r="E94" s="1262"/>
      <c r="F94" s="1262"/>
      <c r="G94" s="1263"/>
      <c r="H94" s="1263"/>
      <c r="I94" s="1263"/>
      <c r="J94" s="1263"/>
      <c r="K94" s="1264"/>
      <c r="L94" s="1264"/>
      <c r="M94" s="1264"/>
      <c r="N94" s="1264"/>
      <c r="O94" s="1266"/>
      <c r="P94" s="1264"/>
      <c r="Q94" s="1266"/>
      <c r="R94" s="1264"/>
      <c r="S94" s="1264"/>
      <c r="T94" s="1280"/>
      <c r="U94" s="1266"/>
      <c r="V94" s="1264"/>
      <c r="W94" s="1267"/>
    </row>
    <row r="95" spans="1:23" ht="16.5" customHeight="1">
      <c r="A95" s="1261">
        <f t="shared" si="1"/>
        <v>90</v>
      </c>
      <c r="B95" s="2962"/>
      <c r="C95" s="2965"/>
      <c r="D95" s="2968"/>
      <c r="E95" s="1262"/>
      <c r="F95" s="1262"/>
      <c r="G95" s="1263"/>
      <c r="H95" s="1263"/>
      <c r="I95" s="1263"/>
      <c r="J95" s="1263"/>
      <c r="K95" s="1264"/>
      <c r="L95" s="1264"/>
      <c r="M95" s="1264"/>
      <c r="N95" s="1264"/>
      <c r="O95" s="1266"/>
      <c r="P95" s="1264"/>
      <c r="Q95" s="1266"/>
      <c r="R95" s="1264"/>
      <c r="S95" s="1264"/>
      <c r="T95" s="1280"/>
      <c r="U95" s="1266"/>
      <c r="V95" s="1264"/>
      <c r="W95" s="1267"/>
    </row>
    <row r="96" spans="1:23" ht="16.5">
      <c r="A96" s="1261">
        <f t="shared" si="1"/>
        <v>91</v>
      </c>
      <c r="B96" s="2962"/>
      <c r="C96" s="2965"/>
      <c r="D96" s="1395" t="s">
        <v>4305</v>
      </c>
      <c r="E96" s="1271"/>
      <c r="F96" s="1271"/>
      <c r="G96" s="1271"/>
      <c r="H96" s="1271"/>
      <c r="I96" s="1271"/>
      <c r="J96" s="1271"/>
      <c r="K96" s="1271"/>
      <c r="L96" s="1271"/>
      <c r="M96" s="1264">
        <f>SUM(M90:M95)</f>
        <v>0</v>
      </c>
      <c r="N96" s="1264">
        <f>SUM(N90:N95)</f>
        <v>0</v>
      </c>
      <c r="O96" s="1271"/>
      <c r="P96" s="1271"/>
      <c r="Q96" s="1271"/>
      <c r="R96" s="1271"/>
      <c r="S96" s="1264">
        <f>SUM(S90:S95)</f>
        <v>0</v>
      </c>
      <c r="T96" s="1271"/>
      <c r="U96" s="1271"/>
      <c r="V96" s="1271"/>
      <c r="W96" s="1450"/>
    </row>
    <row r="97" spans="1:23" ht="14.25" customHeight="1">
      <c r="A97" s="1261">
        <f t="shared" si="1"/>
        <v>92</v>
      </c>
      <c r="B97" s="2962"/>
      <c r="C97" s="2965"/>
      <c r="D97" s="2968" t="s">
        <v>4322</v>
      </c>
      <c r="E97" s="1262"/>
      <c r="F97" s="1262"/>
      <c r="G97" s="1263"/>
      <c r="H97" s="1263"/>
      <c r="I97" s="1263"/>
      <c r="J97" s="1263"/>
      <c r="K97" s="1264"/>
      <c r="L97" s="1264"/>
      <c r="M97" s="1264"/>
      <c r="N97" s="1264"/>
      <c r="O97" s="1266"/>
      <c r="P97" s="1264"/>
      <c r="Q97" s="1266"/>
      <c r="R97" s="1264"/>
      <c r="S97" s="1264"/>
      <c r="T97" s="1280"/>
      <c r="U97" s="1266"/>
      <c r="V97" s="1264"/>
      <c r="W97" s="1267"/>
    </row>
    <row r="98" spans="1:23">
      <c r="A98" s="1261">
        <f t="shared" si="1"/>
        <v>93</v>
      </c>
      <c r="B98" s="2962"/>
      <c r="C98" s="2965"/>
      <c r="D98" s="2968"/>
      <c r="E98" s="1262"/>
      <c r="F98" s="1262"/>
      <c r="G98" s="1263"/>
      <c r="H98" s="1263"/>
      <c r="I98" s="1263"/>
      <c r="J98" s="1263"/>
      <c r="K98" s="1264"/>
      <c r="L98" s="1264"/>
      <c r="M98" s="1264"/>
      <c r="N98" s="1264"/>
      <c r="O98" s="1266"/>
      <c r="P98" s="1264"/>
      <c r="Q98" s="1266"/>
      <c r="R98" s="1264"/>
      <c r="S98" s="1264"/>
      <c r="T98" s="1280"/>
      <c r="U98" s="1266"/>
      <c r="V98" s="1264"/>
      <c r="W98" s="1267"/>
    </row>
    <row r="99" spans="1:23">
      <c r="A99" s="1261">
        <f t="shared" si="1"/>
        <v>94</v>
      </c>
      <c r="B99" s="2962"/>
      <c r="C99" s="2965"/>
      <c r="D99" s="2968"/>
      <c r="E99" s="1262"/>
      <c r="F99" s="1262"/>
      <c r="G99" s="1263"/>
      <c r="H99" s="1263"/>
      <c r="I99" s="1263"/>
      <c r="J99" s="1263"/>
      <c r="K99" s="1264"/>
      <c r="L99" s="1264"/>
      <c r="M99" s="1264"/>
      <c r="N99" s="1264"/>
      <c r="O99" s="1266"/>
      <c r="P99" s="1264"/>
      <c r="Q99" s="1266"/>
      <c r="R99" s="1264"/>
      <c r="S99" s="1264"/>
      <c r="T99" s="1280"/>
      <c r="U99" s="1266"/>
      <c r="V99" s="1264"/>
      <c r="W99" s="1267"/>
    </row>
    <row r="100" spans="1:23">
      <c r="A100" s="1261">
        <f t="shared" si="1"/>
        <v>95</v>
      </c>
      <c r="B100" s="2962"/>
      <c r="C100" s="2965"/>
      <c r="D100" s="2968"/>
      <c r="E100" s="1262"/>
      <c r="F100" s="1262"/>
      <c r="G100" s="1263"/>
      <c r="H100" s="1263"/>
      <c r="I100" s="1263"/>
      <c r="J100" s="1263"/>
      <c r="K100" s="1264"/>
      <c r="L100" s="1264"/>
      <c r="M100" s="1264"/>
      <c r="N100" s="1264"/>
      <c r="O100" s="1266"/>
      <c r="P100" s="1264"/>
      <c r="Q100" s="1266"/>
      <c r="R100" s="1264"/>
      <c r="S100" s="1264"/>
      <c r="T100" s="1280"/>
      <c r="U100" s="1266"/>
      <c r="V100" s="1264"/>
      <c r="W100" s="1267"/>
    </row>
    <row r="101" spans="1:23">
      <c r="A101" s="1261">
        <f t="shared" si="1"/>
        <v>96</v>
      </c>
      <c r="B101" s="2962"/>
      <c r="C101" s="2965"/>
      <c r="D101" s="2968"/>
      <c r="E101" s="1262"/>
      <c r="F101" s="1262"/>
      <c r="G101" s="1263"/>
      <c r="H101" s="1263"/>
      <c r="I101" s="1263"/>
      <c r="J101" s="1263"/>
      <c r="K101" s="1264"/>
      <c r="L101" s="1264"/>
      <c r="M101" s="1264"/>
      <c r="N101" s="1264"/>
      <c r="O101" s="1266"/>
      <c r="P101" s="1264"/>
      <c r="Q101" s="1266"/>
      <c r="R101" s="1264"/>
      <c r="S101" s="1264"/>
      <c r="T101" s="1280"/>
      <c r="U101" s="1266"/>
      <c r="V101" s="1264"/>
      <c r="W101" s="1267"/>
    </row>
    <row r="102" spans="1:23">
      <c r="A102" s="1261">
        <f t="shared" si="1"/>
        <v>97</v>
      </c>
      <c r="B102" s="2962"/>
      <c r="C102" s="2965"/>
      <c r="D102" s="2968"/>
      <c r="E102" s="1262"/>
      <c r="F102" s="1262"/>
      <c r="G102" s="1263"/>
      <c r="H102" s="1263"/>
      <c r="I102" s="1263"/>
      <c r="J102" s="1263"/>
      <c r="K102" s="1264"/>
      <c r="L102" s="1264"/>
      <c r="M102" s="1264"/>
      <c r="N102" s="1264"/>
      <c r="O102" s="1266"/>
      <c r="P102" s="1264"/>
      <c r="Q102" s="1266"/>
      <c r="R102" s="1264"/>
      <c r="S102" s="1264"/>
      <c r="T102" s="1280"/>
      <c r="U102" s="1266"/>
      <c r="V102" s="1264"/>
      <c r="W102" s="1267"/>
    </row>
    <row r="103" spans="1:23" ht="15" thickBot="1">
      <c r="A103" s="1261">
        <f t="shared" si="1"/>
        <v>98</v>
      </c>
      <c r="B103" s="2962"/>
      <c r="C103" s="2966"/>
      <c r="D103" s="1273" t="s">
        <v>3514</v>
      </c>
      <c r="E103" s="1274"/>
      <c r="F103" s="1274"/>
      <c r="G103" s="1454"/>
      <c r="H103" s="1454"/>
      <c r="I103" s="1454"/>
      <c r="J103" s="1454"/>
      <c r="K103" s="1276"/>
      <c r="L103" s="1276"/>
      <c r="M103" s="1275">
        <f>SUM(M97:M102)</f>
        <v>0</v>
      </c>
      <c r="N103" s="1275">
        <f>SUM(N97:N102)</f>
        <v>0</v>
      </c>
      <c r="O103" s="1276"/>
      <c r="P103" s="1276"/>
      <c r="Q103" s="1276"/>
      <c r="R103" s="1276"/>
      <c r="S103" s="1275">
        <f>SUM(S97:S102)</f>
        <v>0</v>
      </c>
      <c r="T103" s="1276"/>
      <c r="U103" s="1276"/>
      <c r="V103" s="1276"/>
      <c r="W103" s="1453"/>
    </row>
    <row r="104" spans="1:23" ht="15" thickBot="1">
      <c r="A104" s="1261">
        <f t="shared" si="1"/>
        <v>99</v>
      </c>
      <c r="B104" s="3003" t="s">
        <v>4263</v>
      </c>
      <c r="C104" s="2996"/>
      <c r="D104" s="1351"/>
      <c r="E104" s="1311"/>
      <c r="F104" s="1311"/>
      <c r="G104" s="1312"/>
      <c r="H104" s="1312"/>
      <c r="I104" s="1312"/>
      <c r="J104" s="1312"/>
      <c r="K104" s="1313"/>
      <c r="L104" s="1313"/>
      <c r="M104" s="1455">
        <f>M103+M96+M89+M82+M71+M60+M49+M38+M27+M20</f>
        <v>0</v>
      </c>
      <c r="N104" s="1455">
        <f>N103+N96+N89+N82+N71+N60+N49+N38+N27+N20</f>
        <v>0</v>
      </c>
      <c r="O104" s="1313"/>
      <c r="P104" s="1313"/>
      <c r="Q104" s="1313"/>
      <c r="R104" s="1313"/>
      <c r="S104" s="1455">
        <f>S103+S96+S89+S82+S71+S60+S49+S38+S27+S20</f>
        <v>0</v>
      </c>
      <c r="T104" s="1313"/>
      <c r="U104" s="1316"/>
      <c r="V104" s="1313"/>
      <c r="W104" s="1456"/>
    </row>
    <row r="105" spans="1:23" ht="16.5" customHeight="1">
      <c r="A105" s="1261">
        <f t="shared" si="1"/>
        <v>100</v>
      </c>
      <c r="B105" s="2961" t="s">
        <v>4290</v>
      </c>
      <c r="C105" s="2964" t="s">
        <v>4265</v>
      </c>
      <c r="D105" s="2987" t="s">
        <v>4324</v>
      </c>
      <c r="E105" s="1255"/>
      <c r="F105" s="1255"/>
      <c r="G105" s="1256"/>
      <c r="H105" s="1256"/>
      <c r="I105" s="1256"/>
      <c r="J105" s="1256"/>
      <c r="K105" s="1257"/>
      <c r="L105" s="1257"/>
      <c r="M105" s="1257"/>
      <c r="N105" s="1257"/>
      <c r="O105" s="1259"/>
      <c r="P105" s="1257"/>
      <c r="Q105" s="1259"/>
      <c r="R105" s="1257"/>
      <c r="S105" s="1257"/>
      <c r="T105" s="1295"/>
      <c r="U105" s="1296"/>
      <c r="V105" s="1257"/>
      <c r="W105" s="1260"/>
    </row>
    <row r="106" spans="1:23" ht="16.5" customHeight="1">
      <c r="A106" s="1261">
        <f t="shared" si="1"/>
        <v>101</v>
      </c>
      <c r="B106" s="2985"/>
      <c r="C106" s="2965"/>
      <c r="D106" s="2968"/>
      <c r="E106" s="1262"/>
      <c r="F106" s="1262"/>
      <c r="G106" s="1263"/>
      <c r="H106" s="1263"/>
      <c r="I106" s="1263"/>
      <c r="J106" s="1263"/>
      <c r="K106" s="1264"/>
      <c r="L106" s="1264"/>
      <c r="M106" s="1264"/>
      <c r="N106" s="1264"/>
      <c r="O106" s="1266"/>
      <c r="P106" s="1264"/>
      <c r="Q106" s="1266"/>
      <c r="R106" s="1264"/>
      <c r="S106" s="1264"/>
      <c r="T106" s="1271"/>
      <c r="U106" s="1272"/>
      <c r="V106" s="1264"/>
      <c r="W106" s="1267"/>
    </row>
    <row r="107" spans="1:23" ht="16.5" customHeight="1">
      <c r="A107" s="1261">
        <f t="shared" si="1"/>
        <v>102</v>
      </c>
      <c r="B107" s="2985"/>
      <c r="C107" s="2965"/>
      <c r="D107" s="2968"/>
      <c r="E107" s="1262"/>
      <c r="F107" s="1262"/>
      <c r="G107" s="1263"/>
      <c r="H107" s="1263"/>
      <c r="I107" s="1263"/>
      <c r="J107" s="1263"/>
      <c r="K107" s="1264"/>
      <c r="L107" s="1264"/>
      <c r="M107" s="1264"/>
      <c r="N107" s="1264"/>
      <c r="O107" s="1266"/>
      <c r="P107" s="1264"/>
      <c r="Q107" s="1266"/>
      <c r="R107" s="1264"/>
      <c r="S107" s="1264"/>
      <c r="T107" s="1271"/>
      <c r="U107" s="1272"/>
      <c r="V107" s="1264"/>
      <c r="W107" s="1267"/>
    </row>
    <row r="108" spans="1:23" ht="16.5" customHeight="1">
      <c r="A108" s="1261">
        <f t="shared" si="1"/>
        <v>103</v>
      </c>
      <c r="B108" s="2985"/>
      <c r="C108" s="2965"/>
      <c r="D108" s="2968"/>
      <c r="E108" s="1262"/>
      <c r="F108" s="1262"/>
      <c r="G108" s="1263"/>
      <c r="H108" s="1263"/>
      <c r="I108" s="1263"/>
      <c r="J108" s="1263"/>
      <c r="K108" s="1264"/>
      <c r="L108" s="1264"/>
      <c r="M108" s="1264"/>
      <c r="N108" s="1264"/>
      <c r="O108" s="1266"/>
      <c r="P108" s="1264"/>
      <c r="Q108" s="1266"/>
      <c r="R108" s="1264"/>
      <c r="S108" s="1264"/>
      <c r="T108" s="1271"/>
      <c r="U108" s="1272"/>
      <c r="V108" s="1264"/>
      <c r="W108" s="1267"/>
    </row>
    <row r="109" spans="1:23" ht="16.5" customHeight="1">
      <c r="A109" s="1261">
        <f t="shared" si="1"/>
        <v>104</v>
      </c>
      <c r="B109" s="2985"/>
      <c r="C109" s="2965"/>
      <c r="D109" s="2968"/>
      <c r="E109" s="1262"/>
      <c r="F109" s="1262"/>
      <c r="G109" s="1263"/>
      <c r="H109" s="1263"/>
      <c r="I109" s="1263"/>
      <c r="J109" s="1263"/>
      <c r="K109" s="1264"/>
      <c r="L109" s="1264"/>
      <c r="M109" s="1264"/>
      <c r="N109" s="1264"/>
      <c r="O109" s="1266"/>
      <c r="P109" s="1264"/>
      <c r="Q109" s="1266"/>
      <c r="R109" s="1264"/>
      <c r="S109" s="1264"/>
      <c r="T109" s="1271"/>
      <c r="U109" s="1272"/>
      <c r="V109" s="1264"/>
      <c r="W109" s="1267"/>
    </row>
    <row r="110" spans="1:23" ht="16.5" customHeight="1">
      <c r="A110" s="1261">
        <f t="shared" si="1"/>
        <v>105</v>
      </c>
      <c r="B110" s="2985"/>
      <c r="C110" s="2965"/>
      <c r="D110" s="2968"/>
      <c r="E110" s="1262"/>
      <c r="F110" s="1262"/>
      <c r="G110" s="1263"/>
      <c r="H110" s="1263"/>
      <c r="I110" s="1263"/>
      <c r="J110" s="1263"/>
      <c r="K110" s="1264"/>
      <c r="L110" s="1264"/>
      <c r="M110" s="1264"/>
      <c r="N110" s="1264"/>
      <c r="O110" s="1266"/>
      <c r="P110" s="1264"/>
      <c r="Q110" s="1266"/>
      <c r="R110" s="1264"/>
      <c r="S110" s="1264"/>
      <c r="T110" s="1271"/>
      <c r="U110" s="1272"/>
      <c r="V110" s="1264"/>
      <c r="W110" s="1267"/>
    </row>
    <row r="111" spans="1:23" ht="16.5" customHeight="1">
      <c r="A111" s="1261">
        <f t="shared" si="1"/>
        <v>106</v>
      </c>
      <c r="B111" s="2985"/>
      <c r="C111" s="2965"/>
      <c r="D111" s="1395" t="s">
        <v>4305</v>
      </c>
      <c r="E111" s="1271"/>
      <c r="F111" s="1271"/>
      <c r="G111" s="1271"/>
      <c r="H111" s="1271"/>
      <c r="I111" s="1271"/>
      <c r="J111" s="1271"/>
      <c r="K111" s="1271"/>
      <c r="L111" s="1271"/>
      <c r="M111" s="1264">
        <f>SUM(M105:M110)</f>
        <v>0</v>
      </c>
      <c r="N111" s="1264">
        <f>SUM(N105:N110)</f>
        <v>0</v>
      </c>
      <c r="O111" s="1271"/>
      <c r="P111" s="1271"/>
      <c r="Q111" s="1271"/>
      <c r="R111" s="1271"/>
      <c r="S111" s="1264">
        <f>SUM(S105:S110)</f>
        <v>0</v>
      </c>
      <c r="T111" s="1271"/>
      <c r="U111" s="1272"/>
      <c r="V111" s="1271"/>
      <c r="W111" s="1450"/>
    </row>
    <row r="112" spans="1:23" ht="16.5" customHeight="1">
      <c r="A112" s="1261">
        <f t="shared" si="1"/>
        <v>107</v>
      </c>
      <c r="B112" s="2985"/>
      <c r="C112" s="2965"/>
      <c r="D112" s="2968" t="s">
        <v>4325</v>
      </c>
      <c r="E112" s="1262"/>
      <c r="F112" s="1262"/>
      <c r="G112" s="1263"/>
      <c r="H112" s="1263"/>
      <c r="I112" s="1263"/>
      <c r="J112" s="1263"/>
      <c r="K112" s="1264"/>
      <c r="L112" s="1264"/>
      <c r="M112" s="1264"/>
      <c r="N112" s="1264"/>
      <c r="O112" s="1266"/>
      <c r="P112" s="1264"/>
      <c r="Q112" s="1266"/>
      <c r="R112" s="1264"/>
      <c r="S112" s="1264"/>
      <c r="T112" s="1271"/>
      <c r="U112" s="1272"/>
      <c r="V112" s="1264"/>
      <c r="W112" s="1267"/>
    </row>
    <row r="113" spans="1:23" ht="16.5" customHeight="1">
      <c r="A113" s="1261">
        <f t="shared" si="1"/>
        <v>108</v>
      </c>
      <c r="B113" s="2985"/>
      <c r="C113" s="2965"/>
      <c r="D113" s="2968"/>
      <c r="E113" s="1262"/>
      <c r="F113" s="1262"/>
      <c r="G113" s="1263"/>
      <c r="H113" s="1263"/>
      <c r="I113" s="1263"/>
      <c r="J113" s="1263"/>
      <c r="K113" s="1264"/>
      <c r="L113" s="1264"/>
      <c r="M113" s="1264"/>
      <c r="N113" s="1264"/>
      <c r="O113" s="1266"/>
      <c r="P113" s="1264"/>
      <c r="Q113" s="1266"/>
      <c r="R113" s="1264"/>
      <c r="S113" s="1264"/>
      <c r="T113" s="1271"/>
      <c r="U113" s="1272"/>
      <c r="V113" s="1264"/>
      <c r="W113" s="1267"/>
    </row>
    <row r="114" spans="1:23" ht="16.5" customHeight="1">
      <c r="A114" s="1261">
        <f t="shared" si="1"/>
        <v>109</v>
      </c>
      <c r="B114" s="2985"/>
      <c r="C114" s="2965"/>
      <c r="D114" s="2968"/>
      <c r="E114" s="1262"/>
      <c r="F114" s="1262"/>
      <c r="G114" s="1263"/>
      <c r="H114" s="1263"/>
      <c r="I114" s="1263"/>
      <c r="J114" s="1263"/>
      <c r="K114" s="1264"/>
      <c r="L114" s="1264"/>
      <c r="M114" s="1264"/>
      <c r="N114" s="1264"/>
      <c r="O114" s="1266"/>
      <c r="P114" s="1264"/>
      <c r="Q114" s="1266"/>
      <c r="R114" s="1264"/>
      <c r="S114" s="1264"/>
      <c r="T114" s="1271"/>
      <c r="U114" s="1272"/>
      <c r="V114" s="1264"/>
      <c r="W114" s="1267"/>
    </row>
    <row r="115" spans="1:23" ht="16.5" customHeight="1">
      <c r="A115" s="1261">
        <f t="shared" si="1"/>
        <v>110</v>
      </c>
      <c r="B115" s="2985"/>
      <c r="C115" s="2965"/>
      <c r="D115" s="2968"/>
      <c r="E115" s="1262"/>
      <c r="F115" s="1262"/>
      <c r="G115" s="1263"/>
      <c r="H115" s="1263"/>
      <c r="I115" s="1263"/>
      <c r="J115" s="1263"/>
      <c r="K115" s="1264"/>
      <c r="L115" s="1264"/>
      <c r="M115" s="1264"/>
      <c r="N115" s="1264"/>
      <c r="O115" s="1266"/>
      <c r="P115" s="1264"/>
      <c r="Q115" s="1266"/>
      <c r="R115" s="1264"/>
      <c r="S115" s="1264"/>
      <c r="T115" s="1271"/>
      <c r="U115" s="1272"/>
      <c r="V115" s="1264"/>
      <c r="W115" s="1267"/>
    </row>
    <row r="116" spans="1:23">
      <c r="A116" s="1261">
        <f t="shared" si="1"/>
        <v>111</v>
      </c>
      <c r="B116" s="2985"/>
      <c r="C116" s="2965"/>
      <c r="D116" s="2968"/>
      <c r="E116" s="1262"/>
      <c r="F116" s="1262"/>
      <c r="G116" s="1263"/>
      <c r="H116" s="1263"/>
      <c r="I116" s="1263"/>
      <c r="J116" s="1263"/>
      <c r="K116" s="1264"/>
      <c r="L116" s="1264"/>
      <c r="M116" s="1264"/>
      <c r="N116" s="1264"/>
      <c r="O116" s="1266"/>
      <c r="P116" s="1264"/>
      <c r="Q116" s="1266"/>
      <c r="R116" s="1264"/>
      <c r="S116" s="1264"/>
      <c r="T116" s="1271"/>
      <c r="U116" s="1272"/>
      <c r="V116" s="1264"/>
      <c r="W116" s="1267"/>
    </row>
    <row r="117" spans="1:23">
      <c r="A117" s="1261">
        <f t="shared" si="1"/>
        <v>112</v>
      </c>
      <c r="B117" s="2985"/>
      <c r="C117" s="2965"/>
      <c r="D117" s="2968"/>
      <c r="E117" s="1262"/>
      <c r="F117" s="1262"/>
      <c r="G117" s="1263"/>
      <c r="H117" s="1263"/>
      <c r="I117" s="1263"/>
      <c r="J117" s="1263"/>
      <c r="K117" s="1264"/>
      <c r="L117" s="1264"/>
      <c r="M117" s="1264"/>
      <c r="N117" s="1264"/>
      <c r="O117" s="1266"/>
      <c r="P117" s="1264"/>
      <c r="Q117" s="1266"/>
      <c r="R117" s="1264"/>
      <c r="S117" s="1264"/>
      <c r="T117" s="1271"/>
      <c r="U117" s="1272"/>
      <c r="V117" s="1264"/>
      <c r="W117" s="1267"/>
    </row>
    <row r="118" spans="1:23" ht="15" thickBot="1">
      <c r="A118" s="1261">
        <f t="shared" si="1"/>
        <v>113</v>
      </c>
      <c r="B118" s="2985"/>
      <c r="C118" s="2966"/>
      <c r="D118" s="1273" t="s">
        <v>3514</v>
      </c>
      <c r="E118" s="1276"/>
      <c r="F118" s="1276"/>
      <c r="G118" s="1276"/>
      <c r="H118" s="1276"/>
      <c r="I118" s="1276"/>
      <c r="J118" s="1276"/>
      <c r="K118" s="1276"/>
      <c r="L118" s="1276"/>
      <c r="M118" s="1275">
        <f>SUM(M112:M117)</f>
        <v>0</v>
      </c>
      <c r="N118" s="1275">
        <f>SUM(N112:N117)</f>
        <v>0</v>
      </c>
      <c r="O118" s="1276"/>
      <c r="P118" s="1276"/>
      <c r="Q118" s="1276"/>
      <c r="R118" s="1276"/>
      <c r="S118" s="1275">
        <f>SUM(S112:S117)</f>
        <v>0</v>
      </c>
      <c r="T118" s="1276"/>
      <c r="U118" s="1299"/>
      <c r="V118" s="1276"/>
      <c r="W118" s="1453"/>
    </row>
    <row r="119" spans="1:23" ht="16.5" customHeight="1">
      <c r="A119" s="1261">
        <f t="shared" si="1"/>
        <v>114</v>
      </c>
      <c r="B119" s="2985"/>
      <c r="C119" s="2988" t="s">
        <v>4260</v>
      </c>
      <c r="D119" s="2991" t="s">
        <v>4326</v>
      </c>
      <c r="E119" s="1255"/>
      <c r="F119" s="1255"/>
      <c r="G119" s="1256"/>
      <c r="H119" s="1256"/>
      <c r="I119" s="1256"/>
      <c r="J119" s="1256"/>
      <c r="K119" s="1257"/>
      <c r="L119" s="1257"/>
      <c r="M119" s="1257"/>
      <c r="N119" s="1257"/>
      <c r="O119" s="1259"/>
      <c r="P119" s="1257"/>
      <c r="Q119" s="1259"/>
      <c r="R119" s="1257"/>
      <c r="S119" s="1257"/>
      <c r="T119" s="1300"/>
      <c r="U119" s="1296"/>
      <c r="V119" s="1257"/>
      <c r="W119" s="1260"/>
    </row>
    <row r="120" spans="1:23">
      <c r="A120" s="1261">
        <f t="shared" si="1"/>
        <v>115</v>
      </c>
      <c r="B120" s="2985"/>
      <c r="C120" s="2989"/>
      <c r="D120" s="2992"/>
      <c r="E120" s="1262"/>
      <c r="F120" s="1262"/>
      <c r="G120" s="1263"/>
      <c r="H120" s="1263"/>
      <c r="I120" s="1263"/>
      <c r="J120" s="1263"/>
      <c r="K120" s="1264"/>
      <c r="L120" s="1264"/>
      <c r="M120" s="1264"/>
      <c r="N120" s="1264"/>
      <c r="O120" s="1266"/>
      <c r="P120" s="1266"/>
      <c r="Q120" s="1266"/>
      <c r="R120" s="1266"/>
      <c r="S120" s="1264"/>
      <c r="T120" s="1271"/>
      <c r="U120" s="1301"/>
      <c r="V120" s="1264"/>
      <c r="W120" s="1267"/>
    </row>
    <row r="121" spans="1:23">
      <c r="A121" s="1261">
        <f t="shared" si="1"/>
        <v>116</v>
      </c>
      <c r="B121" s="2985"/>
      <c r="C121" s="2989"/>
      <c r="D121" s="2992"/>
      <c r="E121" s="1262"/>
      <c r="F121" s="1262"/>
      <c r="G121" s="1263"/>
      <c r="H121" s="1263"/>
      <c r="I121" s="1263"/>
      <c r="J121" s="1263"/>
      <c r="K121" s="1264"/>
      <c r="L121" s="1264"/>
      <c r="M121" s="1264"/>
      <c r="N121" s="1264"/>
      <c r="O121" s="1266"/>
      <c r="P121" s="1266"/>
      <c r="Q121" s="1266"/>
      <c r="R121" s="1266"/>
      <c r="S121" s="1264"/>
      <c r="T121" s="1271"/>
      <c r="U121" s="1301"/>
      <c r="V121" s="1264"/>
      <c r="W121" s="1267"/>
    </row>
    <row r="122" spans="1:23">
      <c r="A122" s="1261">
        <f t="shared" si="1"/>
        <v>117</v>
      </c>
      <c r="B122" s="2985"/>
      <c r="C122" s="2989"/>
      <c r="D122" s="2992"/>
      <c r="E122" s="1262"/>
      <c r="F122" s="1262"/>
      <c r="G122" s="1263"/>
      <c r="H122" s="1263"/>
      <c r="I122" s="1263"/>
      <c r="J122" s="1263"/>
      <c r="K122" s="1264"/>
      <c r="L122" s="1264"/>
      <c r="M122" s="1264"/>
      <c r="N122" s="1264"/>
      <c r="O122" s="1266"/>
      <c r="P122" s="1266"/>
      <c r="Q122" s="1266"/>
      <c r="R122" s="1266"/>
      <c r="S122" s="1264"/>
      <c r="T122" s="1271"/>
      <c r="U122" s="1301"/>
      <c r="V122" s="1264"/>
      <c r="W122" s="1267"/>
    </row>
    <row r="123" spans="1:23">
      <c r="A123" s="1261">
        <f t="shared" si="1"/>
        <v>118</v>
      </c>
      <c r="B123" s="2985"/>
      <c r="C123" s="2989"/>
      <c r="D123" s="2992"/>
      <c r="E123" s="1262"/>
      <c r="F123" s="1262"/>
      <c r="G123" s="1263"/>
      <c r="H123" s="1263"/>
      <c r="I123" s="1263"/>
      <c r="J123" s="1263"/>
      <c r="K123" s="1264"/>
      <c r="L123" s="1264"/>
      <c r="M123" s="1264"/>
      <c r="N123" s="1264"/>
      <c r="O123" s="1266"/>
      <c r="P123" s="1266"/>
      <c r="Q123" s="1266"/>
      <c r="R123" s="1266"/>
      <c r="S123" s="1264"/>
      <c r="T123" s="1271"/>
      <c r="U123" s="1301"/>
      <c r="V123" s="1264"/>
      <c r="W123" s="1267"/>
    </row>
    <row r="124" spans="1:23">
      <c r="A124" s="1261">
        <f t="shared" si="1"/>
        <v>119</v>
      </c>
      <c r="B124" s="2985"/>
      <c r="C124" s="2989"/>
      <c r="D124" s="2992"/>
      <c r="E124" s="1262"/>
      <c r="F124" s="1262"/>
      <c r="G124" s="1263"/>
      <c r="H124" s="1263"/>
      <c r="I124" s="1263"/>
      <c r="J124" s="1263"/>
      <c r="K124" s="1264"/>
      <c r="L124" s="1264"/>
      <c r="M124" s="1264"/>
      <c r="N124" s="1264"/>
      <c r="O124" s="1266"/>
      <c r="P124" s="1266"/>
      <c r="Q124" s="1266"/>
      <c r="R124" s="1266"/>
      <c r="S124" s="1264"/>
      <c r="T124" s="1271"/>
      <c r="U124" s="1301"/>
      <c r="V124" s="1264"/>
      <c r="W124" s="1267"/>
    </row>
    <row r="125" spans="1:23" ht="14.25">
      <c r="A125" s="1261">
        <f t="shared" si="1"/>
        <v>120</v>
      </c>
      <c r="B125" s="2985"/>
      <c r="C125" s="2989"/>
      <c r="D125" s="1279" t="s">
        <v>3514</v>
      </c>
      <c r="E125" s="1271"/>
      <c r="F125" s="1271"/>
      <c r="G125" s="1271"/>
      <c r="H125" s="1271"/>
      <c r="I125" s="1271"/>
      <c r="J125" s="1271"/>
      <c r="K125" s="1271"/>
      <c r="L125" s="1271"/>
      <c r="M125" s="1264">
        <f>SUM(M119:M124)</f>
        <v>0</v>
      </c>
      <c r="N125" s="1264">
        <f>SUM(N119:N124)</f>
        <v>0</v>
      </c>
      <c r="O125" s="1271"/>
      <c r="P125" s="1271"/>
      <c r="Q125" s="1271"/>
      <c r="R125" s="1271"/>
      <c r="S125" s="1264">
        <f>SUM(S119:S124)</f>
        <v>0</v>
      </c>
      <c r="T125" s="1271"/>
      <c r="U125" s="1301"/>
      <c r="V125" s="1271"/>
      <c r="W125" s="1450"/>
    </row>
    <row r="126" spans="1:23" ht="17.649999999999999" customHeight="1">
      <c r="A126" s="1261">
        <f t="shared" si="1"/>
        <v>121</v>
      </c>
      <c r="B126" s="2985"/>
      <c r="C126" s="2989"/>
      <c r="D126" s="2978" t="s">
        <v>4324</v>
      </c>
      <c r="E126" s="1262"/>
      <c r="F126" s="1262"/>
      <c r="G126" s="1263"/>
      <c r="H126" s="1263"/>
      <c r="I126" s="1263"/>
      <c r="J126" s="1263"/>
      <c r="K126" s="1264"/>
      <c r="L126" s="1264"/>
      <c r="M126" s="1264"/>
      <c r="N126" s="1264"/>
      <c r="O126" s="1266"/>
      <c r="P126" s="1266"/>
      <c r="Q126" s="1266"/>
      <c r="R126" s="1266"/>
      <c r="S126" s="1264"/>
      <c r="T126" s="1271"/>
      <c r="U126" s="1301"/>
      <c r="V126" s="1264"/>
      <c r="W126" s="1267"/>
    </row>
    <row r="127" spans="1:23">
      <c r="A127" s="1261">
        <f t="shared" si="1"/>
        <v>122</v>
      </c>
      <c r="B127" s="2985"/>
      <c r="C127" s="2989"/>
      <c r="D127" s="2978"/>
      <c r="E127" s="1262"/>
      <c r="F127" s="1262"/>
      <c r="G127" s="1263"/>
      <c r="H127" s="1263"/>
      <c r="I127" s="1263"/>
      <c r="J127" s="1263"/>
      <c r="K127" s="1264"/>
      <c r="L127" s="1264"/>
      <c r="M127" s="1264"/>
      <c r="N127" s="1264"/>
      <c r="O127" s="1266"/>
      <c r="P127" s="1266"/>
      <c r="Q127" s="1266"/>
      <c r="R127" s="1266"/>
      <c r="S127" s="1264"/>
      <c r="T127" s="1271"/>
      <c r="U127" s="1301"/>
      <c r="V127" s="1264"/>
      <c r="W127" s="1267"/>
    </row>
    <row r="128" spans="1:23">
      <c r="A128" s="1261">
        <f t="shared" si="1"/>
        <v>123</v>
      </c>
      <c r="B128" s="2985"/>
      <c r="C128" s="2989"/>
      <c r="D128" s="2978"/>
      <c r="E128" s="1262"/>
      <c r="F128" s="1262"/>
      <c r="G128" s="1263"/>
      <c r="H128" s="1263"/>
      <c r="I128" s="1263"/>
      <c r="J128" s="1263"/>
      <c r="K128" s="1264"/>
      <c r="L128" s="1264"/>
      <c r="M128" s="1264"/>
      <c r="N128" s="1264"/>
      <c r="O128" s="1266"/>
      <c r="P128" s="1266"/>
      <c r="Q128" s="1266"/>
      <c r="R128" s="1266"/>
      <c r="S128" s="1264"/>
      <c r="T128" s="1271"/>
      <c r="U128" s="1301"/>
      <c r="V128" s="1264"/>
      <c r="W128" s="1267"/>
    </row>
    <row r="129" spans="1:23">
      <c r="A129" s="1261">
        <f t="shared" si="1"/>
        <v>124</v>
      </c>
      <c r="B129" s="2985"/>
      <c r="C129" s="2989"/>
      <c r="D129" s="2978"/>
      <c r="E129" s="1262"/>
      <c r="F129" s="1262"/>
      <c r="G129" s="1263"/>
      <c r="H129" s="1263"/>
      <c r="I129" s="1263"/>
      <c r="J129" s="1263"/>
      <c r="K129" s="1264"/>
      <c r="L129" s="1264"/>
      <c r="M129" s="1264"/>
      <c r="N129" s="1264"/>
      <c r="O129" s="1266"/>
      <c r="P129" s="1266"/>
      <c r="Q129" s="1266"/>
      <c r="R129" s="1266"/>
      <c r="S129" s="1264"/>
      <c r="T129" s="1271"/>
      <c r="U129" s="1301"/>
      <c r="V129" s="1264"/>
      <c r="W129" s="1267"/>
    </row>
    <row r="130" spans="1:23">
      <c r="A130" s="1261">
        <f t="shared" si="1"/>
        <v>125</v>
      </c>
      <c r="B130" s="2985"/>
      <c r="C130" s="2989"/>
      <c r="D130" s="2978"/>
      <c r="E130" s="1262"/>
      <c r="F130" s="1262"/>
      <c r="G130" s="1263"/>
      <c r="H130" s="1263"/>
      <c r="I130" s="1263"/>
      <c r="J130" s="1263"/>
      <c r="K130" s="1264"/>
      <c r="L130" s="1264"/>
      <c r="M130" s="1264"/>
      <c r="N130" s="1264"/>
      <c r="O130" s="1266"/>
      <c r="P130" s="1266"/>
      <c r="Q130" s="1266"/>
      <c r="R130" s="1266"/>
      <c r="S130" s="1264"/>
      <c r="T130" s="1271"/>
      <c r="U130" s="1301"/>
      <c r="V130" s="1264"/>
      <c r="W130" s="1267"/>
    </row>
    <row r="131" spans="1:23">
      <c r="A131" s="1261">
        <f t="shared" si="1"/>
        <v>126</v>
      </c>
      <c r="B131" s="2985"/>
      <c r="C131" s="2989"/>
      <c r="D131" s="2978"/>
      <c r="E131" s="1262"/>
      <c r="F131" s="1262"/>
      <c r="G131" s="1263"/>
      <c r="H131" s="1263"/>
      <c r="I131" s="1263"/>
      <c r="J131" s="1263"/>
      <c r="K131" s="1264"/>
      <c r="L131" s="1264"/>
      <c r="M131" s="1264"/>
      <c r="N131" s="1264"/>
      <c r="O131" s="1266"/>
      <c r="P131" s="1266"/>
      <c r="Q131" s="1266"/>
      <c r="R131" s="1266"/>
      <c r="S131" s="1264"/>
      <c r="T131" s="1271"/>
      <c r="U131" s="1301"/>
      <c r="V131" s="1264"/>
      <c r="W131" s="1267"/>
    </row>
    <row r="132" spans="1:23" ht="16.5">
      <c r="A132" s="1261">
        <f t="shared" si="1"/>
        <v>127</v>
      </c>
      <c r="B132" s="2985"/>
      <c r="C132" s="2989"/>
      <c r="D132" s="1395" t="s">
        <v>4305</v>
      </c>
      <c r="E132" s="1271"/>
      <c r="F132" s="1271"/>
      <c r="G132" s="1271"/>
      <c r="H132" s="1271"/>
      <c r="I132" s="1271"/>
      <c r="J132" s="1271"/>
      <c r="K132" s="1271"/>
      <c r="L132" s="1271"/>
      <c r="M132" s="1264">
        <f>SUM(M126:M131)</f>
        <v>0</v>
      </c>
      <c r="N132" s="1264">
        <f>SUM(N126:N131)</f>
        <v>0</v>
      </c>
      <c r="O132" s="1271"/>
      <c r="P132" s="1271"/>
      <c r="Q132" s="1271"/>
      <c r="R132" s="1271"/>
      <c r="S132" s="1264">
        <f>SUM(S126:S131)</f>
        <v>0</v>
      </c>
      <c r="T132" s="1271"/>
      <c r="U132" s="1301"/>
      <c r="V132" s="1271"/>
      <c r="W132" s="1450"/>
    </row>
    <row r="133" spans="1:23" ht="16.5" customHeight="1">
      <c r="A133" s="1261">
        <f t="shared" si="1"/>
        <v>128</v>
      </c>
      <c r="B133" s="2985"/>
      <c r="C133" s="2989"/>
      <c r="D133" s="2978" t="s">
        <v>4325</v>
      </c>
      <c r="E133" s="1262"/>
      <c r="F133" s="1262"/>
      <c r="G133" s="1263"/>
      <c r="H133" s="1263"/>
      <c r="I133" s="1263"/>
      <c r="J133" s="1263"/>
      <c r="K133" s="1264"/>
      <c r="L133" s="1264"/>
      <c r="M133" s="1264"/>
      <c r="N133" s="1264"/>
      <c r="O133" s="1266"/>
      <c r="P133" s="1266"/>
      <c r="Q133" s="1266"/>
      <c r="R133" s="1266"/>
      <c r="S133" s="1264"/>
      <c r="T133" s="1271"/>
      <c r="U133" s="1301"/>
      <c r="V133" s="1264"/>
      <c r="W133" s="1267"/>
    </row>
    <row r="134" spans="1:23" ht="15.75" customHeight="1">
      <c r="A134" s="1261">
        <f t="shared" si="1"/>
        <v>129</v>
      </c>
      <c r="B134" s="2985"/>
      <c r="C134" s="2989"/>
      <c r="D134" s="2978"/>
      <c r="E134" s="1262"/>
      <c r="F134" s="1262"/>
      <c r="G134" s="1263"/>
      <c r="H134" s="1263"/>
      <c r="I134" s="1263"/>
      <c r="J134" s="1263"/>
      <c r="K134" s="1264"/>
      <c r="L134" s="1264"/>
      <c r="M134" s="1264"/>
      <c r="N134" s="1264"/>
      <c r="O134" s="1266"/>
      <c r="P134" s="1264"/>
      <c r="Q134" s="1266"/>
      <c r="R134" s="1264"/>
      <c r="S134" s="1264"/>
      <c r="T134" s="1271"/>
      <c r="U134" s="1272"/>
      <c r="V134" s="1264"/>
      <c r="W134" s="1267"/>
    </row>
    <row r="135" spans="1:23" ht="15.75" customHeight="1">
      <c r="A135" s="1261">
        <f t="shared" si="1"/>
        <v>130</v>
      </c>
      <c r="B135" s="2985"/>
      <c r="C135" s="2989"/>
      <c r="D135" s="2978"/>
      <c r="E135" s="1262"/>
      <c r="F135" s="1262"/>
      <c r="G135" s="1263"/>
      <c r="H135" s="1263"/>
      <c r="I135" s="1263"/>
      <c r="J135" s="1263"/>
      <c r="K135" s="1264"/>
      <c r="L135" s="1264"/>
      <c r="M135" s="1264"/>
      <c r="N135" s="1264"/>
      <c r="O135" s="1266"/>
      <c r="P135" s="1264"/>
      <c r="Q135" s="1266"/>
      <c r="R135" s="1264"/>
      <c r="S135" s="1264"/>
      <c r="T135" s="1271"/>
      <c r="U135" s="1272"/>
      <c r="V135" s="1264"/>
      <c r="W135" s="1267"/>
    </row>
    <row r="136" spans="1:23" ht="16.5" customHeight="1">
      <c r="A136" s="1261">
        <f t="shared" ref="A136:A162" si="2">A135+1</f>
        <v>131</v>
      </c>
      <c r="B136" s="2985"/>
      <c r="C136" s="2989"/>
      <c r="D136" s="2978"/>
      <c r="E136" s="1262"/>
      <c r="F136" s="1262"/>
      <c r="G136" s="1263"/>
      <c r="H136" s="1263"/>
      <c r="I136" s="1263"/>
      <c r="J136" s="1263"/>
      <c r="K136" s="1264"/>
      <c r="L136" s="1264"/>
      <c r="M136" s="1264"/>
      <c r="N136" s="1264"/>
      <c r="O136" s="1266"/>
      <c r="P136" s="1264"/>
      <c r="Q136" s="1266"/>
      <c r="R136" s="1264"/>
      <c r="S136" s="1264"/>
      <c r="T136" s="1271"/>
      <c r="U136" s="1272"/>
      <c r="V136" s="1264"/>
      <c r="W136" s="1267"/>
    </row>
    <row r="137" spans="1:23">
      <c r="A137" s="1261">
        <f t="shared" si="2"/>
        <v>132</v>
      </c>
      <c r="B137" s="2985"/>
      <c r="C137" s="2989"/>
      <c r="D137" s="2978"/>
      <c r="E137" s="1262"/>
      <c r="F137" s="1262"/>
      <c r="G137" s="1263"/>
      <c r="H137" s="1263"/>
      <c r="I137" s="1263"/>
      <c r="J137" s="1263"/>
      <c r="K137" s="1264"/>
      <c r="L137" s="1264"/>
      <c r="M137" s="1264"/>
      <c r="N137" s="1264"/>
      <c r="O137" s="1266"/>
      <c r="P137" s="1264"/>
      <c r="Q137" s="1266"/>
      <c r="R137" s="1264"/>
      <c r="S137" s="1264"/>
      <c r="T137" s="1271"/>
      <c r="U137" s="1272"/>
      <c r="V137" s="1264"/>
      <c r="W137" s="1267"/>
    </row>
    <row r="138" spans="1:23">
      <c r="A138" s="1261">
        <f t="shared" si="2"/>
        <v>133</v>
      </c>
      <c r="B138" s="2985"/>
      <c r="C138" s="2989"/>
      <c r="D138" s="2978"/>
      <c r="E138" s="1262"/>
      <c r="F138" s="1262"/>
      <c r="G138" s="1263"/>
      <c r="H138" s="1263"/>
      <c r="I138" s="1263"/>
      <c r="J138" s="1263"/>
      <c r="K138" s="1264"/>
      <c r="L138" s="1264"/>
      <c r="M138" s="1264"/>
      <c r="N138" s="1264"/>
      <c r="O138" s="1266"/>
      <c r="P138" s="1264"/>
      <c r="Q138" s="1266"/>
      <c r="R138" s="1264"/>
      <c r="S138" s="1264"/>
      <c r="T138" s="1271"/>
      <c r="U138" s="1272"/>
      <c r="V138" s="1264"/>
      <c r="W138" s="1267"/>
    </row>
    <row r="139" spans="1:23" ht="15" thickBot="1">
      <c r="A139" s="1261">
        <f t="shared" si="2"/>
        <v>134</v>
      </c>
      <c r="B139" s="2985"/>
      <c r="C139" s="2990"/>
      <c r="D139" s="1273" t="s">
        <v>3514</v>
      </c>
      <c r="E139" s="1276"/>
      <c r="F139" s="1276"/>
      <c r="G139" s="1276"/>
      <c r="H139" s="1276"/>
      <c r="I139" s="1276"/>
      <c r="J139" s="1276"/>
      <c r="K139" s="1276"/>
      <c r="L139" s="1276"/>
      <c r="M139" s="1275">
        <f>SUM(M133:M138)</f>
        <v>0</v>
      </c>
      <c r="N139" s="1275">
        <f>SUM(N133:N138)</f>
        <v>0</v>
      </c>
      <c r="O139" s="1276"/>
      <c r="P139" s="1276"/>
      <c r="Q139" s="1276"/>
      <c r="R139" s="1276"/>
      <c r="S139" s="1275">
        <f>SUM(S133:S138)</f>
        <v>0</v>
      </c>
      <c r="T139" s="1276"/>
      <c r="U139" s="1299"/>
      <c r="V139" s="1276"/>
      <c r="W139" s="1453"/>
    </row>
    <row r="140" spans="1:23" ht="16.5" customHeight="1">
      <c r="A140" s="1261">
        <f t="shared" si="2"/>
        <v>135</v>
      </c>
      <c r="B140" s="2985"/>
      <c r="C140" s="2964" t="s">
        <v>4261</v>
      </c>
      <c r="D140" s="2947" t="s">
        <v>4326</v>
      </c>
      <c r="E140" s="1255"/>
      <c r="F140" s="1255"/>
      <c r="G140" s="1256"/>
      <c r="H140" s="1256"/>
      <c r="I140" s="1256"/>
      <c r="J140" s="1256"/>
      <c r="K140" s="1257"/>
      <c r="L140" s="1257"/>
      <c r="M140" s="1257"/>
      <c r="N140" s="1257"/>
      <c r="O140" s="1259"/>
      <c r="P140" s="1257"/>
      <c r="Q140" s="1259"/>
      <c r="R140" s="1257"/>
      <c r="S140" s="1257"/>
      <c r="T140" s="1295"/>
      <c r="U140" s="1296"/>
      <c r="V140" s="1257"/>
      <c r="W140" s="1260"/>
    </row>
    <row r="141" spans="1:23">
      <c r="A141" s="1261">
        <f t="shared" si="2"/>
        <v>136</v>
      </c>
      <c r="B141" s="2985"/>
      <c r="C141" s="2965"/>
      <c r="D141" s="2948"/>
      <c r="E141" s="1262"/>
      <c r="F141" s="1262"/>
      <c r="G141" s="1263"/>
      <c r="H141" s="1263"/>
      <c r="I141" s="1263"/>
      <c r="J141" s="1263"/>
      <c r="K141" s="1264"/>
      <c r="L141" s="1264"/>
      <c r="M141" s="1264"/>
      <c r="N141" s="1264"/>
      <c r="O141" s="1266"/>
      <c r="P141" s="1264"/>
      <c r="Q141" s="1266"/>
      <c r="R141" s="1264"/>
      <c r="S141" s="1264"/>
      <c r="T141" s="1301"/>
      <c r="U141" s="1272"/>
      <c r="V141" s="1264"/>
      <c r="W141" s="1267"/>
    </row>
    <row r="142" spans="1:23">
      <c r="A142" s="1261">
        <f t="shared" si="2"/>
        <v>137</v>
      </c>
      <c r="B142" s="2985"/>
      <c r="C142" s="2965"/>
      <c r="D142" s="2948"/>
      <c r="E142" s="1262"/>
      <c r="F142" s="1262"/>
      <c r="G142" s="1263"/>
      <c r="H142" s="1263"/>
      <c r="I142" s="1263"/>
      <c r="J142" s="1263"/>
      <c r="K142" s="1264"/>
      <c r="L142" s="1264"/>
      <c r="M142" s="1264"/>
      <c r="N142" s="1264"/>
      <c r="O142" s="1266"/>
      <c r="P142" s="1264"/>
      <c r="Q142" s="1266"/>
      <c r="R142" s="1264"/>
      <c r="S142" s="1264"/>
      <c r="T142" s="1301"/>
      <c r="U142" s="1272"/>
      <c r="V142" s="1264"/>
      <c r="W142" s="1267"/>
    </row>
    <row r="143" spans="1:23">
      <c r="A143" s="1261">
        <f t="shared" si="2"/>
        <v>138</v>
      </c>
      <c r="B143" s="2985"/>
      <c r="C143" s="2965"/>
      <c r="D143" s="2948"/>
      <c r="E143" s="1262"/>
      <c r="F143" s="1262"/>
      <c r="G143" s="1263"/>
      <c r="H143" s="1263"/>
      <c r="I143" s="1263"/>
      <c r="J143" s="1263"/>
      <c r="K143" s="1264"/>
      <c r="L143" s="1264"/>
      <c r="M143" s="1264"/>
      <c r="N143" s="1264"/>
      <c r="O143" s="1266"/>
      <c r="P143" s="1264"/>
      <c r="Q143" s="1266"/>
      <c r="R143" s="1264"/>
      <c r="S143" s="1264"/>
      <c r="T143" s="1301"/>
      <c r="U143" s="1272"/>
      <c r="V143" s="1264"/>
      <c r="W143" s="1267"/>
    </row>
    <row r="144" spans="1:23">
      <c r="A144" s="1261">
        <f t="shared" si="2"/>
        <v>139</v>
      </c>
      <c r="B144" s="2985"/>
      <c r="C144" s="2965"/>
      <c r="D144" s="2948"/>
      <c r="E144" s="1262"/>
      <c r="F144" s="1262"/>
      <c r="G144" s="1263"/>
      <c r="H144" s="1263"/>
      <c r="I144" s="1263"/>
      <c r="J144" s="1263"/>
      <c r="K144" s="1264"/>
      <c r="L144" s="1264"/>
      <c r="M144" s="1264"/>
      <c r="N144" s="1264"/>
      <c r="O144" s="1266"/>
      <c r="P144" s="1264"/>
      <c r="Q144" s="1266"/>
      <c r="R144" s="1264"/>
      <c r="S144" s="1264"/>
      <c r="T144" s="1301"/>
      <c r="U144" s="1272"/>
      <c r="V144" s="1264"/>
      <c r="W144" s="1267"/>
    </row>
    <row r="145" spans="1:23">
      <c r="A145" s="1261">
        <f t="shared" si="2"/>
        <v>140</v>
      </c>
      <c r="B145" s="2985"/>
      <c r="C145" s="2965"/>
      <c r="D145" s="2948"/>
      <c r="E145" s="1262"/>
      <c r="F145" s="1262"/>
      <c r="G145" s="1263"/>
      <c r="H145" s="1263"/>
      <c r="I145" s="1263"/>
      <c r="J145" s="1263"/>
      <c r="K145" s="1264"/>
      <c r="L145" s="1264"/>
      <c r="M145" s="1264"/>
      <c r="N145" s="1264"/>
      <c r="O145" s="1266"/>
      <c r="P145" s="1264"/>
      <c r="Q145" s="1266"/>
      <c r="R145" s="1264"/>
      <c r="S145" s="1264"/>
      <c r="T145" s="1301"/>
      <c r="U145" s="1272"/>
      <c r="V145" s="1264"/>
      <c r="W145" s="1267"/>
    </row>
    <row r="146" spans="1:23" ht="14.25">
      <c r="A146" s="1261">
        <f t="shared" si="2"/>
        <v>141</v>
      </c>
      <c r="B146" s="2985"/>
      <c r="C146" s="2965"/>
      <c r="D146" s="1279" t="s">
        <v>3514</v>
      </c>
      <c r="E146" s="1271"/>
      <c r="F146" s="1271"/>
      <c r="G146" s="1271"/>
      <c r="H146" s="1271"/>
      <c r="I146" s="1271"/>
      <c r="J146" s="1271"/>
      <c r="K146" s="1271"/>
      <c r="L146" s="1271"/>
      <c r="M146" s="1264">
        <f>SUM(M140:M145)</f>
        <v>0</v>
      </c>
      <c r="N146" s="1264">
        <f>SUM(N140:N145)</f>
        <v>0</v>
      </c>
      <c r="O146" s="1271"/>
      <c r="P146" s="1271"/>
      <c r="Q146" s="1271"/>
      <c r="R146" s="1271"/>
      <c r="S146" s="1264">
        <f>SUM(S140:S145)</f>
        <v>0</v>
      </c>
      <c r="T146" s="1301"/>
      <c r="U146" s="1272"/>
      <c r="V146" s="1271"/>
      <c r="W146" s="1450"/>
    </row>
    <row r="147" spans="1:23" ht="16.5" customHeight="1">
      <c r="A147" s="1261">
        <f t="shared" si="2"/>
        <v>142</v>
      </c>
      <c r="B147" s="2985"/>
      <c r="C147" s="2965"/>
      <c r="D147" s="2978" t="s">
        <v>4324</v>
      </c>
      <c r="E147" s="1262"/>
      <c r="F147" s="1262"/>
      <c r="G147" s="1263"/>
      <c r="H147" s="1263"/>
      <c r="I147" s="1263"/>
      <c r="J147" s="1263"/>
      <c r="K147" s="1264"/>
      <c r="L147" s="1264"/>
      <c r="M147" s="1264"/>
      <c r="N147" s="1264"/>
      <c r="O147" s="1266"/>
      <c r="P147" s="1264"/>
      <c r="Q147" s="1266"/>
      <c r="R147" s="1264"/>
      <c r="S147" s="1264"/>
      <c r="T147" s="1301"/>
      <c r="U147" s="1272"/>
      <c r="V147" s="1264"/>
      <c r="W147" s="1267"/>
    </row>
    <row r="148" spans="1:23">
      <c r="A148" s="1261">
        <f t="shared" si="2"/>
        <v>143</v>
      </c>
      <c r="B148" s="2985"/>
      <c r="C148" s="2965"/>
      <c r="D148" s="2978"/>
      <c r="E148" s="1262"/>
      <c r="F148" s="1262"/>
      <c r="G148" s="1263"/>
      <c r="H148" s="1263"/>
      <c r="I148" s="1263"/>
      <c r="J148" s="1263"/>
      <c r="K148" s="1264"/>
      <c r="L148" s="1264"/>
      <c r="M148" s="1264"/>
      <c r="N148" s="1264"/>
      <c r="O148" s="1266"/>
      <c r="P148" s="1264"/>
      <c r="Q148" s="1266"/>
      <c r="R148" s="1264"/>
      <c r="S148" s="1264"/>
      <c r="T148" s="1301"/>
      <c r="U148" s="1272"/>
      <c r="V148" s="1264"/>
      <c r="W148" s="1267"/>
    </row>
    <row r="149" spans="1:23">
      <c r="A149" s="1261">
        <f t="shared" si="2"/>
        <v>144</v>
      </c>
      <c r="B149" s="2985"/>
      <c r="C149" s="2965"/>
      <c r="D149" s="2978"/>
      <c r="E149" s="1262"/>
      <c r="F149" s="1262"/>
      <c r="G149" s="1263"/>
      <c r="H149" s="1263"/>
      <c r="I149" s="1263"/>
      <c r="J149" s="1263"/>
      <c r="K149" s="1264"/>
      <c r="L149" s="1264"/>
      <c r="M149" s="1264"/>
      <c r="N149" s="1264"/>
      <c r="O149" s="1266"/>
      <c r="P149" s="1264"/>
      <c r="Q149" s="1266"/>
      <c r="R149" s="1264"/>
      <c r="S149" s="1264"/>
      <c r="T149" s="1301"/>
      <c r="U149" s="1272"/>
      <c r="V149" s="1264"/>
      <c r="W149" s="1267"/>
    </row>
    <row r="150" spans="1:23">
      <c r="A150" s="1261">
        <f t="shared" si="2"/>
        <v>145</v>
      </c>
      <c r="B150" s="2985"/>
      <c r="C150" s="2965"/>
      <c r="D150" s="2978"/>
      <c r="E150" s="1262"/>
      <c r="F150" s="1262"/>
      <c r="G150" s="1263"/>
      <c r="H150" s="1263"/>
      <c r="I150" s="1263"/>
      <c r="J150" s="1263"/>
      <c r="K150" s="1264"/>
      <c r="L150" s="1264"/>
      <c r="M150" s="1264"/>
      <c r="N150" s="1264"/>
      <c r="O150" s="1266"/>
      <c r="P150" s="1264"/>
      <c r="Q150" s="1266"/>
      <c r="R150" s="1264"/>
      <c r="S150" s="1264"/>
      <c r="T150" s="1301"/>
      <c r="U150" s="1272"/>
      <c r="V150" s="1264"/>
      <c r="W150" s="1267"/>
    </row>
    <row r="151" spans="1:23">
      <c r="A151" s="1261">
        <f t="shared" si="2"/>
        <v>146</v>
      </c>
      <c r="B151" s="2985"/>
      <c r="C151" s="2965"/>
      <c r="D151" s="2978"/>
      <c r="E151" s="1262"/>
      <c r="F151" s="1262"/>
      <c r="G151" s="1263"/>
      <c r="H151" s="1263"/>
      <c r="I151" s="1263"/>
      <c r="J151" s="1263"/>
      <c r="K151" s="1264"/>
      <c r="L151" s="1264"/>
      <c r="M151" s="1264"/>
      <c r="N151" s="1264"/>
      <c r="O151" s="1266"/>
      <c r="P151" s="1264"/>
      <c r="Q151" s="1266"/>
      <c r="R151" s="1264"/>
      <c r="S151" s="1264"/>
      <c r="T151" s="1301"/>
      <c r="U151" s="1272"/>
      <c r="V151" s="1264"/>
      <c r="W151" s="1267"/>
    </row>
    <row r="152" spans="1:23">
      <c r="A152" s="1261">
        <f t="shared" si="2"/>
        <v>147</v>
      </c>
      <c r="B152" s="2985"/>
      <c r="C152" s="2965"/>
      <c r="D152" s="2978"/>
      <c r="E152" s="1262"/>
      <c r="F152" s="1262"/>
      <c r="G152" s="1263"/>
      <c r="H152" s="1263"/>
      <c r="I152" s="1263"/>
      <c r="J152" s="1263"/>
      <c r="K152" s="1264"/>
      <c r="L152" s="1264"/>
      <c r="M152" s="1264"/>
      <c r="N152" s="1264"/>
      <c r="O152" s="1266"/>
      <c r="P152" s="1264"/>
      <c r="Q152" s="1266"/>
      <c r="R152" s="1264"/>
      <c r="S152" s="1264"/>
      <c r="T152" s="1301"/>
      <c r="U152" s="1272"/>
      <c r="V152" s="1264"/>
      <c r="W152" s="1267"/>
    </row>
    <row r="153" spans="1:23" ht="16.5">
      <c r="A153" s="1261">
        <f t="shared" si="2"/>
        <v>148</v>
      </c>
      <c r="B153" s="2985"/>
      <c r="C153" s="2965"/>
      <c r="D153" s="1457" t="s">
        <v>4305</v>
      </c>
      <c r="E153" s="1271"/>
      <c r="F153" s="1271"/>
      <c r="G153" s="1271"/>
      <c r="H153" s="1271"/>
      <c r="I153" s="1271"/>
      <c r="J153" s="1271"/>
      <c r="K153" s="1271"/>
      <c r="L153" s="1271"/>
      <c r="M153" s="1264">
        <f>SUM(M147:M152)</f>
        <v>0</v>
      </c>
      <c r="N153" s="1264">
        <f>SUM(N147:N152)</f>
        <v>0</v>
      </c>
      <c r="O153" s="1271"/>
      <c r="P153" s="1271"/>
      <c r="Q153" s="1271"/>
      <c r="R153" s="1271"/>
      <c r="S153" s="1264">
        <f>SUM(S147:S152)</f>
        <v>0</v>
      </c>
      <c r="T153" s="1301"/>
      <c r="U153" s="1272"/>
      <c r="V153" s="1271"/>
      <c r="W153" s="1450"/>
    </row>
    <row r="154" spans="1:23" ht="16.5" customHeight="1">
      <c r="A154" s="1261">
        <f t="shared" si="2"/>
        <v>149</v>
      </c>
      <c r="B154" s="2985"/>
      <c r="C154" s="2965"/>
      <c r="D154" s="2978" t="s">
        <v>4325</v>
      </c>
      <c r="E154" s="1262"/>
      <c r="F154" s="1262"/>
      <c r="G154" s="1263"/>
      <c r="H154" s="1263"/>
      <c r="I154" s="1263"/>
      <c r="J154" s="1263"/>
      <c r="K154" s="1264"/>
      <c r="L154" s="1264"/>
      <c r="M154" s="1264"/>
      <c r="N154" s="1264"/>
      <c r="O154" s="1266"/>
      <c r="P154" s="1264"/>
      <c r="Q154" s="1266"/>
      <c r="R154" s="1264"/>
      <c r="S154" s="1264"/>
      <c r="T154" s="1301"/>
      <c r="U154" s="1272"/>
      <c r="V154" s="1264"/>
      <c r="W154" s="1267"/>
    </row>
    <row r="155" spans="1:23">
      <c r="A155" s="1261">
        <f t="shared" si="2"/>
        <v>150</v>
      </c>
      <c r="B155" s="2985"/>
      <c r="C155" s="2965"/>
      <c r="D155" s="2978"/>
      <c r="E155" s="1262"/>
      <c r="F155" s="1262"/>
      <c r="G155" s="1263"/>
      <c r="H155" s="1263"/>
      <c r="I155" s="1263"/>
      <c r="J155" s="1263"/>
      <c r="K155" s="1264"/>
      <c r="L155" s="1264"/>
      <c r="M155" s="1264"/>
      <c r="N155" s="1264"/>
      <c r="O155" s="1266"/>
      <c r="P155" s="1264"/>
      <c r="Q155" s="1266"/>
      <c r="R155" s="1264"/>
      <c r="S155" s="1264"/>
      <c r="T155" s="1301"/>
      <c r="U155" s="1272"/>
      <c r="V155" s="1264"/>
      <c r="W155" s="1267"/>
    </row>
    <row r="156" spans="1:23">
      <c r="A156" s="1261">
        <f t="shared" si="2"/>
        <v>151</v>
      </c>
      <c r="B156" s="2985"/>
      <c r="C156" s="2965"/>
      <c r="D156" s="2978"/>
      <c r="E156" s="1262"/>
      <c r="F156" s="1262"/>
      <c r="G156" s="1263"/>
      <c r="H156" s="1263"/>
      <c r="I156" s="1263"/>
      <c r="J156" s="1263"/>
      <c r="K156" s="1264"/>
      <c r="L156" s="1264"/>
      <c r="M156" s="1264"/>
      <c r="N156" s="1264"/>
      <c r="O156" s="1266"/>
      <c r="P156" s="1264"/>
      <c r="Q156" s="1266"/>
      <c r="R156" s="1264"/>
      <c r="S156" s="1264"/>
      <c r="T156" s="1301"/>
      <c r="U156" s="1272"/>
      <c r="V156" s="1264"/>
      <c r="W156" s="1267"/>
    </row>
    <row r="157" spans="1:23">
      <c r="A157" s="1261">
        <f t="shared" si="2"/>
        <v>152</v>
      </c>
      <c r="B157" s="2985"/>
      <c r="C157" s="2965"/>
      <c r="D157" s="2978"/>
      <c r="E157" s="1262"/>
      <c r="F157" s="1262"/>
      <c r="G157" s="1263"/>
      <c r="H157" s="1263"/>
      <c r="I157" s="1263"/>
      <c r="J157" s="1263"/>
      <c r="K157" s="1264"/>
      <c r="L157" s="1264"/>
      <c r="M157" s="1264"/>
      <c r="N157" s="1264"/>
      <c r="O157" s="1266"/>
      <c r="P157" s="1264"/>
      <c r="Q157" s="1266"/>
      <c r="R157" s="1264"/>
      <c r="S157" s="1264"/>
      <c r="T157" s="1301"/>
      <c r="U157" s="1272"/>
      <c r="V157" s="1264"/>
      <c r="W157" s="1267"/>
    </row>
    <row r="158" spans="1:23">
      <c r="A158" s="1261">
        <f t="shared" si="2"/>
        <v>153</v>
      </c>
      <c r="B158" s="2985"/>
      <c r="C158" s="2965"/>
      <c r="D158" s="2978"/>
      <c r="E158" s="1262"/>
      <c r="F158" s="1262"/>
      <c r="G158" s="1263"/>
      <c r="H158" s="1263"/>
      <c r="I158" s="1263"/>
      <c r="J158" s="1263"/>
      <c r="K158" s="1264"/>
      <c r="L158" s="1264"/>
      <c r="M158" s="1264"/>
      <c r="N158" s="1264"/>
      <c r="O158" s="1266"/>
      <c r="P158" s="1264"/>
      <c r="Q158" s="1266"/>
      <c r="R158" s="1264"/>
      <c r="S158" s="1264"/>
      <c r="T158" s="1301"/>
      <c r="U158" s="1272"/>
      <c r="V158" s="1264"/>
      <c r="W158" s="1267"/>
    </row>
    <row r="159" spans="1:23">
      <c r="A159" s="1261">
        <f t="shared" si="2"/>
        <v>154</v>
      </c>
      <c r="B159" s="2985"/>
      <c r="C159" s="2965"/>
      <c r="D159" s="2978"/>
      <c r="E159" s="1262"/>
      <c r="F159" s="1262"/>
      <c r="G159" s="1263"/>
      <c r="H159" s="1263"/>
      <c r="I159" s="1263"/>
      <c r="J159" s="1263"/>
      <c r="K159" s="1264"/>
      <c r="L159" s="1264"/>
      <c r="M159" s="1264"/>
      <c r="N159" s="1264"/>
      <c r="O159" s="1266"/>
      <c r="P159" s="1264"/>
      <c r="Q159" s="1266"/>
      <c r="R159" s="1264"/>
      <c r="S159" s="1264"/>
      <c r="T159" s="1301"/>
      <c r="U159" s="1272"/>
      <c r="V159" s="1264"/>
      <c r="W159" s="1267"/>
    </row>
    <row r="160" spans="1:23" ht="15" thickBot="1">
      <c r="A160" s="1261">
        <f t="shared" si="2"/>
        <v>155</v>
      </c>
      <c r="B160" s="2985"/>
      <c r="C160" s="2966"/>
      <c r="D160" s="1273" t="s">
        <v>3514</v>
      </c>
      <c r="E160" s="1276"/>
      <c r="F160" s="1276"/>
      <c r="G160" s="1276"/>
      <c r="H160" s="1276"/>
      <c r="I160" s="1276"/>
      <c r="J160" s="1276"/>
      <c r="K160" s="1276"/>
      <c r="L160" s="1276"/>
      <c r="M160" s="1275">
        <f>SUM(M154:M159)</f>
        <v>0</v>
      </c>
      <c r="N160" s="1275">
        <f>SUM(N154:N159)</f>
        <v>0</v>
      </c>
      <c r="O160" s="1276"/>
      <c r="P160" s="1276"/>
      <c r="Q160" s="1276"/>
      <c r="R160" s="1276"/>
      <c r="S160" s="1275">
        <f>SUM(S154:S159)</f>
        <v>0</v>
      </c>
      <c r="T160" s="1458"/>
      <c r="U160" s="1299"/>
      <c r="V160" s="1276"/>
      <c r="W160" s="1453"/>
    </row>
    <row r="161" spans="1:23" ht="14.25" thickBot="1">
      <c r="A161" s="1261">
        <f t="shared" si="2"/>
        <v>156</v>
      </c>
      <c r="B161" s="3004" t="s">
        <v>4291</v>
      </c>
      <c r="C161" s="3005"/>
      <c r="D161" s="3005"/>
      <c r="E161" s="1311"/>
      <c r="F161" s="1311"/>
      <c r="G161" s="1312"/>
      <c r="H161" s="1312"/>
      <c r="I161" s="1312"/>
      <c r="J161" s="1312"/>
      <c r="K161" s="1313"/>
      <c r="L161" s="1313"/>
      <c r="M161" s="1314">
        <f>M111+M118+M125+M132+M139+M146+M153+M160</f>
        <v>0</v>
      </c>
      <c r="N161" s="1314">
        <f>N111+N118+N125+N132+N139+N146+N153+N160</f>
        <v>0</v>
      </c>
      <c r="O161" s="1313"/>
      <c r="P161" s="1313"/>
      <c r="Q161" s="1313"/>
      <c r="R161" s="1313"/>
      <c r="S161" s="1314">
        <f>S111+S118+S125+S132+S139+S146+S153+S160</f>
        <v>0</v>
      </c>
      <c r="T161" s="1315"/>
      <c r="U161" s="1316"/>
      <c r="V161" s="1313"/>
      <c r="W161" s="1456"/>
    </row>
    <row r="162" spans="1:23" ht="15" thickBot="1">
      <c r="A162" s="1261">
        <f t="shared" si="2"/>
        <v>157</v>
      </c>
      <c r="B162" s="2995" t="s">
        <v>3515</v>
      </c>
      <c r="C162" s="2996"/>
      <c r="D162" s="2996"/>
      <c r="E162" s="1311"/>
      <c r="F162" s="1311"/>
      <c r="G162" s="1312"/>
      <c r="H162" s="1312"/>
      <c r="I162" s="1312"/>
      <c r="J162" s="1312"/>
      <c r="K162" s="1313"/>
      <c r="L162" s="1313"/>
      <c r="M162" s="1459">
        <f>M161+M104</f>
        <v>0</v>
      </c>
      <c r="N162" s="1459">
        <f>N161+N104</f>
        <v>0</v>
      </c>
      <c r="O162" s="1313"/>
      <c r="P162" s="1313"/>
      <c r="Q162" s="1313"/>
      <c r="R162" s="1313"/>
      <c r="S162" s="1459">
        <f>S161+S104</f>
        <v>0</v>
      </c>
      <c r="T162" s="1315"/>
      <c r="U162" s="1316"/>
      <c r="V162" s="1313"/>
      <c r="W162" s="1456"/>
    </row>
    <row r="163" spans="1:23">
      <c r="B163" s="1318"/>
      <c r="C163" s="470"/>
      <c r="D163" s="470"/>
      <c r="E163" s="1319"/>
      <c r="F163" s="1319"/>
      <c r="G163" s="1319"/>
      <c r="H163" s="1319"/>
      <c r="I163" s="1319"/>
      <c r="J163" s="1319"/>
      <c r="K163" s="1319"/>
      <c r="L163" s="1319"/>
      <c r="M163" s="1319"/>
      <c r="N163" s="1319"/>
      <c r="O163" s="1319"/>
      <c r="P163" s="1319"/>
      <c r="Q163" s="1319"/>
      <c r="R163" s="1319"/>
      <c r="S163" s="1319"/>
      <c r="T163" s="1319"/>
      <c r="U163" s="1460"/>
      <c r="V163" s="26"/>
    </row>
    <row r="164" spans="1:23" ht="14.25">
      <c r="A164" s="493" t="s">
        <v>4165</v>
      </c>
      <c r="B164" s="1318"/>
      <c r="C164" s="470"/>
      <c r="D164" s="470"/>
      <c r="E164" s="1319"/>
      <c r="F164" s="1319"/>
      <c r="G164" s="1319"/>
      <c r="H164" s="1319"/>
      <c r="I164" s="1319"/>
      <c r="J164" s="1319"/>
      <c r="K164" s="1319"/>
      <c r="L164" s="1319"/>
      <c r="M164" s="1319"/>
      <c r="N164" s="1319"/>
      <c r="O164" s="1319"/>
      <c r="P164" s="1319"/>
      <c r="Q164" s="1319"/>
      <c r="R164" s="1319"/>
      <c r="S164" s="1319"/>
      <c r="T164" s="1319"/>
      <c r="U164" s="1460"/>
      <c r="V164" s="26"/>
    </row>
    <row r="165" spans="1:23" ht="14.25">
      <c r="A165" s="493">
        <v>1</v>
      </c>
      <c r="B165" s="470" t="s">
        <v>4327</v>
      </c>
      <c r="D165" s="470"/>
      <c r="E165" s="1319"/>
      <c r="F165" s="1319"/>
      <c r="G165" s="1319"/>
      <c r="H165" s="1319"/>
      <c r="I165" s="1319"/>
      <c r="J165" s="1319"/>
      <c r="K165" s="1319"/>
      <c r="L165" s="1319"/>
      <c r="M165" s="1319"/>
      <c r="N165" s="1319"/>
      <c r="O165" s="1319"/>
      <c r="P165" s="1319"/>
      <c r="Q165" s="1319"/>
      <c r="R165" s="1319"/>
      <c r="S165" s="1319"/>
      <c r="T165" s="1319"/>
      <c r="U165" s="1460"/>
      <c r="V165" s="26"/>
    </row>
    <row r="166" spans="1:23" ht="14.25">
      <c r="A166" s="1318" t="s">
        <v>471</v>
      </c>
      <c r="B166" s="470" t="s">
        <v>4328</v>
      </c>
      <c r="D166" s="470"/>
      <c r="E166" s="1319"/>
      <c r="F166" s="1319"/>
      <c r="G166" s="1319"/>
      <c r="H166" s="1319"/>
      <c r="I166" s="1319"/>
      <c r="J166" s="1319"/>
      <c r="K166" s="1319"/>
      <c r="L166" s="1319"/>
      <c r="M166" s="1319"/>
      <c r="N166" s="1319"/>
      <c r="O166" s="1319"/>
      <c r="P166" s="1319"/>
      <c r="Q166" s="1319"/>
      <c r="R166" s="1319"/>
      <c r="S166" s="1319"/>
      <c r="T166" s="1319"/>
      <c r="U166" s="1460"/>
      <c r="V166" s="26"/>
    </row>
    <row r="167" spans="1:23" ht="14.25">
      <c r="A167" s="493">
        <v>3</v>
      </c>
      <c r="B167" s="470" t="s">
        <v>4329</v>
      </c>
      <c r="D167" s="470"/>
      <c r="E167" s="1319"/>
      <c r="F167" s="1319"/>
      <c r="G167" s="1319"/>
      <c r="H167" s="1319"/>
      <c r="I167" s="1319"/>
      <c r="J167" s="1319"/>
      <c r="K167" s="1319"/>
      <c r="L167" s="1319"/>
      <c r="M167" s="1319"/>
      <c r="N167" s="1319"/>
      <c r="O167" s="1319"/>
      <c r="P167" s="1319"/>
      <c r="Q167" s="1319"/>
      <c r="R167" s="1319"/>
      <c r="S167" s="1319"/>
      <c r="T167" s="1319"/>
      <c r="U167" s="1460"/>
      <c r="V167" s="26"/>
    </row>
    <row r="168" spans="1:23" ht="14.25">
      <c r="A168" s="493">
        <v>4</v>
      </c>
      <c r="B168" s="26" t="s">
        <v>4330</v>
      </c>
      <c r="D168" s="26"/>
      <c r="E168" s="26"/>
      <c r="F168" s="26"/>
      <c r="G168" s="26"/>
      <c r="H168" s="26"/>
      <c r="I168" s="26"/>
      <c r="J168" s="26"/>
      <c r="K168" s="26"/>
      <c r="L168" s="26"/>
      <c r="M168" s="26"/>
    </row>
    <row r="169" spans="1:23" ht="14.25">
      <c r="A169" s="1318" t="s">
        <v>472</v>
      </c>
      <c r="B169" s="26" t="s">
        <v>4331</v>
      </c>
      <c r="D169" s="26"/>
      <c r="E169" s="26"/>
      <c r="F169" s="26"/>
      <c r="G169" s="26"/>
      <c r="H169" s="26"/>
      <c r="I169" s="26"/>
      <c r="J169" s="26"/>
      <c r="K169" s="26"/>
      <c r="L169" s="26"/>
      <c r="M169" s="26"/>
    </row>
    <row r="170" spans="1:23" ht="14.25">
      <c r="A170" s="1318" t="s">
        <v>473</v>
      </c>
      <c r="B170" s="470" t="s">
        <v>4314</v>
      </c>
      <c r="D170" s="1319"/>
      <c r="E170" s="1319"/>
      <c r="F170" s="1319"/>
      <c r="G170" s="1319"/>
      <c r="H170" s="1319"/>
      <c r="I170" s="1319"/>
      <c r="J170" s="1319"/>
      <c r="K170" s="1319"/>
      <c r="L170" s="1319"/>
      <c r="M170" s="1319"/>
      <c r="N170" s="1319"/>
      <c r="O170" s="1319"/>
      <c r="P170" s="1319"/>
      <c r="Q170" s="1319"/>
      <c r="R170" s="1319"/>
      <c r="S170" s="1319"/>
      <c r="T170" s="1319"/>
      <c r="U170" s="1460"/>
      <c r="V170" s="26"/>
    </row>
    <row r="171" spans="1:23">
      <c r="A171" s="493"/>
      <c r="B171" s="1318"/>
      <c r="C171" s="470"/>
      <c r="D171" s="470"/>
      <c r="E171" s="1319"/>
      <c r="F171" s="1319"/>
      <c r="G171" s="1319"/>
      <c r="H171" s="1319"/>
      <c r="I171" s="1319"/>
      <c r="J171" s="1319"/>
      <c r="K171" s="1319"/>
      <c r="L171" s="1319"/>
      <c r="M171" s="1319"/>
      <c r="N171" s="1319"/>
      <c r="O171" s="1319"/>
      <c r="P171" s="1319"/>
      <c r="Q171" s="1319"/>
      <c r="R171" s="1319"/>
      <c r="S171" s="1319"/>
      <c r="T171" s="1319"/>
      <c r="U171" s="1460"/>
      <c r="V171" s="26"/>
    </row>
    <row r="172" spans="1:23">
      <c r="A172" s="1318"/>
      <c r="B172" s="1318"/>
      <c r="C172" s="470"/>
      <c r="D172" s="470"/>
      <c r="E172" s="1319"/>
      <c r="F172" s="1319"/>
      <c r="G172" s="1319"/>
      <c r="H172" s="1319"/>
      <c r="I172" s="1319"/>
      <c r="J172" s="1319"/>
      <c r="K172" s="1319"/>
      <c r="L172" s="1319"/>
      <c r="M172" s="1319"/>
      <c r="N172" s="1319"/>
      <c r="O172" s="1319"/>
      <c r="P172" s="1319"/>
      <c r="Q172" s="1319"/>
      <c r="R172" s="1319"/>
      <c r="S172" s="1319"/>
      <c r="T172" s="1319"/>
      <c r="U172" s="1460"/>
      <c r="V172" s="26"/>
    </row>
    <row r="173" spans="1:23">
      <c r="A173" s="493"/>
      <c r="B173" s="1318"/>
      <c r="C173" s="57"/>
      <c r="D173" s="57"/>
      <c r="E173" s="1319"/>
      <c r="F173" s="1319"/>
      <c r="G173" s="1319"/>
      <c r="H173" s="1319"/>
      <c r="I173" s="1319"/>
      <c r="J173" s="1319"/>
      <c r="K173" s="1319"/>
      <c r="L173" s="1319"/>
      <c r="M173" s="1319"/>
      <c r="N173" s="1319"/>
      <c r="O173" s="1319"/>
      <c r="P173" s="1319"/>
      <c r="Q173" s="1319"/>
      <c r="R173" s="1319"/>
      <c r="S173" s="1319"/>
      <c r="T173" s="1319"/>
      <c r="U173" s="1460"/>
      <c r="V173" s="26"/>
    </row>
    <row r="174" spans="1:23">
      <c r="A174" s="493"/>
      <c r="B174" s="1318"/>
      <c r="C174" s="470"/>
      <c r="D174" s="470"/>
      <c r="E174" s="1319"/>
      <c r="F174" s="1319"/>
      <c r="G174" s="1319"/>
      <c r="H174" s="1319"/>
      <c r="I174" s="1319"/>
      <c r="J174" s="1319"/>
      <c r="K174" s="1319"/>
      <c r="L174" s="1319"/>
      <c r="M174" s="1319"/>
      <c r="N174" s="1319"/>
      <c r="O174" s="1319"/>
      <c r="P174" s="1319"/>
      <c r="Q174" s="1319"/>
      <c r="R174" s="1319"/>
      <c r="S174" s="1319"/>
      <c r="T174" s="1319"/>
      <c r="U174" s="1460"/>
      <c r="V174" s="26"/>
    </row>
    <row r="175" spans="1:23">
      <c r="A175" s="1318"/>
      <c r="B175" s="1318"/>
      <c r="C175" s="470"/>
      <c r="D175" s="470"/>
      <c r="E175" s="1319"/>
      <c r="F175" s="1319"/>
      <c r="G175" s="1319"/>
      <c r="H175" s="1319"/>
      <c r="I175" s="1319"/>
      <c r="J175" s="1319"/>
      <c r="K175" s="1319"/>
      <c r="L175" s="1319"/>
      <c r="M175" s="1319"/>
      <c r="N175" s="1319"/>
      <c r="O175" s="1319"/>
      <c r="P175" s="1319"/>
      <c r="Q175" s="1319"/>
      <c r="R175" s="1319"/>
      <c r="S175" s="1319"/>
      <c r="T175" s="1319"/>
      <c r="U175" s="1460"/>
      <c r="V175" s="26"/>
    </row>
    <row r="176" spans="1:23">
      <c r="A176" s="493"/>
      <c r="B176" s="1318"/>
      <c r="C176" s="1319"/>
      <c r="D176" s="1319"/>
      <c r="E176" s="1321"/>
      <c r="F176" s="1323"/>
      <c r="G176" s="1321"/>
      <c r="H176" s="1321"/>
      <c r="I176" s="1321"/>
      <c r="J176" s="1321"/>
      <c r="K176" s="1320"/>
      <c r="L176" s="1320"/>
      <c r="M176" s="1321"/>
      <c r="N176" s="1321"/>
      <c r="O176" s="1322"/>
      <c r="P176" s="1320"/>
      <c r="Q176" s="1322"/>
      <c r="R176" s="1320"/>
      <c r="S176" s="1320"/>
      <c r="T176" s="1320"/>
      <c r="U176" s="1461"/>
    </row>
    <row r="177" spans="1:22">
      <c r="A177" s="493"/>
      <c r="B177" s="1318"/>
      <c r="C177" s="470"/>
      <c r="D177" s="470"/>
      <c r="E177" s="1319"/>
      <c r="F177" s="1319"/>
      <c r="G177" s="1319"/>
      <c r="H177" s="1319"/>
      <c r="I177" s="1319"/>
      <c r="J177" s="1319"/>
      <c r="K177" s="1319"/>
      <c r="L177" s="1319"/>
      <c r="M177" s="1319"/>
      <c r="N177" s="1319"/>
      <c r="O177" s="1319"/>
      <c r="P177" s="1319"/>
      <c r="Q177" s="1319"/>
      <c r="R177" s="1319"/>
      <c r="S177" s="1319"/>
      <c r="T177" s="1319"/>
      <c r="U177" s="1460"/>
      <c r="V177" s="26"/>
    </row>
    <row r="178" spans="1:22">
      <c r="A178" s="1318"/>
      <c r="B178" s="1318"/>
      <c r="C178" s="470"/>
      <c r="D178" s="470"/>
      <c r="E178" s="1319"/>
      <c r="F178" s="1319"/>
      <c r="G178" s="1319"/>
      <c r="H178" s="1319"/>
      <c r="I178" s="1319"/>
      <c r="J178" s="1319"/>
      <c r="K178" s="1319"/>
      <c r="L178" s="1319"/>
      <c r="M178" s="1319"/>
      <c r="N178" s="1319"/>
      <c r="O178" s="1319"/>
      <c r="P178" s="1319"/>
      <c r="Q178" s="1319"/>
      <c r="R178" s="1319"/>
      <c r="S178" s="1319"/>
      <c r="T178" s="1319"/>
      <c r="U178" s="1460"/>
      <c r="V178" s="26"/>
    </row>
    <row r="179" spans="1:22">
      <c r="A179" s="493"/>
      <c r="B179" s="1318"/>
      <c r="C179" s="1319"/>
      <c r="D179" s="1319"/>
      <c r="E179" s="1319"/>
      <c r="F179" s="1319"/>
      <c r="G179" s="1319"/>
      <c r="H179" s="1319"/>
      <c r="I179" s="1319"/>
      <c r="J179" s="1319"/>
      <c r="K179" s="1319"/>
      <c r="L179" s="1319"/>
      <c r="M179" s="1319"/>
      <c r="N179" s="1319"/>
      <c r="O179" s="1319"/>
      <c r="P179" s="1319"/>
      <c r="Q179" s="1319"/>
      <c r="R179" s="1319"/>
      <c r="S179" s="1319"/>
      <c r="T179" s="1319"/>
      <c r="U179" s="1460"/>
    </row>
    <row r="180" spans="1:22">
      <c r="A180" s="493"/>
      <c r="B180" s="1318"/>
      <c r="E180" s="1319"/>
      <c r="F180" s="1319"/>
      <c r="G180" s="1319"/>
      <c r="H180" s="1319"/>
      <c r="I180" s="1319"/>
      <c r="J180" s="1319"/>
      <c r="K180" s="1319"/>
      <c r="L180" s="1319"/>
      <c r="M180" s="1322"/>
      <c r="N180" s="1322"/>
      <c r="O180" s="1319"/>
      <c r="P180" s="1319"/>
      <c r="Q180" s="1319"/>
      <c r="R180" s="1319"/>
      <c r="S180" s="1319"/>
      <c r="T180" s="1319"/>
      <c r="U180" s="1462"/>
    </row>
    <row r="181" spans="1:22">
      <c r="A181" s="1318"/>
      <c r="B181" s="1318"/>
      <c r="C181" s="1319"/>
      <c r="D181" s="1319"/>
      <c r="E181" s="1322"/>
      <c r="F181" s="1322"/>
      <c r="G181" s="1322"/>
      <c r="H181" s="1322"/>
      <c r="I181" s="1322"/>
      <c r="J181" s="1322"/>
      <c r="K181" s="1322"/>
      <c r="L181" s="1322"/>
      <c r="M181" s="1322"/>
      <c r="N181" s="1322"/>
      <c r="O181" s="1319"/>
      <c r="P181" s="1322"/>
      <c r="Q181" s="1319"/>
      <c r="R181" s="1322"/>
      <c r="S181" s="1322"/>
      <c r="T181" s="1322"/>
      <c r="U181" s="1462"/>
    </row>
    <row r="182" spans="1:22">
      <c r="A182" s="493"/>
      <c r="B182" s="1318"/>
      <c r="C182" s="470"/>
      <c r="D182" s="470"/>
      <c r="E182" s="1322"/>
      <c r="F182" s="1322"/>
      <c r="G182" s="1322"/>
      <c r="H182" s="1322"/>
      <c r="I182" s="1322"/>
      <c r="J182" s="1322"/>
      <c r="K182" s="1322"/>
      <c r="L182" s="1322"/>
      <c r="M182" s="1320"/>
      <c r="N182" s="1320"/>
      <c r="O182" s="1322"/>
      <c r="P182" s="1322"/>
      <c r="Q182" s="1322"/>
      <c r="R182" s="1322"/>
      <c r="S182" s="1322"/>
      <c r="T182" s="1322"/>
      <c r="U182" s="1463"/>
    </row>
    <row r="183" spans="1:22">
      <c r="A183" s="493"/>
      <c r="B183" s="1318"/>
      <c r="C183" s="1319"/>
      <c r="D183" s="1319"/>
      <c r="E183" s="1321"/>
      <c r="F183" s="1323"/>
      <c r="G183" s="1321"/>
      <c r="H183" s="1321"/>
      <c r="I183" s="1321"/>
      <c r="J183" s="1321"/>
      <c r="K183" s="1321"/>
      <c r="L183" s="1321"/>
      <c r="M183" s="1321"/>
      <c r="N183" s="1321"/>
      <c r="O183" s="1320"/>
      <c r="P183" s="1321"/>
      <c r="Q183" s="1320"/>
      <c r="R183" s="1321"/>
      <c r="S183" s="1321"/>
      <c r="T183" s="1321"/>
      <c r="U183" s="1464"/>
    </row>
    <row r="184" spans="1:22">
      <c r="A184" s="1318"/>
    </row>
    <row r="185" spans="1:22">
      <c r="A185" s="493"/>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30"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pane="topRight"/>
      <selection pane="bottomLeft"/>
      <selection pane="bottomRight"/>
    </sheetView>
  </sheetViews>
  <sheetFormatPr defaultColWidth="9" defaultRowHeight="16.5"/>
  <cols>
    <col min="1" max="1" width="5.125" style="1252" customWidth="1"/>
    <col min="2" max="3" width="9.625" style="1252" customWidth="1"/>
    <col min="4" max="9" width="9" style="1252"/>
    <col min="10" max="10" width="11.375" style="1252" customWidth="1"/>
    <col min="11" max="13" width="9" style="1252"/>
    <col min="14" max="16" width="13.5" style="1252" customWidth="1"/>
    <col min="17" max="17" width="19.75" style="1252" customWidth="1"/>
    <col min="18" max="18" width="18.875" style="1252" customWidth="1"/>
    <col min="19" max="19" width="11" style="1252" customWidth="1"/>
    <col min="20" max="22" width="9" style="1252"/>
    <col min="23" max="23" width="8.375" style="1252" customWidth="1"/>
    <col min="24" max="24" width="11" style="1252" customWidth="1"/>
    <col min="25" max="25" width="14.5" style="1252" customWidth="1"/>
    <col min="26" max="26" width="13" style="33" customWidth="1"/>
    <col min="27" max="27" width="12.5" style="33" customWidth="1"/>
    <col min="28" max="28" width="14.5" style="33" customWidth="1"/>
    <col min="29" max="16384" width="9" style="1252"/>
  </cols>
  <sheetData>
    <row r="1" spans="1:31">
      <c r="A1" s="2186" t="str">
        <f>+封面!A3&amp;" "&amp;封面!A2</f>
        <v xml:space="preserve"> 中央再保險股份有限公司 年度檢查報表</v>
      </c>
      <c r="B1" s="1249"/>
      <c r="C1" s="1249"/>
      <c r="D1" s="58"/>
      <c r="E1" s="58"/>
      <c r="F1" s="1250"/>
      <c r="G1" s="58"/>
      <c r="H1" s="58"/>
      <c r="I1" s="58"/>
      <c r="J1" s="58"/>
      <c r="K1" s="58"/>
      <c r="L1" s="58"/>
      <c r="M1" s="58"/>
      <c r="N1" s="58"/>
      <c r="O1" s="58"/>
      <c r="P1" s="58"/>
      <c r="Q1" s="58"/>
      <c r="R1" s="58"/>
      <c r="S1" s="58"/>
      <c r="T1" s="58"/>
      <c r="U1" s="58"/>
      <c r="V1" s="58"/>
      <c r="W1" s="58"/>
      <c r="X1" s="58"/>
      <c r="Y1" s="1325"/>
      <c r="AC1" s="58"/>
      <c r="AD1" s="1251" t="s">
        <v>4176</v>
      </c>
    </row>
    <row r="2" spans="1:31" ht="17.25" thickBot="1">
      <c r="A2" s="1251" t="s">
        <v>4295</v>
      </c>
      <c r="B2" s="1251"/>
      <c r="C2" s="1251"/>
      <c r="D2" s="58"/>
      <c r="E2" s="58"/>
      <c r="F2" s="1250"/>
      <c r="G2" s="58"/>
      <c r="H2" s="58"/>
      <c r="I2" s="58"/>
      <c r="J2" s="58"/>
      <c r="K2" s="58"/>
      <c r="L2" s="58"/>
      <c r="M2" s="58"/>
      <c r="N2" s="58"/>
      <c r="O2" s="58"/>
      <c r="P2" s="58"/>
      <c r="Q2" s="58"/>
      <c r="R2" s="58"/>
      <c r="S2" s="58"/>
      <c r="T2" s="58"/>
      <c r="U2" s="58"/>
      <c r="V2" s="58"/>
      <c r="W2" s="58"/>
      <c r="X2" s="58"/>
      <c r="Y2" s="1325"/>
      <c r="AC2" s="58"/>
      <c r="AD2" s="58"/>
    </row>
    <row r="3" spans="1:31" ht="16.5" customHeight="1">
      <c r="A3" s="2942" t="s">
        <v>3625</v>
      </c>
      <c r="B3" s="2945" t="s">
        <v>4232</v>
      </c>
      <c r="C3" s="2947" t="s">
        <v>4233</v>
      </c>
      <c r="D3" s="2947"/>
      <c r="E3" s="2945" t="s">
        <v>4234</v>
      </c>
      <c r="F3" s="2945"/>
      <c r="G3" s="2945"/>
      <c r="H3" s="2945"/>
      <c r="I3" s="2945"/>
      <c r="J3" s="1326"/>
      <c r="K3" s="2945" t="s">
        <v>4236</v>
      </c>
      <c r="L3" s="2945" t="s">
        <v>4237</v>
      </c>
      <c r="M3" s="3001" t="s">
        <v>4238</v>
      </c>
      <c r="N3" s="2945" t="s">
        <v>4202</v>
      </c>
      <c r="O3" s="2945" t="s">
        <v>4279</v>
      </c>
      <c r="P3" s="2945" t="s">
        <v>4280</v>
      </c>
      <c r="Q3" s="2947" t="s">
        <v>4281</v>
      </c>
      <c r="R3" s="2947" t="s">
        <v>4282</v>
      </c>
      <c r="S3" s="2947" t="s">
        <v>4283</v>
      </c>
      <c r="T3" s="2947" t="s">
        <v>4284</v>
      </c>
      <c r="U3" s="2991"/>
      <c r="V3" s="2947" t="s">
        <v>4285</v>
      </c>
      <c r="W3" s="2991"/>
      <c r="X3" s="2945" t="s">
        <v>4244</v>
      </c>
      <c r="Y3" s="2956" t="s">
        <v>4286</v>
      </c>
      <c r="Z3" s="2954" t="s">
        <v>4296</v>
      </c>
      <c r="AA3" s="2954" t="s">
        <v>4297</v>
      </c>
      <c r="AB3" s="2954" t="s">
        <v>4298</v>
      </c>
      <c r="AC3" s="2945" t="s">
        <v>4246</v>
      </c>
      <c r="AD3" s="2945" t="s">
        <v>4247</v>
      </c>
      <c r="AE3" s="2950" t="s">
        <v>4248</v>
      </c>
    </row>
    <row r="4" spans="1:31" ht="31.9" customHeight="1">
      <c r="A4" s="2943"/>
      <c r="B4" s="2946"/>
      <c r="C4" s="2948"/>
      <c r="D4" s="2948"/>
      <c r="E4" s="1119" t="s">
        <v>4249</v>
      </c>
      <c r="F4" s="1119" t="s">
        <v>4250</v>
      </c>
      <c r="G4" s="1120" t="s">
        <v>4251</v>
      </c>
      <c r="H4" s="1120" t="s">
        <v>4252</v>
      </c>
      <c r="I4" s="1120" t="s">
        <v>4253</v>
      </c>
      <c r="J4" s="1120" t="s">
        <v>4287</v>
      </c>
      <c r="K4" s="2946"/>
      <c r="L4" s="2948"/>
      <c r="M4" s="2953"/>
      <c r="N4" s="2948"/>
      <c r="O4" s="2948"/>
      <c r="P4" s="2946"/>
      <c r="Q4" s="2948"/>
      <c r="R4" s="2948"/>
      <c r="S4" s="2948"/>
      <c r="T4" s="2994"/>
      <c r="U4" s="2994"/>
      <c r="V4" s="2994"/>
      <c r="W4" s="2994"/>
      <c r="X4" s="2946"/>
      <c r="Y4" s="2957"/>
      <c r="Z4" s="2955"/>
      <c r="AA4" s="2955"/>
      <c r="AB4" s="2955"/>
      <c r="AC4" s="2946"/>
      <c r="AD4" s="2946"/>
      <c r="AE4" s="2951"/>
    </row>
    <row r="5" spans="1:31" ht="17.25" thickBot="1">
      <c r="A5" s="2944"/>
      <c r="B5" s="1123" t="s">
        <v>66</v>
      </c>
      <c r="C5" s="2949" t="s">
        <v>67</v>
      </c>
      <c r="D5" s="3006"/>
      <c r="E5" s="1123" t="s">
        <v>68</v>
      </c>
      <c r="F5" s="1123" t="s">
        <v>69</v>
      </c>
      <c r="G5" s="1123" t="s">
        <v>70</v>
      </c>
      <c r="H5" s="1123" t="s">
        <v>71</v>
      </c>
      <c r="I5" s="1123" t="s">
        <v>72</v>
      </c>
      <c r="J5" s="1123" t="s">
        <v>454</v>
      </c>
      <c r="K5" s="1123" t="s">
        <v>455</v>
      </c>
      <c r="L5" s="1123" t="s">
        <v>456</v>
      </c>
      <c r="M5" s="1123" t="s">
        <v>457</v>
      </c>
      <c r="N5" s="1123" t="s">
        <v>469</v>
      </c>
      <c r="O5" s="1123" t="s">
        <v>458</v>
      </c>
      <c r="P5" s="1123" t="s">
        <v>459</v>
      </c>
      <c r="Q5" s="1123" t="s">
        <v>460</v>
      </c>
      <c r="R5" s="1123" t="s">
        <v>461</v>
      </c>
      <c r="S5" s="1123" t="s">
        <v>462</v>
      </c>
      <c r="T5" s="1123" t="s">
        <v>4288</v>
      </c>
      <c r="U5" s="1123" t="s">
        <v>4289</v>
      </c>
      <c r="V5" s="1123" t="s">
        <v>4288</v>
      </c>
      <c r="W5" s="1123" t="s">
        <v>4289</v>
      </c>
      <c r="X5" s="1123" t="s">
        <v>465</v>
      </c>
      <c r="Y5" s="1123" t="s">
        <v>466</v>
      </c>
      <c r="Z5" s="1374" t="s">
        <v>185</v>
      </c>
      <c r="AA5" s="1374" t="s">
        <v>475</v>
      </c>
      <c r="AB5" s="1374" t="s">
        <v>1214</v>
      </c>
      <c r="AC5" s="1374" t="s">
        <v>1215</v>
      </c>
      <c r="AD5" s="1374" t="s">
        <v>1216</v>
      </c>
      <c r="AE5" s="1375" t="s">
        <v>1202</v>
      </c>
    </row>
    <row r="6" spans="1:31" ht="14.25" customHeight="1">
      <c r="A6" s="1253">
        <v>1</v>
      </c>
      <c r="B6" s="2961" t="s">
        <v>4254</v>
      </c>
      <c r="C6" s="2964" t="s">
        <v>4255</v>
      </c>
      <c r="D6" s="2991" t="s">
        <v>4256</v>
      </c>
      <c r="E6" s="1254" t="s">
        <v>4257</v>
      </c>
      <c r="F6" s="1327"/>
      <c r="G6" s="1327"/>
      <c r="H6" s="1327"/>
      <c r="I6" s="1327"/>
      <c r="J6" s="1328"/>
      <c r="K6" s="1328"/>
      <c r="L6" s="1328"/>
      <c r="M6" s="1328"/>
      <c r="N6" s="1328"/>
      <c r="O6" s="1328"/>
      <c r="P6" s="1329"/>
      <c r="Q6" s="1328"/>
      <c r="R6" s="1328"/>
      <c r="S6" s="1328"/>
      <c r="T6" s="1328"/>
      <c r="U6" s="1329"/>
      <c r="V6" s="1328"/>
      <c r="W6" s="1329"/>
      <c r="X6" s="1328"/>
      <c r="Y6" s="1328"/>
      <c r="Z6" s="1376"/>
      <c r="AA6" s="1376"/>
      <c r="AB6" s="1376"/>
      <c r="AC6" s="1330"/>
      <c r="AD6" s="1330"/>
      <c r="AE6" s="1331"/>
    </row>
    <row r="7" spans="1:31">
      <c r="A7" s="1261">
        <v>2</v>
      </c>
      <c r="B7" s="2962"/>
      <c r="C7" s="2965"/>
      <c r="D7" s="2994"/>
      <c r="E7" s="1332"/>
      <c r="F7" s="1333"/>
      <c r="G7" s="1333"/>
      <c r="H7" s="1333"/>
      <c r="I7" s="1333"/>
      <c r="J7" s="1334"/>
      <c r="K7" s="1334"/>
      <c r="L7" s="1334"/>
      <c r="M7" s="1334"/>
      <c r="N7" s="1334"/>
      <c r="O7" s="1334"/>
      <c r="P7" s="1335"/>
      <c r="Q7" s="1334"/>
      <c r="R7" s="1334"/>
      <c r="S7" s="1334"/>
      <c r="T7" s="1334"/>
      <c r="U7" s="1335"/>
      <c r="V7" s="1334"/>
      <c r="W7" s="1335"/>
      <c r="X7" s="1334"/>
      <c r="Y7" s="1334"/>
      <c r="Z7" s="1377"/>
      <c r="AA7" s="1377"/>
      <c r="AB7" s="1377"/>
      <c r="AC7" s="1336"/>
      <c r="AD7" s="1336"/>
      <c r="AE7" s="1337"/>
    </row>
    <row r="8" spans="1:31">
      <c r="A8" s="1261">
        <v>3</v>
      </c>
      <c r="B8" s="2962"/>
      <c r="C8" s="2965"/>
      <c r="D8" s="2994"/>
      <c r="E8" s="1332"/>
      <c r="F8" s="1333"/>
      <c r="G8" s="1333"/>
      <c r="H8" s="1333"/>
      <c r="I8" s="1333"/>
      <c r="J8" s="1334"/>
      <c r="K8" s="1334"/>
      <c r="L8" s="1334"/>
      <c r="M8" s="1334"/>
      <c r="N8" s="1334"/>
      <c r="O8" s="1334"/>
      <c r="P8" s="1335"/>
      <c r="Q8" s="1334"/>
      <c r="R8" s="1334"/>
      <c r="S8" s="1334"/>
      <c r="T8" s="1334"/>
      <c r="U8" s="1335"/>
      <c r="V8" s="1334"/>
      <c r="W8" s="1335"/>
      <c r="X8" s="1334"/>
      <c r="Y8" s="1334"/>
      <c r="Z8" s="1377"/>
      <c r="AA8" s="1377"/>
      <c r="AB8" s="1377"/>
      <c r="AC8" s="1336"/>
      <c r="AD8" s="1336"/>
      <c r="AE8" s="1337"/>
    </row>
    <row r="9" spans="1:31">
      <c r="A9" s="1261">
        <v>4</v>
      </c>
      <c r="B9" s="2962"/>
      <c r="C9" s="2965"/>
      <c r="D9" s="2994"/>
      <c r="E9" s="1332"/>
      <c r="F9" s="1333"/>
      <c r="G9" s="1333"/>
      <c r="H9" s="1333"/>
      <c r="I9" s="1333"/>
      <c r="J9" s="1334"/>
      <c r="K9" s="1334"/>
      <c r="L9" s="1334"/>
      <c r="M9" s="1334"/>
      <c r="N9" s="1334"/>
      <c r="O9" s="1334"/>
      <c r="P9" s="1335"/>
      <c r="Q9" s="1334"/>
      <c r="R9" s="1334"/>
      <c r="S9" s="1334"/>
      <c r="T9" s="1334"/>
      <c r="U9" s="1335"/>
      <c r="V9" s="1334"/>
      <c r="W9" s="1335"/>
      <c r="X9" s="1334"/>
      <c r="Y9" s="1334"/>
      <c r="Z9" s="1377"/>
      <c r="AA9" s="1377"/>
      <c r="AB9" s="1377"/>
      <c r="AC9" s="1336"/>
      <c r="AD9" s="1336"/>
      <c r="AE9" s="1337"/>
    </row>
    <row r="10" spans="1:31">
      <c r="A10" s="1261">
        <v>5</v>
      </c>
      <c r="B10" s="2962"/>
      <c r="C10" s="2965"/>
      <c r="D10" s="2994"/>
      <c r="E10" s="1332"/>
      <c r="F10" s="1333"/>
      <c r="G10" s="1333"/>
      <c r="H10" s="1333"/>
      <c r="I10" s="1333"/>
      <c r="J10" s="1334"/>
      <c r="K10" s="1334"/>
      <c r="L10" s="1334"/>
      <c r="M10" s="1334"/>
      <c r="N10" s="1334"/>
      <c r="O10" s="1334"/>
      <c r="P10" s="1335"/>
      <c r="Q10" s="1334"/>
      <c r="R10" s="1334"/>
      <c r="S10" s="1334"/>
      <c r="T10" s="1334"/>
      <c r="U10" s="1335"/>
      <c r="V10" s="1334"/>
      <c r="W10" s="1335"/>
      <c r="X10" s="1334"/>
      <c r="Y10" s="1334"/>
      <c r="Z10" s="1377"/>
      <c r="AA10" s="1377"/>
      <c r="AB10" s="1377"/>
      <c r="AC10" s="1336"/>
      <c r="AD10" s="1336"/>
      <c r="AE10" s="1337"/>
    </row>
    <row r="11" spans="1:31">
      <c r="A11" s="1261">
        <v>6</v>
      </c>
      <c r="B11" s="2962"/>
      <c r="C11" s="2965"/>
      <c r="D11" s="2994"/>
      <c r="E11" s="1332"/>
      <c r="F11" s="1333"/>
      <c r="G11" s="1333"/>
      <c r="H11" s="1333"/>
      <c r="I11" s="1333"/>
      <c r="J11" s="1334"/>
      <c r="K11" s="1334"/>
      <c r="L11" s="1334"/>
      <c r="M11" s="1334"/>
      <c r="N11" s="1334"/>
      <c r="O11" s="1334"/>
      <c r="P11" s="1335"/>
      <c r="Q11" s="1334"/>
      <c r="R11" s="1334"/>
      <c r="S11" s="1334"/>
      <c r="T11" s="1334"/>
      <c r="U11" s="1335"/>
      <c r="V11" s="1334"/>
      <c r="W11" s="1335"/>
      <c r="X11" s="1334"/>
      <c r="Y11" s="1334"/>
      <c r="Z11" s="1377"/>
      <c r="AA11" s="1377"/>
      <c r="AB11" s="1377"/>
      <c r="AC11" s="1336"/>
      <c r="AD11" s="1336"/>
      <c r="AE11" s="1337"/>
    </row>
    <row r="12" spans="1:31">
      <c r="A12" s="1261">
        <v>7</v>
      </c>
      <c r="B12" s="2962"/>
      <c r="C12" s="2965"/>
      <c r="D12" s="2994"/>
      <c r="E12" s="1332"/>
      <c r="F12" s="1333"/>
      <c r="G12" s="1333"/>
      <c r="H12" s="1333"/>
      <c r="I12" s="1333"/>
      <c r="J12" s="1334"/>
      <c r="K12" s="1334"/>
      <c r="L12" s="1334"/>
      <c r="M12" s="1334"/>
      <c r="N12" s="1334"/>
      <c r="O12" s="1334"/>
      <c r="P12" s="1335"/>
      <c r="Q12" s="1334"/>
      <c r="R12" s="1334"/>
      <c r="S12" s="1334"/>
      <c r="T12" s="1334"/>
      <c r="U12" s="1335"/>
      <c r="V12" s="1334"/>
      <c r="W12" s="1335"/>
      <c r="X12" s="1334"/>
      <c r="Y12" s="1334"/>
      <c r="Z12" s="1377"/>
      <c r="AA12" s="1377"/>
      <c r="AB12" s="1377"/>
      <c r="AC12" s="1336"/>
      <c r="AD12" s="1336"/>
      <c r="AE12" s="1337"/>
    </row>
    <row r="13" spans="1:31">
      <c r="A13" s="1261">
        <v>8</v>
      </c>
      <c r="B13" s="2962"/>
      <c r="C13" s="2965"/>
      <c r="D13" s="2994"/>
      <c r="E13" s="1332"/>
      <c r="F13" s="1333"/>
      <c r="G13" s="1333"/>
      <c r="H13" s="1333"/>
      <c r="I13" s="1333"/>
      <c r="J13" s="1334"/>
      <c r="K13" s="1334"/>
      <c r="L13" s="1334"/>
      <c r="M13" s="1334"/>
      <c r="N13" s="1334"/>
      <c r="O13" s="1334"/>
      <c r="P13" s="1335"/>
      <c r="Q13" s="1334"/>
      <c r="R13" s="1334"/>
      <c r="S13" s="1334"/>
      <c r="T13" s="1334"/>
      <c r="U13" s="1335"/>
      <c r="V13" s="1334"/>
      <c r="W13" s="1335"/>
      <c r="X13" s="1334"/>
      <c r="Y13" s="1334"/>
      <c r="Z13" s="1377"/>
      <c r="AA13" s="1377"/>
      <c r="AB13" s="1377"/>
      <c r="AC13" s="1336"/>
      <c r="AD13" s="1336"/>
      <c r="AE13" s="1337"/>
    </row>
    <row r="14" spans="1:31">
      <c r="A14" s="1261">
        <v>9</v>
      </c>
      <c r="B14" s="2962"/>
      <c r="C14" s="2965"/>
      <c r="D14" s="2994"/>
      <c r="E14" s="1332"/>
      <c r="F14" s="1333"/>
      <c r="G14" s="1333"/>
      <c r="H14" s="1333"/>
      <c r="I14" s="1333"/>
      <c r="J14" s="1334"/>
      <c r="K14" s="1334"/>
      <c r="L14" s="1334"/>
      <c r="M14" s="1334"/>
      <c r="N14" s="1334"/>
      <c r="O14" s="1334"/>
      <c r="P14" s="1335"/>
      <c r="Q14" s="1334"/>
      <c r="R14" s="1334"/>
      <c r="S14" s="1334"/>
      <c r="T14" s="1334"/>
      <c r="U14" s="1335"/>
      <c r="V14" s="1334"/>
      <c r="W14" s="1335"/>
      <c r="X14" s="1334"/>
      <c r="Y14" s="1334"/>
      <c r="Z14" s="1377"/>
      <c r="AA14" s="1377"/>
      <c r="AB14" s="1377"/>
      <c r="AC14" s="1336"/>
      <c r="AD14" s="1336"/>
      <c r="AE14" s="1337"/>
    </row>
    <row r="15" spans="1:31">
      <c r="A15" s="1261">
        <v>10</v>
      </c>
      <c r="B15" s="2962"/>
      <c r="C15" s="2965"/>
      <c r="D15" s="2994"/>
      <c r="E15" s="1332"/>
      <c r="F15" s="1333"/>
      <c r="G15" s="1333"/>
      <c r="H15" s="1333"/>
      <c r="I15" s="1333"/>
      <c r="J15" s="1334"/>
      <c r="K15" s="1334"/>
      <c r="L15" s="1334"/>
      <c r="M15" s="1334"/>
      <c r="N15" s="1334"/>
      <c r="O15" s="1334"/>
      <c r="P15" s="1335"/>
      <c r="Q15" s="1334"/>
      <c r="R15" s="1334"/>
      <c r="S15" s="1334"/>
      <c r="T15" s="1334"/>
      <c r="U15" s="1335"/>
      <c r="V15" s="1334"/>
      <c r="W15" s="1335"/>
      <c r="X15" s="1334"/>
      <c r="Y15" s="1334"/>
      <c r="Z15" s="1377"/>
      <c r="AA15" s="1377"/>
      <c r="AB15" s="1377"/>
      <c r="AC15" s="1336"/>
      <c r="AD15" s="1336"/>
      <c r="AE15" s="1337"/>
    </row>
    <row r="16" spans="1:31">
      <c r="A16" s="1261">
        <v>11</v>
      </c>
      <c r="B16" s="2962"/>
      <c r="C16" s="2965"/>
      <c r="D16" s="2994"/>
      <c r="E16" s="1332"/>
      <c r="F16" s="1333"/>
      <c r="G16" s="1333"/>
      <c r="H16" s="1333"/>
      <c r="I16" s="1333"/>
      <c r="J16" s="1334"/>
      <c r="K16" s="1334"/>
      <c r="L16" s="1334"/>
      <c r="M16" s="1334"/>
      <c r="N16" s="1334"/>
      <c r="O16" s="1334"/>
      <c r="P16" s="1335"/>
      <c r="Q16" s="1334"/>
      <c r="R16" s="1334"/>
      <c r="S16" s="1334"/>
      <c r="T16" s="1334"/>
      <c r="U16" s="1335"/>
      <c r="V16" s="1334"/>
      <c r="W16" s="1335"/>
      <c r="X16" s="1334"/>
      <c r="Y16" s="1334"/>
      <c r="Z16" s="1377"/>
      <c r="AA16" s="1377"/>
      <c r="AB16" s="1377"/>
      <c r="AC16" s="1336"/>
      <c r="AD16" s="1336"/>
      <c r="AE16" s="1337"/>
    </row>
    <row r="17" spans="1:31">
      <c r="A17" s="1261">
        <v>12</v>
      </c>
      <c r="B17" s="2962"/>
      <c r="C17" s="2965"/>
      <c r="D17" s="2994"/>
      <c r="E17" s="1332"/>
      <c r="F17" s="1333"/>
      <c r="G17" s="1333"/>
      <c r="H17" s="1333"/>
      <c r="I17" s="1333"/>
      <c r="J17" s="1334"/>
      <c r="K17" s="1334"/>
      <c r="L17" s="1334"/>
      <c r="M17" s="1334"/>
      <c r="N17" s="1334"/>
      <c r="O17" s="1334"/>
      <c r="P17" s="1335"/>
      <c r="Q17" s="1334"/>
      <c r="R17" s="1334"/>
      <c r="S17" s="1334"/>
      <c r="T17" s="1334"/>
      <c r="U17" s="1335"/>
      <c r="V17" s="1334"/>
      <c r="W17" s="1335"/>
      <c r="X17" s="1334"/>
      <c r="Y17" s="1334"/>
      <c r="Z17" s="1377"/>
      <c r="AA17" s="1377"/>
      <c r="AB17" s="1377"/>
      <c r="AC17" s="1336"/>
      <c r="AD17" s="1336"/>
      <c r="AE17" s="1337"/>
    </row>
    <row r="18" spans="1:31">
      <c r="A18" s="1261">
        <v>13</v>
      </c>
      <c r="B18" s="2962"/>
      <c r="C18" s="2965"/>
      <c r="D18" s="1279" t="s">
        <v>3514</v>
      </c>
      <c r="E18" s="1338"/>
      <c r="F18" s="1339"/>
      <c r="G18" s="1339"/>
      <c r="H18" s="1339"/>
      <c r="I18" s="1339"/>
      <c r="J18" s="1340"/>
      <c r="K18" s="1340"/>
      <c r="L18" s="1340"/>
      <c r="M18" s="1334">
        <f>SUM(M6:M17)</f>
        <v>0</v>
      </c>
      <c r="N18" s="1334">
        <f>SUM(N6:N17)</f>
        <v>0</v>
      </c>
      <c r="O18" s="1334">
        <f>SUM(O6:O17)</f>
        <v>0</v>
      </c>
      <c r="P18" s="1334">
        <f>SUM(P6:P17)</f>
        <v>0</v>
      </c>
      <c r="Q18" s="1340"/>
      <c r="R18" s="1334">
        <f>SUM(R6:R17)</f>
        <v>0</v>
      </c>
      <c r="S18" s="1340"/>
      <c r="T18" s="1334">
        <f>SUM(T6:T17)</f>
        <v>0</v>
      </c>
      <c r="U18" s="1334">
        <f>SUM(U6:U17)</f>
        <v>0</v>
      </c>
      <c r="V18" s="1334">
        <f>SUM(V6:V17)</f>
        <v>0</v>
      </c>
      <c r="W18" s="1334">
        <f>SUM(W6:W17)</f>
        <v>0</v>
      </c>
      <c r="X18" s="1340"/>
      <c r="Y18" s="1340"/>
      <c r="Z18" s="1377"/>
      <c r="AA18" s="1377"/>
      <c r="AB18" s="1377"/>
      <c r="AC18" s="1340"/>
      <c r="AD18" s="1340"/>
      <c r="AE18" s="1378"/>
    </row>
    <row r="19" spans="1:31" ht="13.9" customHeight="1">
      <c r="A19" s="1261">
        <v>14</v>
      </c>
      <c r="B19" s="2962"/>
      <c r="C19" s="2965"/>
      <c r="D19" s="3007" t="s">
        <v>4258</v>
      </c>
      <c r="E19" s="1332"/>
      <c r="F19" s="1333"/>
      <c r="G19" s="1333"/>
      <c r="H19" s="1333"/>
      <c r="I19" s="1333"/>
      <c r="J19" s="1334"/>
      <c r="K19" s="1334"/>
      <c r="L19" s="1334"/>
      <c r="M19" s="1334"/>
      <c r="N19" s="1334"/>
      <c r="O19" s="1334"/>
      <c r="P19" s="1335"/>
      <c r="Q19" s="1334"/>
      <c r="R19" s="1334"/>
      <c r="S19" s="1334"/>
      <c r="T19" s="1334"/>
      <c r="U19" s="1335"/>
      <c r="V19" s="1334"/>
      <c r="W19" s="1335"/>
      <c r="X19" s="1334"/>
      <c r="Y19" s="1334"/>
      <c r="Z19" s="1377"/>
      <c r="AA19" s="1377"/>
      <c r="AB19" s="1377"/>
      <c r="AC19" s="1336"/>
      <c r="AD19" s="1336"/>
      <c r="AE19" s="1337"/>
    </row>
    <row r="20" spans="1:31">
      <c r="A20" s="1261">
        <v>15</v>
      </c>
      <c r="B20" s="2962"/>
      <c r="C20" s="2965"/>
      <c r="D20" s="2994"/>
      <c r="E20" s="1332"/>
      <c r="F20" s="1333"/>
      <c r="G20" s="1333"/>
      <c r="H20" s="1333"/>
      <c r="I20" s="1333"/>
      <c r="J20" s="1334"/>
      <c r="K20" s="1334"/>
      <c r="L20" s="1334"/>
      <c r="M20" s="1334"/>
      <c r="N20" s="1334"/>
      <c r="O20" s="1334"/>
      <c r="P20" s="1335"/>
      <c r="Q20" s="1334"/>
      <c r="R20" s="1334"/>
      <c r="S20" s="1334"/>
      <c r="T20" s="1334"/>
      <c r="U20" s="1335"/>
      <c r="V20" s="1334"/>
      <c r="W20" s="1335"/>
      <c r="X20" s="1334"/>
      <c r="Y20" s="1334"/>
      <c r="Z20" s="1377"/>
      <c r="AA20" s="1377"/>
      <c r="AB20" s="1377"/>
      <c r="AC20" s="1336"/>
      <c r="AD20" s="1336"/>
      <c r="AE20" s="1337"/>
    </row>
    <row r="21" spans="1:31">
      <c r="A21" s="1261">
        <v>16</v>
      </c>
      <c r="B21" s="2962"/>
      <c r="C21" s="2965"/>
      <c r="D21" s="2994"/>
      <c r="E21" s="1332"/>
      <c r="F21" s="1333"/>
      <c r="G21" s="1333"/>
      <c r="H21" s="1333"/>
      <c r="I21" s="1333"/>
      <c r="J21" s="1334"/>
      <c r="K21" s="1334"/>
      <c r="L21" s="1334"/>
      <c r="M21" s="1334"/>
      <c r="N21" s="1334"/>
      <c r="O21" s="1334"/>
      <c r="P21" s="1335"/>
      <c r="Q21" s="1334"/>
      <c r="R21" s="1334"/>
      <c r="S21" s="1334"/>
      <c r="T21" s="1334"/>
      <c r="U21" s="1335"/>
      <c r="V21" s="1334"/>
      <c r="W21" s="1335"/>
      <c r="X21" s="1334"/>
      <c r="Y21" s="1334"/>
      <c r="Z21" s="1377"/>
      <c r="AA21" s="1377"/>
      <c r="AB21" s="1377"/>
      <c r="AC21" s="1336"/>
      <c r="AD21" s="1336"/>
      <c r="AE21" s="1337"/>
    </row>
    <row r="22" spans="1:31">
      <c r="A22" s="1261">
        <v>17</v>
      </c>
      <c r="B22" s="2962"/>
      <c r="C22" s="2965"/>
      <c r="D22" s="2994"/>
      <c r="E22" s="1332"/>
      <c r="F22" s="1333"/>
      <c r="G22" s="1333"/>
      <c r="H22" s="1333"/>
      <c r="I22" s="1333"/>
      <c r="J22" s="1334"/>
      <c r="K22" s="1334"/>
      <c r="L22" s="1334"/>
      <c r="M22" s="1334"/>
      <c r="N22" s="1334"/>
      <c r="O22" s="1334"/>
      <c r="P22" s="1335"/>
      <c r="Q22" s="1334"/>
      <c r="R22" s="1334"/>
      <c r="S22" s="1334"/>
      <c r="T22" s="1334"/>
      <c r="U22" s="1335"/>
      <c r="V22" s="1334"/>
      <c r="W22" s="1335"/>
      <c r="X22" s="1334"/>
      <c r="Y22" s="1334"/>
      <c r="Z22" s="1377"/>
      <c r="AA22" s="1377"/>
      <c r="AB22" s="1377"/>
      <c r="AC22" s="1336"/>
      <c r="AD22" s="1336"/>
      <c r="AE22" s="1337"/>
    </row>
    <row r="23" spans="1:31">
      <c r="A23" s="1261">
        <v>18</v>
      </c>
      <c r="B23" s="2962"/>
      <c r="C23" s="2965"/>
      <c r="D23" s="2994"/>
      <c r="E23" s="1332"/>
      <c r="F23" s="1333"/>
      <c r="G23" s="1333"/>
      <c r="H23" s="1333"/>
      <c r="I23" s="1333"/>
      <c r="J23" s="1334"/>
      <c r="K23" s="1334"/>
      <c r="L23" s="1334"/>
      <c r="M23" s="1334"/>
      <c r="N23" s="1334"/>
      <c r="O23" s="1334"/>
      <c r="P23" s="1335"/>
      <c r="Q23" s="1334"/>
      <c r="R23" s="1334"/>
      <c r="S23" s="1334"/>
      <c r="T23" s="1334"/>
      <c r="U23" s="1335"/>
      <c r="V23" s="1334"/>
      <c r="W23" s="1335"/>
      <c r="X23" s="1334"/>
      <c r="Y23" s="1334"/>
      <c r="Z23" s="1377"/>
      <c r="AA23" s="1377"/>
      <c r="AB23" s="1377"/>
      <c r="AC23" s="1336"/>
      <c r="AD23" s="1336"/>
      <c r="AE23" s="1337"/>
    </row>
    <row r="24" spans="1:31">
      <c r="A24" s="1261">
        <v>19</v>
      </c>
      <c r="B24" s="2962"/>
      <c r="C24" s="2965"/>
      <c r="D24" s="2994"/>
      <c r="E24" s="1332"/>
      <c r="F24" s="1333"/>
      <c r="G24" s="1333"/>
      <c r="H24" s="1333"/>
      <c r="I24" s="1333"/>
      <c r="J24" s="1334"/>
      <c r="K24" s="1334"/>
      <c r="L24" s="1334"/>
      <c r="M24" s="1334"/>
      <c r="N24" s="1334"/>
      <c r="O24" s="1334"/>
      <c r="P24" s="1335"/>
      <c r="Q24" s="1334"/>
      <c r="R24" s="1334"/>
      <c r="S24" s="1334"/>
      <c r="T24" s="1334"/>
      <c r="U24" s="1335"/>
      <c r="V24" s="1334"/>
      <c r="W24" s="1335"/>
      <c r="X24" s="1334"/>
      <c r="Y24" s="1334"/>
      <c r="Z24" s="1377"/>
      <c r="AA24" s="1377"/>
      <c r="AB24" s="1377"/>
      <c r="AC24" s="1336"/>
      <c r="AD24" s="1336"/>
      <c r="AE24" s="1337"/>
    </row>
    <row r="25" spans="1:31">
      <c r="A25" s="1261">
        <v>20</v>
      </c>
      <c r="B25" s="2962"/>
      <c r="C25" s="2965"/>
      <c r="D25" s="2994"/>
      <c r="E25" s="1332"/>
      <c r="F25" s="1333"/>
      <c r="G25" s="1333"/>
      <c r="H25" s="1333"/>
      <c r="I25" s="1333"/>
      <c r="J25" s="1334"/>
      <c r="K25" s="1334"/>
      <c r="L25" s="1334"/>
      <c r="M25" s="1334"/>
      <c r="N25" s="1334"/>
      <c r="O25" s="1334"/>
      <c r="P25" s="1335"/>
      <c r="Q25" s="1334"/>
      <c r="R25" s="1334"/>
      <c r="S25" s="1334"/>
      <c r="T25" s="1334"/>
      <c r="U25" s="1335"/>
      <c r="V25" s="1334"/>
      <c r="W25" s="1335"/>
      <c r="X25" s="1334"/>
      <c r="Y25" s="1334"/>
      <c r="Z25" s="1377"/>
      <c r="AA25" s="1377"/>
      <c r="AB25" s="1377"/>
      <c r="AC25" s="1336"/>
      <c r="AD25" s="1336"/>
      <c r="AE25" s="1337"/>
    </row>
    <row r="26" spans="1:31">
      <c r="A26" s="1261">
        <v>21</v>
      </c>
      <c r="B26" s="2962"/>
      <c r="C26" s="2965"/>
      <c r="D26" s="2994"/>
      <c r="E26" s="1332"/>
      <c r="F26" s="1333"/>
      <c r="G26" s="1333"/>
      <c r="H26" s="1333"/>
      <c r="I26" s="1333"/>
      <c r="J26" s="1334"/>
      <c r="K26" s="1334"/>
      <c r="L26" s="1334"/>
      <c r="M26" s="1334"/>
      <c r="N26" s="1334"/>
      <c r="O26" s="1334"/>
      <c r="P26" s="1335"/>
      <c r="Q26" s="1334"/>
      <c r="R26" s="1334"/>
      <c r="S26" s="1334"/>
      <c r="T26" s="1334"/>
      <c r="U26" s="1335"/>
      <c r="V26" s="1334"/>
      <c r="W26" s="1335"/>
      <c r="X26" s="1334"/>
      <c r="Y26" s="1334"/>
      <c r="Z26" s="1377"/>
      <c r="AA26" s="1377"/>
      <c r="AB26" s="1377"/>
      <c r="AC26" s="1336"/>
      <c r="AD26" s="1336"/>
      <c r="AE26" s="1337"/>
    </row>
    <row r="27" spans="1:31">
      <c r="A27" s="1261">
        <v>22</v>
      </c>
      <c r="B27" s="2962"/>
      <c r="C27" s="2965"/>
      <c r="D27" s="2994"/>
      <c r="E27" s="1332"/>
      <c r="F27" s="1333"/>
      <c r="G27" s="1333"/>
      <c r="H27" s="1333"/>
      <c r="I27" s="1333"/>
      <c r="J27" s="1334"/>
      <c r="K27" s="1334"/>
      <c r="L27" s="1334"/>
      <c r="M27" s="1334"/>
      <c r="N27" s="1334"/>
      <c r="O27" s="1334"/>
      <c r="P27" s="1335"/>
      <c r="Q27" s="1334"/>
      <c r="R27" s="1334"/>
      <c r="S27" s="1334"/>
      <c r="T27" s="1334"/>
      <c r="U27" s="1335"/>
      <c r="V27" s="1334"/>
      <c r="W27" s="1335"/>
      <c r="X27" s="1334"/>
      <c r="Y27" s="1334"/>
      <c r="Z27" s="1377"/>
      <c r="AA27" s="1377"/>
      <c r="AB27" s="1377"/>
      <c r="AC27" s="1336"/>
      <c r="AD27" s="1336"/>
      <c r="AE27" s="1337"/>
    </row>
    <row r="28" spans="1:31">
      <c r="A28" s="1261">
        <v>23</v>
      </c>
      <c r="B28" s="2962"/>
      <c r="C28" s="2965"/>
      <c r="D28" s="2994"/>
      <c r="E28" s="1332"/>
      <c r="F28" s="1333"/>
      <c r="G28" s="1333"/>
      <c r="H28" s="1333"/>
      <c r="I28" s="1333"/>
      <c r="J28" s="1334"/>
      <c r="K28" s="1334"/>
      <c r="L28" s="1334"/>
      <c r="M28" s="1334"/>
      <c r="N28" s="1334"/>
      <c r="O28" s="1334"/>
      <c r="P28" s="1335"/>
      <c r="Q28" s="1334"/>
      <c r="R28" s="1334"/>
      <c r="S28" s="1334"/>
      <c r="T28" s="1334"/>
      <c r="U28" s="1335"/>
      <c r="V28" s="1334"/>
      <c r="W28" s="1335"/>
      <c r="X28" s="1334"/>
      <c r="Y28" s="1334"/>
      <c r="Z28" s="1377"/>
      <c r="AA28" s="1377"/>
      <c r="AB28" s="1377"/>
      <c r="AC28" s="1336"/>
      <c r="AD28" s="1336"/>
      <c r="AE28" s="1337"/>
    </row>
    <row r="29" spans="1:31">
      <c r="A29" s="1261">
        <v>24</v>
      </c>
      <c r="B29" s="2962"/>
      <c r="C29" s="2965"/>
      <c r="D29" s="2994"/>
      <c r="E29" s="1332"/>
      <c r="F29" s="1333"/>
      <c r="G29" s="1333"/>
      <c r="H29" s="1333"/>
      <c r="I29" s="1333"/>
      <c r="J29" s="1334"/>
      <c r="K29" s="1334"/>
      <c r="L29" s="1334"/>
      <c r="M29" s="1334"/>
      <c r="N29" s="1334"/>
      <c r="O29" s="1334"/>
      <c r="P29" s="1335"/>
      <c r="Q29" s="1334"/>
      <c r="R29" s="1334"/>
      <c r="S29" s="1334"/>
      <c r="T29" s="1334"/>
      <c r="U29" s="1335"/>
      <c r="V29" s="1334"/>
      <c r="W29" s="1335"/>
      <c r="X29" s="1334"/>
      <c r="Y29" s="1334"/>
      <c r="Z29" s="1377"/>
      <c r="AA29" s="1377"/>
      <c r="AB29" s="1377"/>
      <c r="AC29" s="1336"/>
      <c r="AD29" s="1336"/>
      <c r="AE29" s="1337"/>
    </row>
    <row r="30" spans="1:31">
      <c r="A30" s="1261">
        <v>25</v>
      </c>
      <c r="B30" s="2962"/>
      <c r="C30" s="2965"/>
      <c r="D30" s="2994"/>
      <c r="E30" s="1332"/>
      <c r="F30" s="1333"/>
      <c r="G30" s="1333"/>
      <c r="H30" s="1333"/>
      <c r="I30" s="1333"/>
      <c r="J30" s="1334"/>
      <c r="K30" s="1334"/>
      <c r="L30" s="1334"/>
      <c r="M30" s="1334"/>
      <c r="N30" s="1334"/>
      <c r="O30" s="1334"/>
      <c r="P30" s="1335"/>
      <c r="Q30" s="1334"/>
      <c r="R30" s="1334"/>
      <c r="S30" s="1334"/>
      <c r="T30" s="1334"/>
      <c r="U30" s="1335"/>
      <c r="V30" s="1334"/>
      <c r="W30" s="1335"/>
      <c r="X30" s="1334"/>
      <c r="Y30" s="1334"/>
      <c r="Z30" s="1377"/>
      <c r="AA30" s="1377"/>
      <c r="AB30" s="1377"/>
      <c r="AC30" s="1336"/>
      <c r="AD30" s="1336"/>
      <c r="AE30" s="1337"/>
    </row>
    <row r="31" spans="1:31" ht="17.25" thickBot="1">
      <c r="A31" s="1261">
        <v>26</v>
      </c>
      <c r="B31" s="2962"/>
      <c r="C31" s="2966"/>
      <c r="D31" s="1273" t="s">
        <v>3514</v>
      </c>
      <c r="E31" s="1342"/>
      <c r="F31" s="1342"/>
      <c r="G31" s="1342"/>
      <c r="H31" s="1342"/>
      <c r="I31" s="1342"/>
      <c r="J31" s="1342"/>
      <c r="K31" s="1342"/>
      <c r="L31" s="1343"/>
      <c r="M31" s="1344">
        <f>SUM(M19:M30)</f>
        <v>0</v>
      </c>
      <c r="N31" s="1344">
        <f>SUM(N19:N30)</f>
        <v>0</v>
      </c>
      <c r="O31" s="1344">
        <f>SUM(O19:O30)</f>
        <v>0</v>
      </c>
      <c r="P31" s="1344">
        <f>SUM(P19:P30)</f>
        <v>0</v>
      </c>
      <c r="Q31" s="1343"/>
      <c r="R31" s="1344">
        <f>SUM(R19:R30)</f>
        <v>0</v>
      </c>
      <c r="S31" s="1340"/>
      <c r="T31" s="1344">
        <f>SUM(T19:T30)</f>
        <v>0</v>
      </c>
      <c r="U31" s="1344">
        <f>SUM(U19:U30)</f>
        <v>0</v>
      </c>
      <c r="V31" s="1344">
        <f>SUM(V19:V30)</f>
        <v>0</v>
      </c>
      <c r="W31" s="1344">
        <f>SUM(W19:W30)</f>
        <v>0</v>
      </c>
      <c r="X31" s="1343"/>
      <c r="Y31" s="1343"/>
      <c r="Z31" s="1379"/>
      <c r="AA31" s="1379"/>
      <c r="AB31" s="1379"/>
      <c r="AC31" s="1343"/>
      <c r="AD31" s="1343"/>
      <c r="AE31" s="1378"/>
    </row>
    <row r="32" spans="1:31" ht="16.5" customHeight="1">
      <c r="A32" s="1261">
        <v>27</v>
      </c>
      <c r="B32" s="2962"/>
      <c r="C32" s="2964" t="s">
        <v>4259</v>
      </c>
      <c r="D32" s="2991" t="s">
        <v>4256</v>
      </c>
      <c r="E32" s="1345"/>
      <c r="F32" s="1327"/>
      <c r="G32" s="1327"/>
      <c r="H32" s="1327"/>
      <c r="I32" s="1327"/>
      <c r="J32" s="1328"/>
      <c r="K32" s="1328"/>
      <c r="L32" s="1328"/>
      <c r="M32" s="1328"/>
      <c r="N32" s="1328"/>
      <c r="O32" s="1328"/>
      <c r="P32" s="1329"/>
      <c r="Q32" s="1328"/>
      <c r="R32" s="1328"/>
      <c r="S32" s="1328"/>
      <c r="T32" s="1328"/>
      <c r="U32" s="1329"/>
      <c r="V32" s="1328"/>
      <c r="W32" s="1329"/>
      <c r="X32" s="1328"/>
      <c r="Y32" s="1328"/>
      <c r="Z32" s="1377"/>
      <c r="AA32" s="1377"/>
      <c r="AB32" s="1377"/>
      <c r="AC32" s="1330"/>
      <c r="AD32" s="1330"/>
      <c r="AE32" s="1346"/>
    </row>
    <row r="33" spans="1:31">
      <c r="A33" s="1261">
        <v>28</v>
      </c>
      <c r="B33" s="2962"/>
      <c r="C33" s="2965"/>
      <c r="D33" s="2994"/>
      <c r="E33" s="1332"/>
      <c r="F33" s="1333"/>
      <c r="G33" s="1333"/>
      <c r="H33" s="1333"/>
      <c r="I33" s="1333"/>
      <c r="J33" s="1334"/>
      <c r="K33" s="1334"/>
      <c r="L33" s="1334"/>
      <c r="M33" s="1334"/>
      <c r="N33" s="1334"/>
      <c r="O33" s="1334"/>
      <c r="P33" s="1335"/>
      <c r="Q33" s="1334"/>
      <c r="R33" s="1334"/>
      <c r="S33" s="1334"/>
      <c r="T33" s="1334"/>
      <c r="U33" s="1335"/>
      <c r="V33" s="1334"/>
      <c r="W33" s="1335"/>
      <c r="X33" s="1334"/>
      <c r="Y33" s="1334"/>
      <c r="Z33" s="1377"/>
      <c r="AA33" s="1377"/>
      <c r="AB33" s="1377"/>
      <c r="AC33" s="1336"/>
      <c r="AD33" s="1336"/>
      <c r="AE33" s="1337"/>
    </row>
    <row r="34" spans="1:31">
      <c r="A34" s="1261">
        <v>29</v>
      </c>
      <c r="B34" s="2962"/>
      <c r="C34" s="2965"/>
      <c r="D34" s="2994"/>
      <c r="E34" s="1332"/>
      <c r="F34" s="1333"/>
      <c r="G34" s="1333"/>
      <c r="H34" s="1333"/>
      <c r="I34" s="1333"/>
      <c r="J34" s="1334"/>
      <c r="K34" s="1334"/>
      <c r="L34" s="1334"/>
      <c r="M34" s="1334"/>
      <c r="N34" s="1334"/>
      <c r="O34" s="1334"/>
      <c r="P34" s="1335"/>
      <c r="Q34" s="1334"/>
      <c r="R34" s="1334"/>
      <c r="S34" s="1334"/>
      <c r="T34" s="1334"/>
      <c r="U34" s="1335"/>
      <c r="V34" s="1334"/>
      <c r="W34" s="1335"/>
      <c r="X34" s="1334"/>
      <c r="Y34" s="1334"/>
      <c r="Z34" s="1377"/>
      <c r="AA34" s="1377"/>
      <c r="AB34" s="1377"/>
      <c r="AC34" s="1336"/>
      <c r="AD34" s="1336"/>
      <c r="AE34" s="1337"/>
    </row>
    <row r="35" spans="1:31">
      <c r="A35" s="1261">
        <v>30</v>
      </c>
      <c r="B35" s="2962"/>
      <c r="C35" s="2965"/>
      <c r="D35" s="2994"/>
      <c r="E35" s="1332"/>
      <c r="F35" s="1333"/>
      <c r="G35" s="1333"/>
      <c r="H35" s="1333"/>
      <c r="I35" s="1333"/>
      <c r="J35" s="1334"/>
      <c r="K35" s="1334"/>
      <c r="L35" s="1334"/>
      <c r="M35" s="1334"/>
      <c r="N35" s="1334"/>
      <c r="O35" s="1334"/>
      <c r="P35" s="1335"/>
      <c r="Q35" s="1334"/>
      <c r="R35" s="1334"/>
      <c r="S35" s="1334"/>
      <c r="T35" s="1334"/>
      <c r="U35" s="1335"/>
      <c r="V35" s="1334"/>
      <c r="W35" s="1335"/>
      <c r="X35" s="1334"/>
      <c r="Y35" s="1334"/>
      <c r="Z35" s="1377"/>
      <c r="AA35" s="1377"/>
      <c r="AB35" s="1377"/>
      <c r="AC35" s="1336"/>
      <c r="AD35" s="1336"/>
      <c r="AE35" s="1337"/>
    </row>
    <row r="36" spans="1:31">
      <c r="A36" s="1261">
        <v>31</v>
      </c>
      <c r="B36" s="2962"/>
      <c r="C36" s="2965"/>
      <c r="D36" s="2994"/>
      <c r="E36" s="1332"/>
      <c r="F36" s="1333"/>
      <c r="G36" s="1333"/>
      <c r="H36" s="1333"/>
      <c r="I36" s="1333"/>
      <c r="J36" s="1334"/>
      <c r="K36" s="1334"/>
      <c r="L36" s="1334"/>
      <c r="M36" s="1334"/>
      <c r="N36" s="1334"/>
      <c r="O36" s="1334"/>
      <c r="P36" s="1335"/>
      <c r="Q36" s="1334"/>
      <c r="R36" s="1334"/>
      <c r="S36" s="1334"/>
      <c r="T36" s="1334"/>
      <c r="U36" s="1335"/>
      <c r="V36" s="1334"/>
      <c r="W36" s="1335"/>
      <c r="X36" s="1334"/>
      <c r="Y36" s="1334"/>
      <c r="Z36" s="1377"/>
      <c r="AA36" s="1377"/>
      <c r="AB36" s="1377"/>
      <c r="AC36" s="1336"/>
      <c r="AD36" s="1336"/>
      <c r="AE36" s="1337"/>
    </row>
    <row r="37" spans="1:31">
      <c r="A37" s="1261">
        <v>32</v>
      </c>
      <c r="B37" s="2962"/>
      <c r="C37" s="2965"/>
      <c r="D37" s="2994"/>
      <c r="E37" s="1332"/>
      <c r="F37" s="1333"/>
      <c r="G37" s="1333"/>
      <c r="H37" s="1333"/>
      <c r="I37" s="1333"/>
      <c r="J37" s="1334"/>
      <c r="K37" s="1334"/>
      <c r="L37" s="1334"/>
      <c r="M37" s="1334"/>
      <c r="N37" s="1334"/>
      <c r="O37" s="1334"/>
      <c r="P37" s="1335"/>
      <c r="Q37" s="1334"/>
      <c r="R37" s="1334"/>
      <c r="S37" s="1334"/>
      <c r="T37" s="1334"/>
      <c r="U37" s="1335"/>
      <c r="V37" s="1334"/>
      <c r="W37" s="1335"/>
      <c r="X37" s="1334"/>
      <c r="Y37" s="1334"/>
      <c r="Z37" s="1377"/>
      <c r="AA37" s="1377"/>
      <c r="AB37" s="1377"/>
      <c r="AC37" s="1336"/>
      <c r="AD37" s="1336"/>
      <c r="AE37" s="1337"/>
    </row>
    <row r="38" spans="1:31">
      <c r="A38" s="1261">
        <v>33</v>
      </c>
      <c r="B38" s="2962"/>
      <c r="C38" s="2965"/>
      <c r="D38" s="2994"/>
      <c r="E38" s="1332"/>
      <c r="F38" s="1333"/>
      <c r="G38" s="1333"/>
      <c r="H38" s="1333"/>
      <c r="I38" s="1333"/>
      <c r="J38" s="1334"/>
      <c r="K38" s="1334"/>
      <c r="L38" s="1334"/>
      <c r="M38" s="1334"/>
      <c r="N38" s="1334"/>
      <c r="O38" s="1334"/>
      <c r="P38" s="1335"/>
      <c r="Q38" s="1334"/>
      <c r="R38" s="1334"/>
      <c r="S38" s="1334"/>
      <c r="T38" s="1334"/>
      <c r="U38" s="1335"/>
      <c r="V38" s="1334"/>
      <c r="W38" s="1335"/>
      <c r="X38" s="1334"/>
      <c r="Y38" s="1334"/>
      <c r="Z38" s="1377"/>
      <c r="AA38" s="1377"/>
      <c r="AB38" s="1377"/>
      <c r="AC38" s="1336"/>
      <c r="AD38" s="1336"/>
      <c r="AE38" s="1337"/>
    </row>
    <row r="39" spans="1:31">
      <c r="A39" s="1261">
        <v>34</v>
      </c>
      <c r="B39" s="2962"/>
      <c r="C39" s="2965"/>
      <c r="D39" s="2994"/>
      <c r="E39" s="1332"/>
      <c r="F39" s="1333"/>
      <c r="G39" s="1333"/>
      <c r="H39" s="1333"/>
      <c r="I39" s="1333"/>
      <c r="J39" s="1334"/>
      <c r="K39" s="1334"/>
      <c r="L39" s="1334"/>
      <c r="M39" s="1334"/>
      <c r="N39" s="1334"/>
      <c r="O39" s="1334"/>
      <c r="P39" s="1335"/>
      <c r="Q39" s="1334"/>
      <c r="R39" s="1334"/>
      <c r="S39" s="1334"/>
      <c r="T39" s="1334"/>
      <c r="U39" s="1335"/>
      <c r="V39" s="1334"/>
      <c r="W39" s="1335"/>
      <c r="X39" s="1334"/>
      <c r="Y39" s="1334"/>
      <c r="Z39" s="1377"/>
      <c r="AA39" s="1377"/>
      <c r="AB39" s="1377"/>
      <c r="AC39" s="1336"/>
      <c r="AD39" s="1336"/>
      <c r="AE39" s="1337"/>
    </row>
    <row r="40" spans="1:31">
      <c r="A40" s="1261">
        <v>35</v>
      </c>
      <c r="B40" s="2962"/>
      <c r="C40" s="2965"/>
      <c r="D40" s="2994"/>
      <c r="E40" s="1332"/>
      <c r="F40" s="1333"/>
      <c r="G40" s="1333"/>
      <c r="H40" s="1333"/>
      <c r="I40" s="1333"/>
      <c r="J40" s="1334"/>
      <c r="K40" s="1334"/>
      <c r="L40" s="1334"/>
      <c r="M40" s="1334"/>
      <c r="N40" s="1334"/>
      <c r="O40" s="1334"/>
      <c r="P40" s="1335"/>
      <c r="Q40" s="1334"/>
      <c r="R40" s="1334"/>
      <c r="S40" s="1334"/>
      <c r="T40" s="1334"/>
      <c r="U40" s="1335"/>
      <c r="V40" s="1334"/>
      <c r="W40" s="1335"/>
      <c r="X40" s="1334"/>
      <c r="Y40" s="1334"/>
      <c r="Z40" s="1377"/>
      <c r="AA40" s="1377"/>
      <c r="AB40" s="1377"/>
      <c r="AC40" s="1336"/>
      <c r="AD40" s="1336"/>
      <c r="AE40" s="1337"/>
    </row>
    <row r="41" spans="1:31">
      <c r="A41" s="1261">
        <v>36</v>
      </c>
      <c r="B41" s="2962"/>
      <c r="C41" s="2965"/>
      <c r="D41" s="2994"/>
      <c r="E41" s="1332"/>
      <c r="F41" s="1333"/>
      <c r="G41" s="1333"/>
      <c r="H41" s="1333"/>
      <c r="I41" s="1333"/>
      <c r="J41" s="1334"/>
      <c r="K41" s="1334"/>
      <c r="L41" s="1334"/>
      <c r="M41" s="1334"/>
      <c r="N41" s="1334"/>
      <c r="O41" s="1334"/>
      <c r="P41" s="1335"/>
      <c r="Q41" s="1334"/>
      <c r="R41" s="1334"/>
      <c r="S41" s="1334"/>
      <c r="T41" s="1334"/>
      <c r="U41" s="1335"/>
      <c r="V41" s="1334"/>
      <c r="W41" s="1335"/>
      <c r="X41" s="1334"/>
      <c r="Y41" s="1334"/>
      <c r="Z41" s="1377"/>
      <c r="AA41" s="1377"/>
      <c r="AB41" s="1377"/>
      <c r="AC41" s="1336"/>
      <c r="AD41" s="1336"/>
      <c r="AE41" s="1337"/>
    </row>
    <row r="42" spans="1:31">
      <c r="A42" s="1261">
        <v>37</v>
      </c>
      <c r="B42" s="2962"/>
      <c r="C42" s="2965"/>
      <c r="D42" s="1279" t="s">
        <v>3514</v>
      </c>
      <c r="E42" s="1340"/>
      <c r="F42" s="1340"/>
      <c r="G42" s="1340"/>
      <c r="H42" s="1340"/>
      <c r="I42" s="1340"/>
      <c r="J42" s="1340"/>
      <c r="K42" s="1340"/>
      <c r="L42" s="1340"/>
      <c r="M42" s="1334">
        <f>SUM(M32:M41)</f>
        <v>0</v>
      </c>
      <c r="N42" s="1334">
        <f>SUM(N32:N41)</f>
        <v>0</v>
      </c>
      <c r="O42" s="1334">
        <f>SUM(O32:O41)</f>
        <v>0</v>
      </c>
      <c r="P42" s="1334">
        <f>SUM(P32:P41)</f>
        <v>0</v>
      </c>
      <c r="Q42" s="1340"/>
      <c r="R42" s="1334">
        <f>SUM(R32:R41)</f>
        <v>0</v>
      </c>
      <c r="S42" s="1340"/>
      <c r="T42" s="1334">
        <f>SUM(T32:T41)</f>
        <v>0</v>
      </c>
      <c r="U42" s="1334">
        <f>SUM(U32:U41)</f>
        <v>0</v>
      </c>
      <c r="V42" s="1334">
        <f>SUM(V32:V41)</f>
        <v>0</v>
      </c>
      <c r="W42" s="1334">
        <f>SUM(W32:W41)</f>
        <v>0</v>
      </c>
      <c r="X42" s="1340"/>
      <c r="Y42" s="1340"/>
      <c r="Z42" s="1377"/>
      <c r="AA42" s="1377"/>
      <c r="AB42" s="1377"/>
      <c r="AC42" s="1340"/>
      <c r="AD42" s="1340"/>
      <c r="AE42" s="1378"/>
    </row>
    <row r="43" spans="1:31" ht="13.9" customHeight="1">
      <c r="A43" s="1261">
        <v>38</v>
      </c>
      <c r="B43" s="2962"/>
      <c r="C43" s="2965"/>
      <c r="D43" s="2994" t="s">
        <v>4258</v>
      </c>
      <c r="E43" s="1332"/>
      <c r="F43" s="1333"/>
      <c r="G43" s="1333"/>
      <c r="H43" s="1333"/>
      <c r="I43" s="1333"/>
      <c r="J43" s="1334"/>
      <c r="K43" s="1334"/>
      <c r="L43" s="1334"/>
      <c r="M43" s="1334"/>
      <c r="N43" s="1334"/>
      <c r="O43" s="1334"/>
      <c r="P43" s="1335"/>
      <c r="Q43" s="1334"/>
      <c r="R43" s="1334"/>
      <c r="S43" s="1334"/>
      <c r="T43" s="1334"/>
      <c r="U43" s="1335"/>
      <c r="V43" s="1334"/>
      <c r="W43" s="1335"/>
      <c r="X43" s="1334"/>
      <c r="Y43" s="1334"/>
      <c r="Z43" s="1377"/>
      <c r="AA43" s="1377"/>
      <c r="AB43" s="1377"/>
      <c r="AC43" s="1336"/>
      <c r="AD43" s="1336"/>
      <c r="AE43" s="1337"/>
    </row>
    <row r="44" spans="1:31">
      <c r="A44" s="1261">
        <v>39</v>
      </c>
      <c r="B44" s="2962"/>
      <c r="C44" s="2965"/>
      <c r="D44" s="2994"/>
      <c r="E44" s="1332"/>
      <c r="F44" s="1333"/>
      <c r="G44" s="1333"/>
      <c r="H44" s="1333"/>
      <c r="I44" s="1333"/>
      <c r="J44" s="1334"/>
      <c r="K44" s="1334"/>
      <c r="L44" s="1334"/>
      <c r="M44" s="1334"/>
      <c r="N44" s="1334"/>
      <c r="O44" s="1334"/>
      <c r="P44" s="1335"/>
      <c r="Q44" s="1334"/>
      <c r="R44" s="1334"/>
      <c r="S44" s="1334"/>
      <c r="T44" s="1334"/>
      <c r="U44" s="1335"/>
      <c r="V44" s="1334"/>
      <c r="W44" s="1335"/>
      <c r="X44" s="1334"/>
      <c r="Y44" s="1334"/>
      <c r="Z44" s="1377"/>
      <c r="AA44" s="1377"/>
      <c r="AB44" s="1377"/>
      <c r="AC44" s="1336"/>
      <c r="AD44" s="1336"/>
      <c r="AE44" s="1337"/>
    </row>
    <row r="45" spans="1:31">
      <c r="A45" s="1261">
        <v>40</v>
      </c>
      <c r="B45" s="2962"/>
      <c r="C45" s="2965"/>
      <c r="D45" s="2994"/>
      <c r="E45" s="1332"/>
      <c r="F45" s="1333"/>
      <c r="G45" s="1333"/>
      <c r="H45" s="1333"/>
      <c r="I45" s="1333"/>
      <c r="J45" s="1334"/>
      <c r="K45" s="1334"/>
      <c r="L45" s="1334"/>
      <c r="M45" s="1334"/>
      <c r="N45" s="1334"/>
      <c r="O45" s="1334"/>
      <c r="P45" s="1335"/>
      <c r="Q45" s="1334"/>
      <c r="R45" s="1334"/>
      <c r="S45" s="1334"/>
      <c r="T45" s="1334"/>
      <c r="U45" s="1335"/>
      <c r="V45" s="1334"/>
      <c r="W45" s="1335"/>
      <c r="X45" s="1334"/>
      <c r="Y45" s="1334"/>
      <c r="Z45" s="1377"/>
      <c r="AA45" s="1377"/>
      <c r="AB45" s="1377"/>
      <c r="AC45" s="1336"/>
      <c r="AD45" s="1336"/>
      <c r="AE45" s="1337"/>
    </row>
    <row r="46" spans="1:31">
      <c r="A46" s="1261">
        <v>41</v>
      </c>
      <c r="B46" s="2962"/>
      <c r="C46" s="2965"/>
      <c r="D46" s="2994"/>
      <c r="E46" s="1332"/>
      <c r="F46" s="1333"/>
      <c r="G46" s="1333"/>
      <c r="H46" s="1333"/>
      <c r="I46" s="1333"/>
      <c r="J46" s="1334"/>
      <c r="K46" s="1334"/>
      <c r="L46" s="1334"/>
      <c r="M46" s="1334"/>
      <c r="N46" s="1334"/>
      <c r="O46" s="1334"/>
      <c r="P46" s="1335"/>
      <c r="Q46" s="1334"/>
      <c r="R46" s="1334"/>
      <c r="S46" s="1334"/>
      <c r="T46" s="1334"/>
      <c r="U46" s="1335"/>
      <c r="V46" s="1334"/>
      <c r="W46" s="1335"/>
      <c r="X46" s="1334"/>
      <c r="Y46" s="1334"/>
      <c r="Z46" s="1377"/>
      <c r="AA46" s="1377"/>
      <c r="AB46" s="1377"/>
      <c r="AC46" s="1336"/>
      <c r="AD46" s="1336"/>
      <c r="AE46" s="1337"/>
    </row>
    <row r="47" spans="1:31">
      <c r="A47" s="1261">
        <v>42</v>
      </c>
      <c r="B47" s="2962"/>
      <c r="C47" s="2965"/>
      <c r="D47" s="2994"/>
      <c r="E47" s="1332"/>
      <c r="F47" s="1333"/>
      <c r="G47" s="1333"/>
      <c r="H47" s="1333"/>
      <c r="I47" s="1333"/>
      <c r="J47" s="1334"/>
      <c r="K47" s="1334"/>
      <c r="L47" s="1334"/>
      <c r="M47" s="1334"/>
      <c r="N47" s="1334"/>
      <c r="O47" s="1334"/>
      <c r="P47" s="1335"/>
      <c r="Q47" s="1334"/>
      <c r="R47" s="1334"/>
      <c r="S47" s="1334"/>
      <c r="T47" s="1334"/>
      <c r="U47" s="1335"/>
      <c r="V47" s="1334"/>
      <c r="W47" s="1335"/>
      <c r="X47" s="1334"/>
      <c r="Y47" s="1334"/>
      <c r="Z47" s="1377"/>
      <c r="AA47" s="1377"/>
      <c r="AB47" s="1377"/>
      <c r="AC47" s="1336"/>
      <c r="AD47" s="1336"/>
      <c r="AE47" s="1337"/>
    </row>
    <row r="48" spans="1:31">
      <c r="A48" s="1261">
        <v>43</v>
      </c>
      <c r="B48" s="2962"/>
      <c r="C48" s="2965"/>
      <c r="D48" s="2994"/>
      <c r="E48" s="1332"/>
      <c r="F48" s="1333"/>
      <c r="G48" s="1333"/>
      <c r="H48" s="1333"/>
      <c r="I48" s="1333"/>
      <c r="J48" s="1334"/>
      <c r="K48" s="1334"/>
      <c r="L48" s="1334"/>
      <c r="M48" s="1334"/>
      <c r="N48" s="1334"/>
      <c r="O48" s="1334"/>
      <c r="P48" s="1335"/>
      <c r="Q48" s="1334"/>
      <c r="R48" s="1334"/>
      <c r="S48" s="1334"/>
      <c r="T48" s="1334"/>
      <c r="U48" s="1335"/>
      <c r="V48" s="1334"/>
      <c r="W48" s="1335"/>
      <c r="X48" s="1334"/>
      <c r="Y48" s="1334"/>
      <c r="Z48" s="1377"/>
      <c r="AA48" s="1377"/>
      <c r="AB48" s="1377"/>
      <c r="AC48" s="1336"/>
      <c r="AD48" s="1336"/>
      <c r="AE48" s="1337"/>
    </row>
    <row r="49" spans="1:31">
      <c r="A49" s="1261">
        <v>44</v>
      </c>
      <c r="B49" s="2962"/>
      <c r="C49" s="2965"/>
      <c r="D49" s="2994"/>
      <c r="E49" s="1332"/>
      <c r="F49" s="1333"/>
      <c r="G49" s="1333"/>
      <c r="H49" s="1333"/>
      <c r="I49" s="1333"/>
      <c r="J49" s="1334"/>
      <c r="K49" s="1334"/>
      <c r="L49" s="1334"/>
      <c r="M49" s="1334"/>
      <c r="N49" s="1334"/>
      <c r="O49" s="1334"/>
      <c r="P49" s="1335"/>
      <c r="Q49" s="1334"/>
      <c r="R49" s="1334"/>
      <c r="S49" s="1334"/>
      <c r="T49" s="1334"/>
      <c r="U49" s="1335"/>
      <c r="V49" s="1334"/>
      <c r="W49" s="1335"/>
      <c r="X49" s="1334"/>
      <c r="Y49" s="1334"/>
      <c r="Z49" s="1377"/>
      <c r="AA49" s="1377"/>
      <c r="AB49" s="1377"/>
      <c r="AC49" s="1336"/>
      <c r="AD49" s="1336"/>
      <c r="AE49" s="1337"/>
    </row>
    <row r="50" spans="1:31">
      <c r="A50" s="1261">
        <v>45</v>
      </c>
      <c r="B50" s="2962"/>
      <c r="C50" s="2965"/>
      <c r="D50" s="2994"/>
      <c r="E50" s="1332"/>
      <c r="F50" s="1333"/>
      <c r="G50" s="1333"/>
      <c r="H50" s="1333"/>
      <c r="I50" s="1333"/>
      <c r="J50" s="1334"/>
      <c r="K50" s="1334"/>
      <c r="L50" s="1334"/>
      <c r="M50" s="1334"/>
      <c r="N50" s="1334"/>
      <c r="O50" s="1334"/>
      <c r="P50" s="1335"/>
      <c r="Q50" s="1334"/>
      <c r="R50" s="1334"/>
      <c r="S50" s="1334"/>
      <c r="T50" s="1334"/>
      <c r="U50" s="1335"/>
      <c r="V50" s="1334"/>
      <c r="W50" s="1335"/>
      <c r="X50" s="1334"/>
      <c r="Y50" s="1334"/>
      <c r="Z50" s="1377"/>
      <c r="AA50" s="1377"/>
      <c r="AB50" s="1377"/>
      <c r="AC50" s="1336"/>
      <c r="AD50" s="1336"/>
      <c r="AE50" s="1337"/>
    </row>
    <row r="51" spans="1:31">
      <c r="A51" s="1261">
        <v>46</v>
      </c>
      <c r="B51" s="2962"/>
      <c r="C51" s="2965"/>
      <c r="D51" s="2994"/>
      <c r="E51" s="1332"/>
      <c r="F51" s="1333"/>
      <c r="G51" s="1333"/>
      <c r="H51" s="1333"/>
      <c r="I51" s="1333"/>
      <c r="J51" s="1334"/>
      <c r="K51" s="1334"/>
      <c r="L51" s="1334"/>
      <c r="M51" s="1334"/>
      <c r="N51" s="1334"/>
      <c r="O51" s="1334"/>
      <c r="P51" s="1335"/>
      <c r="Q51" s="1334"/>
      <c r="R51" s="1334"/>
      <c r="S51" s="1334"/>
      <c r="T51" s="1334"/>
      <c r="U51" s="1335"/>
      <c r="V51" s="1334"/>
      <c r="W51" s="1335"/>
      <c r="X51" s="1334"/>
      <c r="Y51" s="1334"/>
      <c r="Z51" s="1377"/>
      <c r="AA51" s="1377"/>
      <c r="AB51" s="1377"/>
      <c r="AC51" s="1336"/>
      <c r="AD51" s="1336"/>
      <c r="AE51" s="1337"/>
    </row>
    <row r="52" spans="1:31">
      <c r="A52" s="1261">
        <v>47</v>
      </c>
      <c r="B52" s="2962"/>
      <c r="C52" s="2965"/>
      <c r="D52" s="2994"/>
      <c r="E52" s="1332"/>
      <c r="F52" s="1333"/>
      <c r="G52" s="1333"/>
      <c r="H52" s="1333"/>
      <c r="I52" s="1333"/>
      <c r="J52" s="1334"/>
      <c r="K52" s="1334"/>
      <c r="L52" s="1334"/>
      <c r="M52" s="1334"/>
      <c r="N52" s="1334"/>
      <c r="O52" s="1334"/>
      <c r="P52" s="1335"/>
      <c r="Q52" s="1334"/>
      <c r="R52" s="1334"/>
      <c r="S52" s="1334"/>
      <c r="T52" s="1334"/>
      <c r="U52" s="1335"/>
      <c r="V52" s="1334"/>
      <c r="W52" s="1335"/>
      <c r="X52" s="1334"/>
      <c r="Y52" s="1334"/>
      <c r="Z52" s="1377"/>
      <c r="AA52" s="1377"/>
      <c r="AB52" s="1377"/>
      <c r="AC52" s="1336"/>
      <c r="AD52" s="1336"/>
      <c r="AE52" s="1337"/>
    </row>
    <row r="53" spans="1:31" ht="17.25" thickBot="1">
      <c r="A53" s="1261">
        <v>48</v>
      </c>
      <c r="B53" s="2962"/>
      <c r="C53" s="2966"/>
      <c r="D53" s="1273" t="s">
        <v>3514</v>
      </c>
      <c r="E53" s="1343"/>
      <c r="F53" s="1343"/>
      <c r="G53" s="1343"/>
      <c r="H53" s="1343"/>
      <c r="I53" s="1343"/>
      <c r="J53" s="1343"/>
      <c r="K53" s="1343"/>
      <c r="L53" s="1343"/>
      <c r="M53" s="1344">
        <f>SUM(M43:M52)</f>
        <v>0</v>
      </c>
      <c r="N53" s="1344">
        <f>SUM(N43:N52)</f>
        <v>0</v>
      </c>
      <c r="O53" s="1344">
        <f>SUM(O43:O52)</f>
        <v>0</v>
      </c>
      <c r="P53" s="1344">
        <f>SUM(P43:P52)</f>
        <v>0</v>
      </c>
      <c r="Q53" s="1343"/>
      <c r="R53" s="1344">
        <f>SUM(R43:R52)</f>
        <v>0</v>
      </c>
      <c r="S53" s="1340"/>
      <c r="T53" s="1344">
        <f>SUM(T43:T52)</f>
        <v>0</v>
      </c>
      <c r="U53" s="1344">
        <f>SUM(U43:U52)</f>
        <v>0</v>
      </c>
      <c r="V53" s="1344">
        <f>SUM(V43:V52)</f>
        <v>0</v>
      </c>
      <c r="W53" s="1344">
        <f>SUM(W43:W52)</f>
        <v>0</v>
      </c>
      <c r="X53" s="1343"/>
      <c r="Y53" s="1343"/>
      <c r="Z53" s="1379"/>
      <c r="AA53" s="1379"/>
      <c r="AB53" s="1379"/>
      <c r="AC53" s="1343"/>
      <c r="AD53" s="1343"/>
      <c r="AE53" s="1378"/>
    </row>
    <row r="54" spans="1:31" ht="17.649999999999999" customHeight="1">
      <c r="A54" s="1380">
        <v>49</v>
      </c>
      <c r="B54" s="2962"/>
      <c r="C54" s="2979" t="s">
        <v>4299</v>
      </c>
      <c r="D54" s="2982" t="s">
        <v>4300</v>
      </c>
      <c r="E54" s="1381"/>
      <c r="F54" s="1382"/>
      <c r="G54" s="1382"/>
      <c r="H54" s="1382"/>
      <c r="I54" s="1382"/>
      <c r="J54" s="1383" t="s">
        <v>4301</v>
      </c>
      <c r="K54" s="1384"/>
      <c r="L54" s="1384"/>
      <c r="M54" s="1384"/>
      <c r="N54" s="1384"/>
      <c r="O54" s="1384"/>
      <c r="P54" s="1385"/>
      <c r="Q54" s="1257" t="s">
        <v>4302</v>
      </c>
      <c r="R54" s="1384"/>
      <c r="S54" s="1384"/>
      <c r="T54" s="1384"/>
      <c r="U54" s="1385"/>
      <c r="V54" s="1384"/>
      <c r="W54" s="1385"/>
      <c r="X54" s="1257" t="s">
        <v>4303</v>
      </c>
      <c r="Y54" s="1384"/>
      <c r="Z54" s="1384"/>
      <c r="AA54" s="1384"/>
      <c r="AB54" s="1384"/>
      <c r="AC54" s="1386"/>
      <c r="AD54" s="1386"/>
      <c r="AE54" s="1387"/>
    </row>
    <row r="55" spans="1:31">
      <c r="A55" s="1380">
        <v>50</v>
      </c>
      <c r="B55" s="2962"/>
      <c r="C55" s="2980"/>
      <c r="D55" s="2983"/>
      <c r="E55" s="1388"/>
      <c r="F55" s="1389"/>
      <c r="G55" s="1389"/>
      <c r="H55" s="1389"/>
      <c r="I55" s="1389"/>
      <c r="J55" s="1390" t="s">
        <v>4304</v>
      </c>
      <c r="K55" s="1391"/>
      <c r="L55" s="1391"/>
      <c r="M55" s="1391"/>
      <c r="N55" s="1391"/>
      <c r="O55" s="1391"/>
      <c r="P55" s="1392"/>
      <c r="Q55" s="1264" t="s">
        <v>4302</v>
      </c>
      <c r="R55" s="1391"/>
      <c r="S55" s="1391"/>
      <c r="T55" s="1391"/>
      <c r="U55" s="1392"/>
      <c r="V55" s="1391"/>
      <c r="W55" s="1392"/>
      <c r="X55" s="1264" t="s">
        <v>4303</v>
      </c>
      <c r="Y55" s="1391"/>
      <c r="Z55" s="1391"/>
      <c r="AA55" s="1391"/>
      <c r="AB55" s="1391"/>
      <c r="AC55" s="1393"/>
      <c r="AD55" s="1393"/>
      <c r="AE55" s="1394"/>
    </row>
    <row r="56" spans="1:31">
      <c r="A56" s="1380">
        <v>51</v>
      </c>
      <c r="B56" s="2962"/>
      <c r="C56" s="2980"/>
      <c r="D56" s="2983"/>
      <c r="E56" s="1388"/>
      <c r="F56" s="1389"/>
      <c r="G56" s="1389"/>
      <c r="H56" s="1389"/>
      <c r="I56" s="1389"/>
      <c r="J56" s="1390" t="s">
        <v>4304</v>
      </c>
      <c r="K56" s="1391"/>
      <c r="L56" s="1391"/>
      <c r="M56" s="1391"/>
      <c r="N56" s="1391"/>
      <c r="O56" s="1391"/>
      <c r="P56" s="1392"/>
      <c r="Q56" s="1264" t="s">
        <v>4302</v>
      </c>
      <c r="R56" s="1391"/>
      <c r="S56" s="1391"/>
      <c r="T56" s="1391"/>
      <c r="U56" s="1392"/>
      <c r="V56" s="1391"/>
      <c r="W56" s="1392"/>
      <c r="X56" s="1264" t="s">
        <v>4303</v>
      </c>
      <c r="Y56" s="1391"/>
      <c r="Z56" s="1391"/>
      <c r="AA56" s="1391"/>
      <c r="AB56" s="1391"/>
      <c r="AC56" s="1393"/>
      <c r="AD56" s="1393"/>
      <c r="AE56" s="1394"/>
    </row>
    <row r="57" spans="1:31">
      <c r="A57" s="1380">
        <v>52</v>
      </c>
      <c r="B57" s="2962"/>
      <c r="C57" s="2980"/>
      <c r="D57" s="2983"/>
      <c r="E57" s="1388"/>
      <c r="F57" s="1389"/>
      <c r="G57" s="1389"/>
      <c r="H57" s="1389"/>
      <c r="I57" s="1389"/>
      <c r="J57" s="1390" t="s">
        <v>4304</v>
      </c>
      <c r="K57" s="1391"/>
      <c r="L57" s="1391"/>
      <c r="M57" s="1391"/>
      <c r="N57" s="1391"/>
      <c r="O57" s="1391"/>
      <c r="P57" s="1392"/>
      <c r="Q57" s="1264" t="s">
        <v>4302</v>
      </c>
      <c r="R57" s="1391"/>
      <c r="S57" s="1391"/>
      <c r="T57" s="1391"/>
      <c r="U57" s="1392"/>
      <c r="V57" s="1391"/>
      <c r="W57" s="1392"/>
      <c r="X57" s="1264" t="s">
        <v>4303</v>
      </c>
      <c r="Y57" s="1391"/>
      <c r="Z57" s="1391"/>
      <c r="AA57" s="1391"/>
      <c r="AB57" s="1391"/>
      <c r="AC57" s="1393"/>
      <c r="AD57" s="1393"/>
      <c r="AE57" s="1394"/>
    </row>
    <row r="58" spans="1:31">
      <c r="A58" s="1380">
        <v>53</v>
      </c>
      <c r="B58" s="2962"/>
      <c r="C58" s="2980"/>
      <c r="D58" s="2983"/>
      <c r="E58" s="1388"/>
      <c r="F58" s="1389"/>
      <c r="G58" s="1389"/>
      <c r="H58" s="1389"/>
      <c r="I58" s="1389"/>
      <c r="J58" s="1390" t="s">
        <v>4304</v>
      </c>
      <c r="K58" s="1391"/>
      <c r="L58" s="1391"/>
      <c r="M58" s="1391"/>
      <c r="N58" s="1391"/>
      <c r="O58" s="1391"/>
      <c r="P58" s="1392"/>
      <c r="Q58" s="1264" t="s">
        <v>4302</v>
      </c>
      <c r="R58" s="1391"/>
      <c r="S58" s="1391"/>
      <c r="T58" s="1391"/>
      <c r="U58" s="1392"/>
      <c r="V58" s="1391"/>
      <c r="W58" s="1392"/>
      <c r="X58" s="1264" t="s">
        <v>4303</v>
      </c>
      <c r="Y58" s="1391"/>
      <c r="Z58" s="1391"/>
      <c r="AA58" s="1391"/>
      <c r="AB58" s="1391"/>
      <c r="AC58" s="1393"/>
      <c r="AD58" s="1393"/>
      <c r="AE58" s="1394"/>
    </row>
    <row r="59" spans="1:31">
      <c r="A59" s="1380">
        <v>54</v>
      </c>
      <c r="B59" s="2962"/>
      <c r="C59" s="2980"/>
      <c r="D59" s="2983"/>
      <c r="E59" s="1388"/>
      <c r="F59" s="1389"/>
      <c r="G59" s="1389"/>
      <c r="H59" s="1389"/>
      <c r="I59" s="1389"/>
      <c r="J59" s="1390" t="s">
        <v>4304</v>
      </c>
      <c r="K59" s="1391"/>
      <c r="L59" s="1391"/>
      <c r="M59" s="1391"/>
      <c r="N59" s="1391"/>
      <c r="O59" s="1391"/>
      <c r="P59" s="1392"/>
      <c r="Q59" s="1264" t="s">
        <v>4302</v>
      </c>
      <c r="R59" s="1391"/>
      <c r="S59" s="1391"/>
      <c r="T59" s="1391"/>
      <c r="U59" s="1392"/>
      <c r="V59" s="1391"/>
      <c r="W59" s="1392"/>
      <c r="X59" s="1264" t="s">
        <v>4303</v>
      </c>
      <c r="Y59" s="1391"/>
      <c r="Z59" s="1391"/>
      <c r="AA59" s="1391"/>
      <c r="AB59" s="1391"/>
      <c r="AC59" s="1393"/>
      <c r="AD59" s="1393"/>
      <c r="AE59" s="1394"/>
    </row>
    <row r="60" spans="1:31">
      <c r="A60" s="1380">
        <v>55</v>
      </c>
      <c r="B60" s="2962"/>
      <c r="C60" s="2980"/>
      <c r="D60" s="2983"/>
      <c r="E60" s="1388"/>
      <c r="F60" s="1389"/>
      <c r="G60" s="1389"/>
      <c r="H60" s="1389"/>
      <c r="I60" s="1389"/>
      <c r="J60" s="1390" t="s">
        <v>4304</v>
      </c>
      <c r="K60" s="1391"/>
      <c r="L60" s="1391"/>
      <c r="M60" s="1391"/>
      <c r="N60" s="1391"/>
      <c r="O60" s="1391"/>
      <c r="P60" s="1392"/>
      <c r="Q60" s="1264" t="s">
        <v>4302</v>
      </c>
      <c r="R60" s="1391"/>
      <c r="S60" s="1391"/>
      <c r="T60" s="1391"/>
      <c r="U60" s="1392"/>
      <c r="V60" s="1391"/>
      <c r="W60" s="1392"/>
      <c r="X60" s="1264" t="s">
        <v>4303</v>
      </c>
      <c r="Y60" s="1391"/>
      <c r="Z60" s="1391"/>
      <c r="AA60" s="1391"/>
      <c r="AB60" s="1391"/>
      <c r="AC60" s="1393"/>
      <c r="AD60" s="1393"/>
      <c r="AE60" s="1394"/>
    </row>
    <row r="61" spans="1:31">
      <c r="A61" s="1380">
        <v>56</v>
      </c>
      <c r="B61" s="2962"/>
      <c r="C61" s="2980"/>
      <c r="D61" s="2983"/>
      <c r="E61" s="1388"/>
      <c r="F61" s="1389"/>
      <c r="G61" s="1389"/>
      <c r="H61" s="1389"/>
      <c r="I61" s="1389"/>
      <c r="J61" s="1390" t="s">
        <v>4304</v>
      </c>
      <c r="K61" s="1391"/>
      <c r="L61" s="1391"/>
      <c r="M61" s="1391"/>
      <c r="N61" s="1391"/>
      <c r="O61" s="1391"/>
      <c r="P61" s="1392"/>
      <c r="Q61" s="1264" t="s">
        <v>4302</v>
      </c>
      <c r="R61" s="1391"/>
      <c r="S61" s="1391"/>
      <c r="T61" s="1391"/>
      <c r="U61" s="1392"/>
      <c r="V61" s="1391"/>
      <c r="W61" s="1392"/>
      <c r="X61" s="1264" t="s">
        <v>4303</v>
      </c>
      <c r="Y61" s="1391"/>
      <c r="Z61" s="1391"/>
      <c r="AA61" s="1391"/>
      <c r="AB61" s="1391"/>
      <c r="AC61" s="1393"/>
      <c r="AD61" s="1393"/>
      <c r="AE61" s="1394"/>
    </row>
    <row r="62" spans="1:31">
      <c r="A62" s="1380">
        <v>57</v>
      </c>
      <c r="B62" s="2962"/>
      <c r="C62" s="2980"/>
      <c r="D62" s="2983"/>
      <c r="E62" s="1388"/>
      <c r="F62" s="1389"/>
      <c r="G62" s="1389"/>
      <c r="H62" s="1389"/>
      <c r="I62" s="1389"/>
      <c r="J62" s="1390" t="s">
        <v>4304</v>
      </c>
      <c r="K62" s="1391"/>
      <c r="L62" s="1391"/>
      <c r="M62" s="1391"/>
      <c r="N62" s="1391"/>
      <c r="O62" s="1391"/>
      <c r="P62" s="1392"/>
      <c r="Q62" s="1264" t="s">
        <v>4302</v>
      </c>
      <c r="R62" s="1391"/>
      <c r="S62" s="1391"/>
      <c r="T62" s="1391"/>
      <c r="U62" s="1392"/>
      <c r="V62" s="1391"/>
      <c r="W62" s="1392"/>
      <c r="X62" s="1264" t="s">
        <v>4303</v>
      </c>
      <c r="Y62" s="1391"/>
      <c r="Z62" s="1391"/>
      <c r="AA62" s="1391"/>
      <c r="AB62" s="1391"/>
      <c r="AC62" s="1393"/>
      <c r="AD62" s="1393"/>
      <c r="AE62" s="1394"/>
    </row>
    <row r="63" spans="1:31">
      <c r="A63" s="1380">
        <v>58</v>
      </c>
      <c r="B63" s="2962"/>
      <c r="C63" s="2980"/>
      <c r="D63" s="2984"/>
      <c r="E63" s="1388"/>
      <c r="F63" s="1389"/>
      <c r="G63" s="1389"/>
      <c r="H63" s="1389"/>
      <c r="I63" s="1389"/>
      <c r="J63" s="1390" t="s">
        <v>4304</v>
      </c>
      <c r="K63" s="1391"/>
      <c r="L63" s="1391"/>
      <c r="M63" s="1391"/>
      <c r="N63" s="1391"/>
      <c r="O63" s="1391"/>
      <c r="P63" s="1392"/>
      <c r="Q63" s="1264" t="s">
        <v>4302</v>
      </c>
      <c r="R63" s="1391"/>
      <c r="S63" s="1391"/>
      <c r="T63" s="1391"/>
      <c r="U63" s="1392"/>
      <c r="V63" s="1391"/>
      <c r="W63" s="1392"/>
      <c r="X63" s="1264" t="s">
        <v>4303</v>
      </c>
      <c r="Y63" s="1391"/>
      <c r="Z63" s="1391"/>
      <c r="AA63" s="1391"/>
      <c r="AB63" s="1391"/>
      <c r="AC63" s="1393"/>
      <c r="AD63" s="1393"/>
      <c r="AE63" s="1394"/>
    </row>
    <row r="64" spans="1:31">
      <c r="A64" s="1380">
        <v>59</v>
      </c>
      <c r="B64" s="2962"/>
      <c r="C64" s="2980"/>
      <c r="D64" s="1395" t="s">
        <v>4305</v>
      </c>
      <c r="E64" s="1396"/>
      <c r="F64" s="1396"/>
      <c r="G64" s="1396"/>
      <c r="H64" s="1396"/>
      <c r="I64" s="1396"/>
      <c r="J64" s="1396"/>
      <c r="K64" s="1396"/>
      <c r="L64" s="1396"/>
      <c r="M64" s="1391">
        <f>SUM(M54:M63)</f>
        <v>0</v>
      </c>
      <c r="N64" s="1391">
        <f>SUM(N54:N63)</f>
        <v>0</v>
      </c>
      <c r="O64" s="1391">
        <f>SUM(O54:O63)</f>
        <v>0</v>
      </c>
      <c r="P64" s="1391">
        <f>SUM(P54:P63)</f>
        <v>0</v>
      </c>
      <c r="Q64" s="1396"/>
      <c r="R64" s="1391">
        <f>SUM(R54:R63)</f>
        <v>0</v>
      </c>
      <c r="S64" s="1396"/>
      <c r="T64" s="1391">
        <f>SUM(T54:T63)</f>
        <v>0</v>
      </c>
      <c r="U64" s="1391">
        <f>SUM(U54:U63)</f>
        <v>0</v>
      </c>
      <c r="V64" s="1391">
        <f>SUM(V54:V63)</f>
        <v>0</v>
      </c>
      <c r="W64" s="1391">
        <f>SUM(W54:W63)</f>
        <v>0</v>
      </c>
      <c r="X64" s="1397"/>
      <c r="Y64" s="1396"/>
      <c r="Z64" s="1396"/>
      <c r="AA64" s="1396"/>
      <c r="AB64" s="1396"/>
      <c r="AC64" s="1396"/>
      <c r="AD64" s="1396"/>
      <c r="AE64" s="1398"/>
    </row>
    <row r="65" spans="1:31" ht="17.649999999999999" customHeight="1">
      <c r="A65" s="1380">
        <v>60</v>
      </c>
      <c r="B65" s="2962"/>
      <c r="C65" s="2980"/>
      <c r="D65" s="2983" t="s">
        <v>4306</v>
      </c>
      <c r="E65" s="1399"/>
      <c r="F65" s="1400"/>
      <c r="G65" s="1400"/>
      <c r="H65" s="1400"/>
      <c r="I65" s="1400"/>
      <c r="J65" s="1401" t="s">
        <v>4301</v>
      </c>
      <c r="K65" s="1402"/>
      <c r="L65" s="1402"/>
      <c r="M65" s="1402"/>
      <c r="N65" s="1402"/>
      <c r="O65" s="1402"/>
      <c r="P65" s="1403"/>
      <c r="Q65" s="1303" t="s">
        <v>4302</v>
      </c>
      <c r="R65" s="1402"/>
      <c r="S65" s="1402"/>
      <c r="T65" s="1402"/>
      <c r="U65" s="1403"/>
      <c r="V65" s="1402"/>
      <c r="W65" s="1403"/>
      <c r="X65" s="1303" t="s">
        <v>4303</v>
      </c>
      <c r="Y65" s="1402"/>
      <c r="Z65" s="1402"/>
      <c r="AA65" s="1402"/>
      <c r="AB65" s="1402"/>
      <c r="AC65" s="1404"/>
      <c r="AD65" s="1404"/>
      <c r="AE65" s="1405"/>
    </row>
    <row r="66" spans="1:31">
      <c r="A66" s="1380">
        <v>61</v>
      </c>
      <c r="B66" s="2962"/>
      <c r="C66" s="2980"/>
      <c r="D66" s="2983"/>
      <c r="E66" s="1388"/>
      <c r="F66" s="1389"/>
      <c r="G66" s="1389"/>
      <c r="H66" s="1389"/>
      <c r="I66" s="1389"/>
      <c r="J66" s="1390" t="s">
        <v>4304</v>
      </c>
      <c r="K66" s="1391"/>
      <c r="L66" s="1391"/>
      <c r="M66" s="1391"/>
      <c r="N66" s="1391"/>
      <c r="O66" s="1391"/>
      <c r="P66" s="1392"/>
      <c r="Q66" s="1264" t="s">
        <v>4302</v>
      </c>
      <c r="R66" s="1391"/>
      <c r="S66" s="1391"/>
      <c r="T66" s="1391"/>
      <c r="U66" s="1392"/>
      <c r="V66" s="1391"/>
      <c r="W66" s="1392"/>
      <c r="X66" s="1264" t="s">
        <v>4303</v>
      </c>
      <c r="Y66" s="1391"/>
      <c r="Z66" s="1391"/>
      <c r="AA66" s="1391"/>
      <c r="AB66" s="1391"/>
      <c r="AC66" s="1393"/>
      <c r="AD66" s="1393"/>
      <c r="AE66" s="1394"/>
    </row>
    <row r="67" spans="1:31">
      <c r="A67" s="1380">
        <v>62</v>
      </c>
      <c r="B67" s="2962"/>
      <c r="C67" s="2980"/>
      <c r="D67" s="2983"/>
      <c r="E67" s="1388"/>
      <c r="F67" s="1389"/>
      <c r="G67" s="1389"/>
      <c r="H67" s="1389"/>
      <c r="I67" s="1389"/>
      <c r="J67" s="1390" t="s">
        <v>4304</v>
      </c>
      <c r="K67" s="1391"/>
      <c r="L67" s="1391"/>
      <c r="M67" s="1391"/>
      <c r="N67" s="1391"/>
      <c r="O67" s="1391"/>
      <c r="P67" s="1392"/>
      <c r="Q67" s="1286" t="s">
        <v>4302</v>
      </c>
      <c r="R67" s="1391"/>
      <c r="S67" s="1391"/>
      <c r="T67" s="1391"/>
      <c r="U67" s="1392"/>
      <c r="V67" s="1391"/>
      <c r="W67" s="1392"/>
      <c r="X67" s="1264" t="s">
        <v>4303</v>
      </c>
      <c r="Y67" s="1391"/>
      <c r="Z67" s="1391"/>
      <c r="AA67" s="1391"/>
      <c r="AB67" s="1391"/>
      <c r="AC67" s="1393"/>
      <c r="AD67" s="1393"/>
      <c r="AE67" s="1394"/>
    </row>
    <row r="68" spans="1:31">
      <c r="A68" s="1380">
        <v>63</v>
      </c>
      <c r="B68" s="2962"/>
      <c r="C68" s="2980"/>
      <c r="D68" s="2983"/>
      <c r="E68" s="1388"/>
      <c r="F68" s="1389"/>
      <c r="G68" s="1389"/>
      <c r="H68" s="1389"/>
      <c r="I68" s="1389"/>
      <c r="J68" s="1390" t="s">
        <v>4304</v>
      </c>
      <c r="K68" s="1391"/>
      <c r="L68" s="1391"/>
      <c r="M68" s="1391"/>
      <c r="N68" s="1391"/>
      <c r="O68" s="1391"/>
      <c r="P68" s="1392"/>
      <c r="Q68" s="1303" t="s">
        <v>4302</v>
      </c>
      <c r="R68" s="1391"/>
      <c r="S68" s="1391"/>
      <c r="T68" s="1391"/>
      <c r="U68" s="1392"/>
      <c r="V68" s="1391"/>
      <c r="W68" s="1392"/>
      <c r="X68" s="1264" t="s">
        <v>4303</v>
      </c>
      <c r="Y68" s="1391"/>
      <c r="Z68" s="1391"/>
      <c r="AA68" s="1391"/>
      <c r="AB68" s="1391"/>
      <c r="AC68" s="1393"/>
      <c r="AD68" s="1393"/>
      <c r="AE68" s="1394"/>
    </row>
    <row r="69" spans="1:31">
      <c r="A69" s="1380">
        <v>64</v>
      </c>
      <c r="B69" s="2962"/>
      <c r="C69" s="2980"/>
      <c r="D69" s="2983"/>
      <c r="E69" s="1388"/>
      <c r="F69" s="1389"/>
      <c r="G69" s="1389"/>
      <c r="H69" s="1389"/>
      <c r="I69" s="1389"/>
      <c r="J69" s="1390" t="s">
        <v>4304</v>
      </c>
      <c r="K69" s="1391"/>
      <c r="L69" s="1391"/>
      <c r="M69" s="1391"/>
      <c r="N69" s="1391"/>
      <c r="O69" s="1391"/>
      <c r="P69" s="1392"/>
      <c r="Q69" s="1264" t="s">
        <v>4302</v>
      </c>
      <c r="R69" s="1391"/>
      <c r="S69" s="1391"/>
      <c r="T69" s="1391"/>
      <c r="U69" s="1392"/>
      <c r="V69" s="1391"/>
      <c r="W69" s="1392"/>
      <c r="X69" s="1264" t="s">
        <v>4303</v>
      </c>
      <c r="Y69" s="1391"/>
      <c r="Z69" s="1391"/>
      <c r="AA69" s="1391"/>
      <c r="AB69" s="1391"/>
      <c r="AC69" s="1393"/>
      <c r="AD69" s="1393"/>
      <c r="AE69" s="1394"/>
    </row>
    <row r="70" spans="1:31">
      <c r="A70" s="1380">
        <v>65</v>
      </c>
      <c r="B70" s="2962"/>
      <c r="C70" s="2980"/>
      <c r="D70" s="2983"/>
      <c r="E70" s="1388"/>
      <c r="F70" s="1389"/>
      <c r="G70" s="1389"/>
      <c r="H70" s="1389"/>
      <c r="I70" s="1389"/>
      <c r="J70" s="1390" t="s">
        <v>4304</v>
      </c>
      <c r="K70" s="1391"/>
      <c r="L70" s="1391"/>
      <c r="M70" s="1391"/>
      <c r="N70" s="1391"/>
      <c r="O70" s="1391"/>
      <c r="P70" s="1392"/>
      <c r="Q70" s="1264" t="s">
        <v>4302</v>
      </c>
      <c r="R70" s="1391"/>
      <c r="S70" s="1391"/>
      <c r="T70" s="1391"/>
      <c r="U70" s="1392"/>
      <c r="V70" s="1391"/>
      <c r="W70" s="1392"/>
      <c r="X70" s="1264" t="s">
        <v>4303</v>
      </c>
      <c r="Y70" s="1391"/>
      <c r="Z70" s="1391"/>
      <c r="AA70" s="1391"/>
      <c r="AB70" s="1391"/>
      <c r="AC70" s="1393"/>
      <c r="AD70" s="1393"/>
      <c r="AE70" s="1394"/>
    </row>
    <row r="71" spans="1:31">
      <c r="A71" s="1380">
        <v>66</v>
      </c>
      <c r="B71" s="2962"/>
      <c r="C71" s="2980"/>
      <c r="D71" s="2983"/>
      <c r="E71" s="1388"/>
      <c r="F71" s="1389"/>
      <c r="G71" s="1389"/>
      <c r="H71" s="1389"/>
      <c r="I71" s="1389"/>
      <c r="J71" s="1390" t="s">
        <v>4304</v>
      </c>
      <c r="K71" s="1391"/>
      <c r="L71" s="1391"/>
      <c r="M71" s="1391"/>
      <c r="N71" s="1391"/>
      <c r="O71" s="1391"/>
      <c r="P71" s="1392"/>
      <c r="Q71" s="1264" t="s">
        <v>4302</v>
      </c>
      <c r="R71" s="1391"/>
      <c r="S71" s="1391"/>
      <c r="T71" s="1391"/>
      <c r="U71" s="1392"/>
      <c r="V71" s="1391"/>
      <c r="W71" s="1392"/>
      <c r="X71" s="1264" t="s">
        <v>4303</v>
      </c>
      <c r="Y71" s="1391"/>
      <c r="Z71" s="1391"/>
      <c r="AA71" s="1391"/>
      <c r="AB71" s="1391"/>
      <c r="AC71" s="1393"/>
      <c r="AD71" s="1393"/>
      <c r="AE71" s="1394"/>
    </row>
    <row r="72" spans="1:31">
      <c r="A72" s="1380">
        <v>67</v>
      </c>
      <c r="B72" s="2962"/>
      <c r="C72" s="2980"/>
      <c r="D72" s="2983"/>
      <c r="E72" s="1388"/>
      <c r="F72" s="1389"/>
      <c r="G72" s="1389"/>
      <c r="H72" s="1389"/>
      <c r="I72" s="1389"/>
      <c r="J72" s="1390" t="s">
        <v>4304</v>
      </c>
      <c r="K72" s="1391"/>
      <c r="L72" s="1391"/>
      <c r="M72" s="1391"/>
      <c r="N72" s="1391"/>
      <c r="O72" s="1391"/>
      <c r="P72" s="1392"/>
      <c r="Q72" s="1264" t="s">
        <v>4302</v>
      </c>
      <c r="R72" s="1391"/>
      <c r="S72" s="1391"/>
      <c r="T72" s="1391"/>
      <c r="U72" s="1392"/>
      <c r="V72" s="1391"/>
      <c r="W72" s="1392"/>
      <c r="X72" s="1264" t="s">
        <v>4303</v>
      </c>
      <c r="Y72" s="1391"/>
      <c r="Z72" s="1391"/>
      <c r="AA72" s="1391"/>
      <c r="AB72" s="1391"/>
      <c r="AC72" s="1393"/>
      <c r="AD72" s="1393"/>
      <c r="AE72" s="1394"/>
    </row>
    <row r="73" spans="1:31">
      <c r="A73" s="1380">
        <v>68</v>
      </c>
      <c r="B73" s="2962"/>
      <c r="C73" s="2980"/>
      <c r="D73" s="2983"/>
      <c r="E73" s="1388"/>
      <c r="F73" s="1389"/>
      <c r="G73" s="1389"/>
      <c r="H73" s="1389"/>
      <c r="I73" s="1389"/>
      <c r="J73" s="1390" t="s">
        <v>4304</v>
      </c>
      <c r="K73" s="1391"/>
      <c r="L73" s="1391"/>
      <c r="M73" s="1391"/>
      <c r="N73" s="1391"/>
      <c r="O73" s="1391"/>
      <c r="P73" s="1392"/>
      <c r="Q73" s="1264" t="s">
        <v>4302</v>
      </c>
      <c r="R73" s="1391"/>
      <c r="S73" s="1391"/>
      <c r="T73" s="1391"/>
      <c r="U73" s="1392"/>
      <c r="V73" s="1391"/>
      <c r="W73" s="1392"/>
      <c r="X73" s="1264" t="s">
        <v>4303</v>
      </c>
      <c r="Y73" s="1391"/>
      <c r="Z73" s="1391"/>
      <c r="AA73" s="1391"/>
      <c r="AB73" s="1391"/>
      <c r="AC73" s="1393"/>
      <c r="AD73" s="1393"/>
      <c r="AE73" s="1394"/>
    </row>
    <row r="74" spans="1:31">
      <c r="A74" s="1380">
        <v>69</v>
      </c>
      <c r="B74" s="2962"/>
      <c r="C74" s="2980"/>
      <c r="D74" s="2984"/>
      <c r="E74" s="1388"/>
      <c r="F74" s="1389"/>
      <c r="G74" s="1389"/>
      <c r="H74" s="1389"/>
      <c r="I74" s="1389"/>
      <c r="J74" s="1390" t="s">
        <v>4304</v>
      </c>
      <c r="K74" s="1391"/>
      <c r="L74" s="1391"/>
      <c r="M74" s="1391"/>
      <c r="N74" s="1391"/>
      <c r="O74" s="1391"/>
      <c r="P74" s="1392"/>
      <c r="Q74" s="1264" t="s">
        <v>4302</v>
      </c>
      <c r="R74" s="1391"/>
      <c r="S74" s="1391"/>
      <c r="T74" s="1391"/>
      <c r="U74" s="1392"/>
      <c r="V74" s="1391"/>
      <c r="W74" s="1392"/>
      <c r="X74" s="1264" t="s">
        <v>4303</v>
      </c>
      <c r="Y74" s="1391"/>
      <c r="Z74" s="1391"/>
      <c r="AA74" s="1391"/>
      <c r="AB74" s="1391"/>
      <c r="AC74" s="1393"/>
      <c r="AD74" s="1393"/>
      <c r="AE74" s="1394"/>
    </row>
    <row r="75" spans="1:31" ht="17.25" thickBot="1">
      <c r="A75" s="1380">
        <v>70</v>
      </c>
      <c r="B75" s="2962"/>
      <c r="C75" s="2981"/>
      <c r="D75" s="1395" t="s">
        <v>4305</v>
      </c>
      <c r="E75" s="1396"/>
      <c r="F75" s="1396"/>
      <c r="G75" s="1396"/>
      <c r="H75" s="1396"/>
      <c r="I75" s="1396"/>
      <c r="J75" s="1396"/>
      <c r="K75" s="1396"/>
      <c r="L75" s="1396"/>
      <c r="M75" s="1391">
        <f>SUM(M65:M74)</f>
        <v>0</v>
      </c>
      <c r="N75" s="1391">
        <f>SUM(N65:N74)</f>
        <v>0</v>
      </c>
      <c r="O75" s="1391">
        <f>SUM(O65:O74)</f>
        <v>0</v>
      </c>
      <c r="P75" s="1391">
        <f>SUM(P65:P74)</f>
        <v>0</v>
      </c>
      <c r="Q75" s="1396"/>
      <c r="R75" s="1391">
        <f>SUM(R65:R74)</f>
        <v>0</v>
      </c>
      <c r="S75" s="1396"/>
      <c r="T75" s="1391">
        <f>SUM(T65:T74)</f>
        <v>0</v>
      </c>
      <c r="U75" s="1391">
        <f>SUM(U65:U74)</f>
        <v>0</v>
      </c>
      <c r="V75" s="1391">
        <f>SUM(V65:V74)</f>
        <v>0</v>
      </c>
      <c r="W75" s="1391">
        <f>SUM(W65:W74)</f>
        <v>0</v>
      </c>
      <c r="X75" s="1396"/>
      <c r="Y75" s="1396"/>
      <c r="Z75" s="1406"/>
      <c r="AA75" s="1406"/>
      <c r="AB75" s="1406"/>
      <c r="AC75" s="1396"/>
      <c r="AD75" s="1396"/>
      <c r="AE75" s="1407"/>
    </row>
    <row r="76" spans="1:31" ht="16.5" customHeight="1">
      <c r="A76" s="1380">
        <v>71</v>
      </c>
      <c r="B76" s="2962"/>
      <c r="C76" s="2974" t="s">
        <v>4307</v>
      </c>
      <c r="D76" s="2947" t="s">
        <v>4199</v>
      </c>
      <c r="E76" s="1345"/>
      <c r="F76" s="1327"/>
      <c r="G76" s="1327"/>
      <c r="H76" s="1327"/>
      <c r="I76" s="1327"/>
      <c r="J76" s="1328"/>
      <c r="K76" s="1328"/>
      <c r="L76" s="1328"/>
      <c r="M76" s="1328"/>
      <c r="N76" s="1328"/>
      <c r="O76" s="1328"/>
      <c r="P76" s="1329"/>
      <c r="Q76" s="1328"/>
      <c r="R76" s="1328"/>
      <c r="S76" s="1328"/>
      <c r="T76" s="1328"/>
      <c r="U76" s="1329"/>
      <c r="V76" s="1328"/>
      <c r="W76" s="1329"/>
      <c r="X76" s="1328"/>
      <c r="Y76" s="1328"/>
      <c r="Z76" s="1376"/>
      <c r="AA76" s="1376"/>
      <c r="AB76" s="1376"/>
      <c r="AC76" s="1330"/>
      <c r="AD76" s="1330"/>
      <c r="AE76" s="1346"/>
    </row>
    <row r="77" spans="1:31">
      <c r="A77" s="1380">
        <v>72</v>
      </c>
      <c r="B77" s="2962"/>
      <c r="C77" s="2975"/>
      <c r="D77" s="2948"/>
      <c r="E77" s="1332"/>
      <c r="F77" s="1333"/>
      <c r="G77" s="1333"/>
      <c r="H77" s="1333"/>
      <c r="I77" s="1333"/>
      <c r="J77" s="1334"/>
      <c r="K77" s="1334"/>
      <c r="L77" s="1334"/>
      <c r="M77" s="1334"/>
      <c r="N77" s="1334"/>
      <c r="O77" s="1334"/>
      <c r="P77" s="1335"/>
      <c r="Q77" s="1334"/>
      <c r="R77" s="1334"/>
      <c r="S77" s="1334"/>
      <c r="T77" s="1334"/>
      <c r="U77" s="1335"/>
      <c r="V77" s="1334"/>
      <c r="W77" s="1335"/>
      <c r="X77" s="1334"/>
      <c r="Y77" s="1334"/>
      <c r="Z77" s="1377"/>
      <c r="AA77" s="1377"/>
      <c r="AB77" s="1377"/>
      <c r="AC77" s="1336"/>
      <c r="AD77" s="1336"/>
      <c r="AE77" s="1337"/>
    </row>
    <row r="78" spans="1:31">
      <c r="A78" s="1380">
        <v>73</v>
      </c>
      <c r="B78" s="2962"/>
      <c r="C78" s="2975"/>
      <c r="D78" s="2948"/>
      <c r="E78" s="1332"/>
      <c r="F78" s="1333"/>
      <c r="G78" s="1333"/>
      <c r="H78" s="1333"/>
      <c r="I78" s="1333"/>
      <c r="J78" s="1334"/>
      <c r="K78" s="1334"/>
      <c r="L78" s="1334"/>
      <c r="M78" s="1334"/>
      <c r="N78" s="1334"/>
      <c r="O78" s="1334"/>
      <c r="P78" s="1335"/>
      <c r="Q78" s="1334"/>
      <c r="R78" s="1334"/>
      <c r="S78" s="1334"/>
      <c r="T78" s="1334"/>
      <c r="U78" s="1335"/>
      <c r="V78" s="1334"/>
      <c r="W78" s="1335"/>
      <c r="X78" s="1334"/>
      <c r="Y78" s="1334"/>
      <c r="Z78" s="1377"/>
      <c r="AA78" s="1377"/>
      <c r="AB78" s="1377"/>
      <c r="AC78" s="1336"/>
      <c r="AD78" s="1336"/>
      <c r="AE78" s="1337"/>
    </row>
    <row r="79" spans="1:31">
      <c r="A79" s="1380">
        <v>74</v>
      </c>
      <c r="B79" s="2962"/>
      <c r="C79" s="2975"/>
      <c r="D79" s="2948"/>
      <c r="E79" s="1332"/>
      <c r="F79" s="1333"/>
      <c r="G79" s="1333"/>
      <c r="H79" s="1333"/>
      <c r="I79" s="1333"/>
      <c r="J79" s="1334"/>
      <c r="K79" s="1334"/>
      <c r="L79" s="1334"/>
      <c r="M79" s="1334"/>
      <c r="N79" s="1334"/>
      <c r="O79" s="1334"/>
      <c r="P79" s="1335"/>
      <c r="Q79" s="1334"/>
      <c r="R79" s="1334"/>
      <c r="S79" s="1334"/>
      <c r="T79" s="1334"/>
      <c r="U79" s="1335"/>
      <c r="V79" s="1334"/>
      <c r="W79" s="1335"/>
      <c r="X79" s="1334"/>
      <c r="Y79" s="1334"/>
      <c r="Z79" s="1377"/>
      <c r="AA79" s="1377"/>
      <c r="AB79" s="1377"/>
      <c r="AC79" s="1336"/>
      <c r="AD79" s="1336"/>
      <c r="AE79" s="1337"/>
    </row>
    <row r="80" spans="1:31">
      <c r="A80" s="1380">
        <v>75</v>
      </c>
      <c r="B80" s="2962"/>
      <c r="C80" s="2975"/>
      <c r="D80" s="2948"/>
      <c r="E80" s="1332"/>
      <c r="F80" s="1333"/>
      <c r="G80" s="1333"/>
      <c r="H80" s="1333"/>
      <c r="I80" s="1333"/>
      <c r="J80" s="1334"/>
      <c r="K80" s="1334"/>
      <c r="L80" s="1334"/>
      <c r="M80" s="1334"/>
      <c r="N80" s="1334"/>
      <c r="O80" s="1334"/>
      <c r="P80" s="1335"/>
      <c r="Q80" s="1334"/>
      <c r="R80" s="1334"/>
      <c r="S80" s="1334"/>
      <c r="T80" s="1334"/>
      <c r="U80" s="1335"/>
      <c r="V80" s="1334"/>
      <c r="W80" s="1335"/>
      <c r="X80" s="1334"/>
      <c r="Y80" s="1334"/>
      <c r="Z80" s="1377"/>
      <c r="AA80" s="1377"/>
      <c r="AB80" s="1377"/>
      <c r="AC80" s="1336"/>
      <c r="AD80" s="1336"/>
      <c r="AE80" s="1337"/>
    </row>
    <row r="81" spans="1:31">
      <c r="A81" s="1380">
        <v>76</v>
      </c>
      <c r="B81" s="2962"/>
      <c r="C81" s="2975"/>
      <c r="D81" s="2948"/>
      <c r="E81" s="1332"/>
      <c r="F81" s="1333"/>
      <c r="G81" s="1333"/>
      <c r="H81" s="1333"/>
      <c r="I81" s="1333"/>
      <c r="J81" s="1334"/>
      <c r="K81" s="1334"/>
      <c r="L81" s="1334"/>
      <c r="M81" s="1334"/>
      <c r="N81" s="1334"/>
      <c r="O81" s="1334"/>
      <c r="P81" s="1335"/>
      <c r="Q81" s="1334"/>
      <c r="R81" s="1334"/>
      <c r="S81" s="1334"/>
      <c r="T81" s="1334"/>
      <c r="U81" s="1335"/>
      <c r="V81" s="1334"/>
      <c r="W81" s="1335"/>
      <c r="X81" s="1334"/>
      <c r="Y81" s="1334"/>
      <c r="Z81" s="1377"/>
      <c r="AA81" s="1377"/>
      <c r="AB81" s="1377"/>
      <c r="AC81" s="1336"/>
      <c r="AD81" s="1336"/>
      <c r="AE81" s="1337"/>
    </row>
    <row r="82" spans="1:31">
      <c r="A82" s="1380">
        <v>77</v>
      </c>
      <c r="B82" s="2962"/>
      <c r="C82" s="2975"/>
      <c r="D82" s="2948"/>
      <c r="E82" s="1332"/>
      <c r="F82" s="1333"/>
      <c r="G82" s="1333"/>
      <c r="H82" s="1333"/>
      <c r="I82" s="1333"/>
      <c r="J82" s="1334"/>
      <c r="K82" s="1334"/>
      <c r="L82" s="1334"/>
      <c r="M82" s="1334"/>
      <c r="N82" s="1334"/>
      <c r="O82" s="1334"/>
      <c r="P82" s="1335"/>
      <c r="Q82" s="1334"/>
      <c r="R82" s="1334"/>
      <c r="S82" s="1334"/>
      <c r="T82" s="1334"/>
      <c r="U82" s="1335"/>
      <c r="V82" s="1334"/>
      <c r="W82" s="1335"/>
      <c r="X82" s="1334"/>
      <c r="Y82" s="1334"/>
      <c r="Z82" s="1377"/>
      <c r="AA82" s="1377"/>
      <c r="AB82" s="1377"/>
      <c r="AC82" s="1336"/>
      <c r="AD82" s="1336"/>
      <c r="AE82" s="1337"/>
    </row>
    <row r="83" spans="1:31">
      <c r="A83" s="1380">
        <v>78</v>
      </c>
      <c r="B83" s="2962"/>
      <c r="C83" s="2975"/>
      <c r="D83" s="2948"/>
      <c r="E83" s="1332"/>
      <c r="F83" s="1333"/>
      <c r="G83" s="1333"/>
      <c r="H83" s="1333"/>
      <c r="I83" s="1333"/>
      <c r="J83" s="1334"/>
      <c r="K83" s="1334"/>
      <c r="L83" s="1334"/>
      <c r="M83" s="1334"/>
      <c r="N83" s="1334"/>
      <c r="O83" s="1334"/>
      <c r="P83" s="1335"/>
      <c r="Q83" s="1334"/>
      <c r="R83" s="1334"/>
      <c r="S83" s="1334"/>
      <c r="T83" s="1334"/>
      <c r="U83" s="1335"/>
      <c r="V83" s="1334"/>
      <c r="W83" s="1335"/>
      <c r="X83" s="1334"/>
      <c r="Y83" s="1334"/>
      <c r="Z83" s="1377"/>
      <c r="AA83" s="1377"/>
      <c r="AB83" s="1377"/>
      <c r="AC83" s="1336"/>
      <c r="AD83" s="1336"/>
      <c r="AE83" s="1337"/>
    </row>
    <row r="84" spans="1:31">
      <c r="A84" s="1380">
        <v>79</v>
      </c>
      <c r="B84" s="2962"/>
      <c r="C84" s="2975"/>
      <c r="D84" s="2948"/>
      <c r="E84" s="1332"/>
      <c r="F84" s="1333"/>
      <c r="G84" s="1333"/>
      <c r="H84" s="1333"/>
      <c r="I84" s="1333"/>
      <c r="J84" s="1334"/>
      <c r="K84" s="1334"/>
      <c r="L84" s="1334"/>
      <c r="M84" s="1334"/>
      <c r="N84" s="1334"/>
      <c r="O84" s="1334"/>
      <c r="P84" s="1335"/>
      <c r="Q84" s="1334"/>
      <c r="R84" s="1334"/>
      <c r="S84" s="1334"/>
      <c r="T84" s="1334"/>
      <c r="U84" s="1335"/>
      <c r="V84" s="1334"/>
      <c r="W84" s="1335"/>
      <c r="X84" s="1334"/>
      <c r="Y84" s="1334"/>
      <c r="Z84" s="1377"/>
      <c r="AA84" s="1377"/>
      <c r="AB84" s="1377"/>
      <c r="AC84" s="1336"/>
      <c r="AD84" s="1336"/>
      <c r="AE84" s="1337"/>
    </row>
    <row r="85" spans="1:31">
      <c r="A85" s="1380">
        <v>80</v>
      </c>
      <c r="B85" s="2962"/>
      <c r="C85" s="2975"/>
      <c r="D85" s="2948"/>
      <c r="E85" s="1332"/>
      <c r="F85" s="1333"/>
      <c r="G85" s="1333"/>
      <c r="H85" s="1333"/>
      <c r="I85" s="1333"/>
      <c r="J85" s="1334"/>
      <c r="K85" s="1334"/>
      <c r="L85" s="1334"/>
      <c r="M85" s="1334"/>
      <c r="N85" s="1334"/>
      <c r="O85" s="1334"/>
      <c r="P85" s="1335"/>
      <c r="Q85" s="1334"/>
      <c r="R85" s="1334"/>
      <c r="S85" s="1334"/>
      <c r="T85" s="1334"/>
      <c r="U85" s="1335"/>
      <c r="V85" s="1334"/>
      <c r="W85" s="1335"/>
      <c r="X85" s="1334"/>
      <c r="Y85" s="1334"/>
      <c r="Z85" s="1377"/>
      <c r="AA85" s="1377"/>
      <c r="AB85" s="1377"/>
      <c r="AC85" s="1336"/>
      <c r="AD85" s="1336"/>
      <c r="AE85" s="1337"/>
    </row>
    <row r="86" spans="1:31">
      <c r="A86" s="1380">
        <v>81</v>
      </c>
      <c r="B86" s="2962"/>
      <c r="C86" s="2975"/>
      <c r="D86" s="1279" t="s">
        <v>3514</v>
      </c>
      <c r="E86" s="1340"/>
      <c r="F86" s="1340"/>
      <c r="G86" s="1340"/>
      <c r="H86" s="1340"/>
      <c r="I86" s="1340"/>
      <c r="J86" s="1340"/>
      <c r="K86" s="1340"/>
      <c r="L86" s="1340"/>
      <c r="M86" s="1334">
        <f>SUM(M76:M85)</f>
        <v>0</v>
      </c>
      <c r="N86" s="1334">
        <f>SUM(N76:N85)</f>
        <v>0</v>
      </c>
      <c r="O86" s="1334">
        <f>SUM(O76:O85)</f>
        <v>0</v>
      </c>
      <c r="P86" s="1334">
        <f>SUM(P76:P85)</f>
        <v>0</v>
      </c>
      <c r="Q86" s="1340"/>
      <c r="R86" s="1334">
        <f>SUM(R76:R85)</f>
        <v>0</v>
      </c>
      <c r="S86" s="1340"/>
      <c r="T86" s="1334">
        <f>SUM(T76:T85)</f>
        <v>0</v>
      </c>
      <c r="U86" s="1334">
        <f>SUM(U76:U85)</f>
        <v>0</v>
      </c>
      <c r="V86" s="1334">
        <f>SUM(V76:V85)</f>
        <v>0</v>
      </c>
      <c r="W86" s="1334">
        <f>SUM(W76:W85)</f>
        <v>0</v>
      </c>
      <c r="X86" s="1340"/>
      <c r="Y86" s="1340"/>
      <c r="Z86" s="1397"/>
      <c r="AA86" s="1397"/>
      <c r="AB86" s="1397"/>
      <c r="AC86" s="1340"/>
      <c r="AD86" s="1340"/>
      <c r="AE86" s="1378"/>
    </row>
    <row r="87" spans="1:31" ht="13.9" customHeight="1">
      <c r="A87" s="1380">
        <v>82</v>
      </c>
      <c r="B87" s="2962"/>
      <c r="C87" s="2975"/>
      <c r="D87" s="2948" t="s">
        <v>4256</v>
      </c>
      <c r="E87" s="1332"/>
      <c r="F87" s="1333"/>
      <c r="G87" s="1333"/>
      <c r="H87" s="1333"/>
      <c r="I87" s="1333"/>
      <c r="J87" s="1334"/>
      <c r="K87" s="1334"/>
      <c r="L87" s="1334"/>
      <c r="M87" s="1334"/>
      <c r="N87" s="1334"/>
      <c r="O87" s="1334"/>
      <c r="P87" s="1335"/>
      <c r="Q87" s="1334"/>
      <c r="R87" s="1334"/>
      <c r="S87" s="1334"/>
      <c r="T87" s="1334"/>
      <c r="U87" s="1335"/>
      <c r="V87" s="1334"/>
      <c r="W87" s="1335"/>
      <c r="X87" s="1334"/>
      <c r="Y87" s="1334"/>
      <c r="Z87" s="1377"/>
      <c r="AA87" s="1377"/>
      <c r="AB87" s="1377"/>
      <c r="AC87" s="1336"/>
      <c r="AD87" s="1336"/>
      <c r="AE87" s="1337"/>
    </row>
    <row r="88" spans="1:31">
      <c r="A88" s="1380">
        <v>83</v>
      </c>
      <c r="B88" s="2962"/>
      <c r="C88" s="2975"/>
      <c r="D88" s="2948"/>
      <c r="E88" s="1332"/>
      <c r="F88" s="1333"/>
      <c r="G88" s="1333"/>
      <c r="H88" s="1333"/>
      <c r="I88" s="1333"/>
      <c r="J88" s="1334"/>
      <c r="K88" s="1334"/>
      <c r="L88" s="1334"/>
      <c r="M88" s="1334"/>
      <c r="N88" s="1334"/>
      <c r="O88" s="1334"/>
      <c r="P88" s="1335"/>
      <c r="Q88" s="1335"/>
      <c r="R88" s="1334"/>
      <c r="S88" s="1335"/>
      <c r="T88" s="1334"/>
      <c r="U88" s="1347"/>
      <c r="V88" s="1334"/>
      <c r="W88" s="1347"/>
      <c r="X88" s="1334"/>
      <c r="Y88" s="1334"/>
      <c r="Z88" s="1377"/>
      <c r="AA88" s="1377"/>
      <c r="AB88" s="1377"/>
      <c r="AC88" s="1336"/>
      <c r="AD88" s="1336"/>
      <c r="AE88" s="1337"/>
    </row>
    <row r="89" spans="1:31">
      <c r="A89" s="1380">
        <v>84</v>
      </c>
      <c r="B89" s="2962"/>
      <c r="C89" s="2975"/>
      <c r="D89" s="2948"/>
      <c r="E89" s="1332"/>
      <c r="F89" s="1333"/>
      <c r="G89" s="1333"/>
      <c r="H89" s="1333"/>
      <c r="I89" s="1333"/>
      <c r="J89" s="1334"/>
      <c r="K89" s="1334"/>
      <c r="L89" s="1334"/>
      <c r="M89" s="1334"/>
      <c r="N89" s="1334"/>
      <c r="O89" s="1334"/>
      <c r="P89" s="1335"/>
      <c r="Q89" s="1335"/>
      <c r="R89" s="1334"/>
      <c r="S89" s="1335"/>
      <c r="T89" s="1334"/>
      <c r="U89" s="1347"/>
      <c r="V89" s="1334"/>
      <c r="W89" s="1347"/>
      <c r="X89" s="1334"/>
      <c r="Y89" s="1334"/>
      <c r="Z89" s="1377"/>
      <c r="AA89" s="1377"/>
      <c r="AB89" s="1377"/>
      <c r="AC89" s="1336"/>
      <c r="AD89" s="1336"/>
      <c r="AE89" s="1337"/>
    </row>
    <row r="90" spans="1:31">
      <c r="A90" s="1380">
        <v>85</v>
      </c>
      <c r="B90" s="2962"/>
      <c r="C90" s="2975"/>
      <c r="D90" s="2948"/>
      <c r="E90" s="1332"/>
      <c r="F90" s="1333"/>
      <c r="G90" s="1333"/>
      <c r="H90" s="1333"/>
      <c r="I90" s="1333"/>
      <c r="J90" s="1334"/>
      <c r="K90" s="1334"/>
      <c r="L90" s="1334"/>
      <c r="M90" s="1334"/>
      <c r="N90" s="1334"/>
      <c r="O90" s="1334"/>
      <c r="P90" s="1335"/>
      <c r="Q90" s="1335"/>
      <c r="R90" s="1334"/>
      <c r="S90" s="1335"/>
      <c r="T90" s="1334"/>
      <c r="U90" s="1347"/>
      <c r="V90" s="1334"/>
      <c r="W90" s="1347"/>
      <c r="X90" s="1334"/>
      <c r="Y90" s="1334"/>
      <c r="Z90" s="1377"/>
      <c r="AA90" s="1377"/>
      <c r="AB90" s="1377"/>
      <c r="AC90" s="1336"/>
      <c r="AD90" s="1336"/>
      <c r="AE90" s="1337"/>
    </row>
    <row r="91" spans="1:31">
      <c r="A91" s="1380">
        <v>86</v>
      </c>
      <c r="B91" s="2962"/>
      <c r="C91" s="2975"/>
      <c r="D91" s="2948"/>
      <c r="E91" s="1332"/>
      <c r="F91" s="1333"/>
      <c r="G91" s="1333"/>
      <c r="H91" s="1333"/>
      <c r="I91" s="1333"/>
      <c r="J91" s="1334"/>
      <c r="K91" s="1334"/>
      <c r="L91" s="1334"/>
      <c r="M91" s="1334"/>
      <c r="N91" s="1334"/>
      <c r="O91" s="1334"/>
      <c r="P91" s="1335"/>
      <c r="Q91" s="1335"/>
      <c r="R91" s="1334"/>
      <c r="S91" s="1335"/>
      <c r="T91" s="1334"/>
      <c r="U91" s="1347"/>
      <c r="V91" s="1334"/>
      <c r="W91" s="1347"/>
      <c r="X91" s="1334"/>
      <c r="Y91" s="1334"/>
      <c r="Z91" s="1377"/>
      <c r="AA91" s="1377"/>
      <c r="AB91" s="1377"/>
      <c r="AC91" s="1336"/>
      <c r="AD91" s="1336"/>
      <c r="AE91" s="1337"/>
    </row>
    <row r="92" spans="1:31">
      <c r="A92" s="1380">
        <v>87</v>
      </c>
      <c r="B92" s="2962"/>
      <c r="C92" s="2975"/>
      <c r="D92" s="2948"/>
      <c r="E92" s="1332"/>
      <c r="F92" s="1333"/>
      <c r="G92" s="1333"/>
      <c r="H92" s="1333"/>
      <c r="I92" s="1333"/>
      <c r="J92" s="1334"/>
      <c r="K92" s="1334"/>
      <c r="L92" s="1334"/>
      <c r="M92" s="1334"/>
      <c r="N92" s="1334"/>
      <c r="O92" s="1334"/>
      <c r="P92" s="1335"/>
      <c r="Q92" s="1335"/>
      <c r="R92" s="1334"/>
      <c r="S92" s="1335"/>
      <c r="T92" s="1334"/>
      <c r="U92" s="1347"/>
      <c r="V92" s="1334"/>
      <c r="W92" s="1347"/>
      <c r="X92" s="1334"/>
      <c r="Y92" s="1334"/>
      <c r="Z92" s="1377"/>
      <c r="AA92" s="1377"/>
      <c r="AB92" s="1377"/>
      <c r="AC92" s="1336"/>
      <c r="AD92" s="1336"/>
      <c r="AE92" s="1337"/>
    </row>
    <row r="93" spans="1:31">
      <c r="A93" s="1380">
        <v>88</v>
      </c>
      <c r="B93" s="2962"/>
      <c r="C93" s="2975"/>
      <c r="D93" s="2948"/>
      <c r="E93" s="1332"/>
      <c r="F93" s="1333"/>
      <c r="G93" s="1333"/>
      <c r="H93" s="1333"/>
      <c r="I93" s="1333"/>
      <c r="J93" s="1334"/>
      <c r="K93" s="1334"/>
      <c r="L93" s="1334"/>
      <c r="M93" s="1334"/>
      <c r="N93" s="1334"/>
      <c r="O93" s="1334"/>
      <c r="P93" s="1335"/>
      <c r="Q93" s="1335"/>
      <c r="R93" s="1334"/>
      <c r="S93" s="1335"/>
      <c r="T93" s="1334"/>
      <c r="U93" s="1347"/>
      <c r="V93" s="1334"/>
      <c r="W93" s="1347"/>
      <c r="X93" s="1334"/>
      <c r="Y93" s="1334"/>
      <c r="Z93" s="1377"/>
      <c r="AA93" s="1377"/>
      <c r="AB93" s="1377"/>
      <c r="AC93" s="1336"/>
      <c r="AD93" s="1336"/>
      <c r="AE93" s="1337"/>
    </row>
    <row r="94" spans="1:31">
      <c r="A94" s="1380">
        <v>89</v>
      </c>
      <c r="B94" s="2962"/>
      <c r="C94" s="2975"/>
      <c r="D94" s="2948"/>
      <c r="E94" s="1332"/>
      <c r="F94" s="1333"/>
      <c r="G94" s="1333"/>
      <c r="H94" s="1333"/>
      <c r="I94" s="1333"/>
      <c r="J94" s="1334"/>
      <c r="K94" s="1334"/>
      <c r="L94" s="1334"/>
      <c r="M94" s="1334"/>
      <c r="N94" s="1334"/>
      <c r="O94" s="1334"/>
      <c r="P94" s="1335"/>
      <c r="Q94" s="1335"/>
      <c r="R94" s="1334"/>
      <c r="S94" s="1335"/>
      <c r="T94" s="1334"/>
      <c r="U94" s="1347"/>
      <c r="V94" s="1334"/>
      <c r="W94" s="1347"/>
      <c r="X94" s="1334"/>
      <c r="Y94" s="1334"/>
      <c r="Z94" s="1377"/>
      <c r="AA94" s="1377"/>
      <c r="AB94" s="1377"/>
      <c r="AC94" s="1336"/>
      <c r="AD94" s="1336"/>
      <c r="AE94" s="1337"/>
    </row>
    <row r="95" spans="1:31">
      <c r="A95" s="1380">
        <v>90</v>
      </c>
      <c r="B95" s="2962"/>
      <c r="C95" s="2975"/>
      <c r="D95" s="2948"/>
      <c r="E95" s="1332"/>
      <c r="F95" s="1333"/>
      <c r="G95" s="1333"/>
      <c r="H95" s="1333"/>
      <c r="I95" s="1333"/>
      <c r="J95" s="1334"/>
      <c r="K95" s="1334"/>
      <c r="L95" s="1334"/>
      <c r="M95" s="1334"/>
      <c r="N95" s="1334"/>
      <c r="O95" s="1334"/>
      <c r="P95" s="1335"/>
      <c r="Q95" s="1335"/>
      <c r="R95" s="1334"/>
      <c r="S95" s="1335"/>
      <c r="T95" s="1334"/>
      <c r="U95" s="1347"/>
      <c r="V95" s="1334"/>
      <c r="W95" s="1347"/>
      <c r="X95" s="1334"/>
      <c r="Y95" s="1334"/>
      <c r="Z95" s="1377"/>
      <c r="AA95" s="1377"/>
      <c r="AB95" s="1377"/>
      <c r="AC95" s="1336"/>
      <c r="AD95" s="1336"/>
      <c r="AE95" s="1337"/>
    </row>
    <row r="96" spans="1:31">
      <c r="A96" s="1380">
        <v>91</v>
      </c>
      <c r="B96" s="2962"/>
      <c r="C96" s="2975"/>
      <c r="D96" s="2948"/>
      <c r="E96" s="1332"/>
      <c r="F96" s="1333"/>
      <c r="G96" s="1333"/>
      <c r="H96" s="1333"/>
      <c r="I96" s="1333"/>
      <c r="J96" s="1334"/>
      <c r="K96" s="1334"/>
      <c r="L96" s="1334"/>
      <c r="M96" s="1334"/>
      <c r="N96" s="1334"/>
      <c r="O96" s="1334"/>
      <c r="P96" s="1335"/>
      <c r="Q96" s="1335"/>
      <c r="R96" s="1334"/>
      <c r="S96" s="1335"/>
      <c r="T96" s="1334"/>
      <c r="U96" s="1347"/>
      <c r="V96" s="1334"/>
      <c r="W96" s="1347"/>
      <c r="X96" s="1334"/>
      <c r="Y96" s="1334"/>
      <c r="Z96" s="1377"/>
      <c r="AA96" s="1377"/>
      <c r="AB96" s="1377"/>
      <c r="AC96" s="1336"/>
      <c r="AD96" s="1336"/>
      <c r="AE96" s="1337"/>
    </row>
    <row r="97" spans="1:31">
      <c r="A97" s="1380">
        <v>92</v>
      </c>
      <c r="B97" s="2962"/>
      <c r="C97" s="2975"/>
      <c r="D97" s="1279" t="s">
        <v>3514</v>
      </c>
      <c r="E97" s="1340"/>
      <c r="F97" s="1340"/>
      <c r="G97" s="1340"/>
      <c r="H97" s="1340"/>
      <c r="I97" s="1340"/>
      <c r="J97" s="1340"/>
      <c r="K97" s="1340"/>
      <c r="L97" s="1340"/>
      <c r="M97" s="1334">
        <f>SUM(M87:M96)</f>
        <v>0</v>
      </c>
      <c r="N97" s="1334">
        <f>SUM(N87:N96)</f>
        <v>0</v>
      </c>
      <c r="O97" s="1334">
        <f>SUM(O87:O96)</f>
        <v>0</v>
      </c>
      <c r="P97" s="1334">
        <f>SUM(P87:P96)</f>
        <v>0</v>
      </c>
      <c r="Q97" s="1340"/>
      <c r="R97" s="1334">
        <f>SUM(R87:R96)</f>
        <v>0</v>
      </c>
      <c r="S97" s="1340"/>
      <c r="T97" s="1334">
        <f>SUM(T87:T96)</f>
        <v>0</v>
      </c>
      <c r="U97" s="1334">
        <f>SUM(U87:U96)</f>
        <v>0</v>
      </c>
      <c r="V97" s="1334">
        <f>SUM(V87:V96)</f>
        <v>0</v>
      </c>
      <c r="W97" s="1334">
        <f>SUM(W87:W96)</f>
        <v>0</v>
      </c>
      <c r="X97" s="1340"/>
      <c r="Y97" s="1340"/>
      <c r="Z97" s="1377"/>
      <c r="AA97" s="1377"/>
      <c r="AB97" s="1377"/>
      <c r="AC97" s="1340"/>
      <c r="AD97" s="1340"/>
      <c r="AE97" s="1378"/>
    </row>
    <row r="98" spans="1:31" ht="13.9" customHeight="1">
      <c r="A98" s="1380">
        <v>93</v>
      </c>
      <c r="B98" s="2962"/>
      <c r="C98" s="2975"/>
      <c r="D98" s="2994" t="s">
        <v>4258</v>
      </c>
      <c r="E98" s="1332"/>
      <c r="F98" s="1333"/>
      <c r="G98" s="1333"/>
      <c r="H98" s="1333"/>
      <c r="I98" s="1333"/>
      <c r="J98" s="1334"/>
      <c r="K98" s="1334"/>
      <c r="L98" s="1334"/>
      <c r="M98" s="1334"/>
      <c r="N98" s="1334"/>
      <c r="O98" s="1334"/>
      <c r="P98" s="1335"/>
      <c r="Q98" s="1335"/>
      <c r="R98" s="1334"/>
      <c r="S98" s="1335"/>
      <c r="T98" s="1334"/>
      <c r="U98" s="1347"/>
      <c r="V98" s="1334"/>
      <c r="W98" s="1347"/>
      <c r="X98" s="1334"/>
      <c r="Y98" s="1334"/>
      <c r="Z98" s="1377"/>
      <c r="AA98" s="1377"/>
      <c r="AB98" s="1377"/>
      <c r="AC98" s="1336"/>
      <c r="AD98" s="1336"/>
      <c r="AE98" s="1337"/>
    </row>
    <row r="99" spans="1:31">
      <c r="A99" s="1380">
        <v>94</v>
      </c>
      <c r="B99" s="2962"/>
      <c r="C99" s="2975"/>
      <c r="D99" s="2994"/>
      <c r="E99" s="1332"/>
      <c r="F99" s="1333"/>
      <c r="G99" s="1333"/>
      <c r="H99" s="1333"/>
      <c r="I99" s="1333"/>
      <c r="J99" s="1334"/>
      <c r="K99" s="1334"/>
      <c r="L99" s="1334"/>
      <c r="M99" s="1334"/>
      <c r="N99" s="1334"/>
      <c r="O99" s="1334"/>
      <c r="P99" s="1335"/>
      <c r="Q99" s="1335"/>
      <c r="R99" s="1334"/>
      <c r="S99" s="1335"/>
      <c r="T99" s="1334"/>
      <c r="U99" s="1347"/>
      <c r="V99" s="1334"/>
      <c r="W99" s="1347"/>
      <c r="X99" s="1334"/>
      <c r="Y99" s="1334"/>
      <c r="Z99" s="1377"/>
      <c r="AA99" s="1377"/>
      <c r="AB99" s="1377"/>
      <c r="AC99" s="1336"/>
      <c r="AD99" s="1336"/>
      <c r="AE99" s="1337"/>
    </row>
    <row r="100" spans="1:31">
      <c r="A100" s="1380">
        <v>95</v>
      </c>
      <c r="B100" s="2962"/>
      <c r="C100" s="2975"/>
      <c r="D100" s="2994"/>
      <c r="E100" s="1332"/>
      <c r="F100" s="1333"/>
      <c r="G100" s="1333"/>
      <c r="H100" s="1333"/>
      <c r="I100" s="1333"/>
      <c r="J100" s="1334"/>
      <c r="K100" s="1334"/>
      <c r="L100" s="1334"/>
      <c r="M100" s="1334"/>
      <c r="N100" s="1334"/>
      <c r="O100" s="1334"/>
      <c r="P100" s="1335"/>
      <c r="Q100" s="1335"/>
      <c r="R100" s="1334"/>
      <c r="S100" s="1335"/>
      <c r="T100" s="1334"/>
      <c r="U100" s="1347"/>
      <c r="V100" s="1334"/>
      <c r="W100" s="1347"/>
      <c r="X100" s="1334"/>
      <c r="Y100" s="1334"/>
      <c r="Z100" s="1377"/>
      <c r="AA100" s="1377"/>
      <c r="AB100" s="1377"/>
      <c r="AC100" s="1336"/>
      <c r="AD100" s="1336"/>
      <c r="AE100" s="1337"/>
    </row>
    <row r="101" spans="1:31">
      <c r="A101" s="1380">
        <v>96</v>
      </c>
      <c r="B101" s="2962"/>
      <c r="C101" s="2975"/>
      <c r="D101" s="2994"/>
      <c r="E101" s="1332"/>
      <c r="F101" s="1333"/>
      <c r="G101" s="1333"/>
      <c r="H101" s="1333"/>
      <c r="I101" s="1333"/>
      <c r="J101" s="1334"/>
      <c r="K101" s="1334"/>
      <c r="L101" s="1334"/>
      <c r="M101" s="1334"/>
      <c r="N101" s="1334"/>
      <c r="O101" s="1334"/>
      <c r="P101" s="1335"/>
      <c r="Q101" s="1335"/>
      <c r="R101" s="1334"/>
      <c r="S101" s="1335"/>
      <c r="T101" s="1334"/>
      <c r="U101" s="1347"/>
      <c r="V101" s="1334"/>
      <c r="W101" s="1347"/>
      <c r="X101" s="1334"/>
      <c r="Y101" s="1334"/>
      <c r="Z101" s="1377"/>
      <c r="AA101" s="1377"/>
      <c r="AB101" s="1377"/>
      <c r="AC101" s="1336"/>
      <c r="AD101" s="1336"/>
      <c r="AE101" s="1337"/>
    </row>
    <row r="102" spans="1:31">
      <c r="A102" s="1380">
        <v>97</v>
      </c>
      <c r="B102" s="2962"/>
      <c r="C102" s="2975"/>
      <c r="D102" s="2994"/>
      <c r="E102" s="1332"/>
      <c r="F102" s="1333"/>
      <c r="G102" s="1333"/>
      <c r="H102" s="1333"/>
      <c r="I102" s="1333"/>
      <c r="J102" s="1334"/>
      <c r="K102" s="1334"/>
      <c r="L102" s="1334"/>
      <c r="M102" s="1334"/>
      <c r="N102" s="1334"/>
      <c r="O102" s="1334"/>
      <c r="P102" s="1335"/>
      <c r="Q102" s="1335"/>
      <c r="R102" s="1334"/>
      <c r="S102" s="1335"/>
      <c r="T102" s="1334"/>
      <c r="U102" s="1347"/>
      <c r="V102" s="1334"/>
      <c r="W102" s="1347"/>
      <c r="X102" s="1334"/>
      <c r="Y102" s="1334"/>
      <c r="Z102" s="1377"/>
      <c r="AA102" s="1377"/>
      <c r="AB102" s="1377"/>
      <c r="AC102" s="1336"/>
      <c r="AD102" s="1336"/>
      <c r="AE102" s="1337"/>
    </row>
    <row r="103" spans="1:31">
      <c r="A103" s="1380">
        <v>98</v>
      </c>
      <c r="B103" s="2962"/>
      <c r="C103" s="2975"/>
      <c r="D103" s="2994"/>
      <c r="E103" s="1332"/>
      <c r="F103" s="1333"/>
      <c r="G103" s="1333"/>
      <c r="H103" s="1333"/>
      <c r="I103" s="1333"/>
      <c r="J103" s="1334"/>
      <c r="K103" s="1334"/>
      <c r="L103" s="1334"/>
      <c r="M103" s="1334"/>
      <c r="N103" s="1334"/>
      <c r="O103" s="1334"/>
      <c r="P103" s="1335"/>
      <c r="Q103" s="1335"/>
      <c r="R103" s="1334"/>
      <c r="S103" s="1335"/>
      <c r="T103" s="1334"/>
      <c r="U103" s="1347"/>
      <c r="V103" s="1334"/>
      <c r="W103" s="1347"/>
      <c r="X103" s="1334"/>
      <c r="Y103" s="1334"/>
      <c r="Z103" s="1377"/>
      <c r="AA103" s="1377"/>
      <c r="AB103" s="1377"/>
      <c r="AC103" s="1336"/>
      <c r="AD103" s="1336"/>
      <c r="AE103" s="1337"/>
    </row>
    <row r="104" spans="1:31">
      <c r="A104" s="1380">
        <v>99</v>
      </c>
      <c r="B104" s="2962"/>
      <c r="C104" s="2975"/>
      <c r="D104" s="2994"/>
      <c r="E104" s="1332"/>
      <c r="F104" s="1333"/>
      <c r="G104" s="1333"/>
      <c r="H104" s="1333"/>
      <c r="I104" s="1333"/>
      <c r="J104" s="1334"/>
      <c r="K104" s="1334"/>
      <c r="L104" s="1334"/>
      <c r="M104" s="1334"/>
      <c r="N104" s="1334"/>
      <c r="O104" s="1334"/>
      <c r="P104" s="1335"/>
      <c r="Q104" s="1334"/>
      <c r="R104" s="1334"/>
      <c r="S104" s="1334"/>
      <c r="T104" s="1334"/>
      <c r="U104" s="1335"/>
      <c r="V104" s="1334"/>
      <c r="W104" s="1335"/>
      <c r="X104" s="1334"/>
      <c r="Y104" s="1334"/>
      <c r="Z104" s="1377"/>
      <c r="AA104" s="1377"/>
      <c r="AB104" s="1377"/>
      <c r="AC104" s="1336"/>
      <c r="AD104" s="1336"/>
      <c r="AE104" s="1337"/>
    </row>
    <row r="105" spans="1:31">
      <c r="A105" s="1380">
        <v>100</v>
      </c>
      <c r="B105" s="2962"/>
      <c r="C105" s="2975"/>
      <c r="D105" s="2994"/>
      <c r="E105" s="1332"/>
      <c r="F105" s="1333"/>
      <c r="G105" s="1333"/>
      <c r="H105" s="1333"/>
      <c r="I105" s="1333"/>
      <c r="J105" s="1334"/>
      <c r="K105" s="1334"/>
      <c r="L105" s="1334"/>
      <c r="M105" s="1334"/>
      <c r="N105" s="1334"/>
      <c r="O105" s="1334"/>
      <c r="P105" s="1335"/>
      <c r="Q105" s="1334"/>
      <c r="R105" s="1334"/>
      <c r="S105" s="1334"/>
      <c r="T105" s="1334"/>
      <c r="U105" s="1335"/>
      <c r="V105" s="1334"/>
      <c r="W105" s="1335"/>
      <c r="X105" s="1334"/>
      <c r="Y105" s="1334"/>
      <c r="Z105" s="1377"/>
      <c r="AA105" s="1377"/>
      <c r="AB105" s="1377"/>
      <c r="AC105" s="1336"/>
      <c r="AD105" s="1336"/>
      <c r="AE105" s="1337"/>
    </row>
    <row r="106" spans="1:31">
      <c r="A106" s="1380">
        <v>101</v>
      </c>
      <c r="B106" s="2962"/>
      <c r="C106" s="2975"/>
      <c r="D106" s="2994"/>
      <c r="E106" s="1332"/>
      <c r="F106" s="1333"/>
      <c r="G106" s="1333"/>
      <c r="H106" s="1333"/>
      <c r="I106" s="1333"/>
      <c r="J106" s="1334"/>
      <c r="K106" s="1334"/>
      <c r="L106" s="1334"/>
      <c r="M106" s="1334"/>
      <c r="N106" s="1334"/>
      <c r="O106" s="1334"/>
      <c r="P106" s="1335"/>
      <c r="Q106" s="1334"/>
      <c r="R106" s="1334"/>
      <c r="S106" s="1334"/>
      <c r="T106" s="1334"/>
      <c r="U106" s="1335"/>
      <c r="V106" s="1334"/>
      <c r="W106" s="1335"/>
      <c r="X106" s="1334"/>
      <c r="Y106" s="1334"/>
      <c r="Z106" s="1377"/>
      <c r="AA106" s="1377"/>
      <c r="AB106" s="1377"/>
      <c r="AC106" s="1336"/>
      <c r="AD106" s="1336"/>
      <c r="AE106" s="1337"/>
    </row>
    <row r="107" spans="1:31">
      <c r="A107" s="1380">
        <v>102</v>
      </c>
      <c r="B107" s="2962"/>
      <c r="C107" s="2975"/>
      <c r="D107" s="2994"/>
      <c r="E107" s="1332"/>
      <c r="F107" s="1333"/>
      <c r="G107" s="1333"/>
      <c r="H107" s="1333"/>
      <c r="I107" s="1333"/>
      <c r="J107" s="1334"/>
      <c r="K107" s="1334"/>
      <c r="L107" s="1334"/>
      <c r="M107" s="1334"/>
      <c r="N107" s="1334"/>
      <c r="O107" s="1334"/>
      <c r="P107" s="1335"/>
      <c r="Q107" s="1334"/>
      <c r="R107" s="1334"/>
      <c r="S107" s="1334"/>
      <c r="T107" s="1334"/>
      <c r="U107" s="1335"/>
      <c r="V107" s="1334"/>
      <c r="W107" s="1335"/>
      <c r="X107" s="1334"/>
      <c r="Y107" s="1334"/>
      <c r="Z107" s="1377"/>
      <c r="AA107" s="1377"/>
      <c r="AB107" s="1377"/>
      <c r="AC107" s="1336"/>
      <c r="AD107" s="1336"/>
      <c r="AE107" s="1337"/>
    </row>
    <row r="108" spans="1:31" ht="17.25" thickBot="1">
      <c r="A108" s="1380">
        <v>103</v>
      </c>
      <c r="B108" s="2962"/>
      <c r="C108" s="2976"/>
      <c r="D108" s="1273" t="s">
        <v>3514</v>
      </c>
      <c r="E108" s="1343"/>
      <c r="F108" s="1343"/>
      <c r="G108" s="1343"/>
      <c r="H108" s="1343"/>
      <c r="I108" s="1343"/>
      <c r="J108" s="1343"/>
      <c r="K108" s="1343"/>
      <c r="L108" s="1343"/>
      <c r="M108" s="1344">
        <f>SUM(M98:M107)</f>
        <v>0</v>
      </c>
      <c r="N108" s="1344">
        <f>SUM(N98:N107)</f>
        <v>0</v>
      </c>
      <c r="O108" s="1344">
        <f>SUM(O98:O107)</f>
        <v>0</v>
      </c>
      <c r="P108" s="1344">
        <f>SUM(P98:P107)</f>
        <v>0</v>
      </c>
      <c r="Q108" s="1343"/>
      <c r="R108" s="1344">
        <f>SUM(R98:R107)</f>
        <v>0</v>
      </c>
      <c r="S108" s="1340"/>
      <c r="T108" s="1344">
        <f>SUM(T98:T107)</f>
        <v>0</v>
      </c>
      <c r="U108" s="1344">
        <f>SUM(U98:U107)</f>
        <v>0</v>
      </c>
      <c r="V108" s="1344">
        <f>SUM(V98:V107)</f>
        <v>0</v>
      </c>
      <c r="W108" s="1344">
        <f>SUM(W98:W107)</f>
        <v>0</v>
      </c>
      <c r="X108" s="1343"/>
      <c r="Y108" s="1343"/>
      <c r="Z108" s="1379"/>
      <c r="AA108" s="1379"/>
      <c r="AB108" s="1379"/>
      <c r="AC108" s="1343"/>
      <c r="AD108" s="1343"/>
      <c r="AE108" s="1378"/>
    </row>
    <row r="109" spans="1:31" ht="16.5" customHeight="1">
      <c r="A109" s="1380">
        <v>104</v>
      </c>
      <c r="B109" s="2962"/>
      <c r="C109" s="2964" t="s">
        <v>4261</v>
      </c>
      <c r="D109" s="2991" t="s">
        <v>4262</v>
      </c>
      <c r="E109" s="1345"/>
      <c r="F109" s="1327"/>
      <c r="G109" s="1327"/>
      <c r="H109" s="1327"/>
      <c r="I109" s="1327"/>
      <c r="J109" s="1328"/>
      <c r="K109" s="1328"/>
      <c r="L109" s="1328"/>
      <c r="M109" s="1328"/>
      <c r="N109" s="1328"/>
      <c r="O109" s="1328"/>
      <c r="P109" s="1329"/>
      <c r="Q109" s="1328"/>
      <c r="R109" s="1328"/>
      <c r="S109" s="1328"/>
      <c r="T109" s="1348"/>
      <c r="U109" s="1329"/>
      <c r="V109" s="1348"/>
      <c r="W109" s="1329"/>
      <c r="X109" s="1328"/>
      <c r="Y109" s="1328"/>
      <c r="Z109" s="1408"/>
      <c r="AA109" s="1408"/>
      <c r="AB109" s="1409"/>
      <c r="AC109" s="1330"/>
      <c r="AD109" s="1330"/>
      <c r="AE109" s="1346"/>
    </row>
    <row r="110" spans="1:31">
      <c r="A110" s="1380">
        <v>105</v>
      </c>
      <c r="B110" s="2962"/>
      <c r="C110" s="2965"/>
      <c r="D110" s="2994"/>
      <c r="E110" s="1332"/>
      <c r="F110" s="1333"/>
      <c r="G110" s="1333"/>
      <c r="H110" s="1333"/>
      <c r="I110" s="1333"/>
      <c r="J110" s="1334"/>
      <c r="K110" s="1334"/>
      <c r="L110" s="1334"/>
      <c r="M110" s="1334"/>
      <c r="N110" s="1334"/>
      <c r="O110" s="1334"/>
      <c r="P110" s="1335"/>
      <c r="Q110" s="1334"/>
      <c r="R110" s="1334"/>
      <c r="S110" s="1334"/>
      <c r="T110" s="1347"/>
      <c r="U110" s="1335"/>
      <c r="V110" s="1347"/>
      <c r="W110" s="1335"/>
      <c r="X110" s="1334"/>
      <c r="Y110" s="1334"/>
      <c r="Z110" s="1377"/>
      <c r="AA110" s="1377"/>
      <c r="AB110" s="1377"/>
      <c r="AC110" s="1336"/>
      <c r="AD110" s="1336"/>
      <c r="AE110" s="1337"/>
    </row>
    <row r="111" spans="1:31">
      <c r="A111" s="1380">
        <v>106</v>
      </c>
      <c r="B111" s="2962"/>
      <c r="C111" s="2965"/>
      <c r="D111" s="2994"/>
      <c r="E111" s="1332"/>
      <c r="F111" s="1333"/>
      <c r="G111" s="1333"/>
      <c r="H111" s="1333"/>
      <c r="I111" s="1333"/>
      <c r="J111" s="1334"/>
      <c r="K111" s="1334"/>
      <c r="L111" s="1334"/>
      <c r="M111" s="1334"/>
      <c r="N111" s="1334"/>
      <c r="O111" s="1334"/>
      <c r="P111" s="1335"/>
      <c r="Q111" s="1334"/>
      <c r="R111" s="1334"/>
      <c r="S111" s="1334"/>
      <c r="T111" s="1347"/>
      <c r="U111" s="1335"/>
      <c r="V111" s="1347"/>
      <c r="W111" s="1335"/>
      <c r="X111" s="1334"/>
      <c r="Y111" s="1334"/>
      <c r="Z111" s="1377"/>
      <c r="AA111" s="1377"/>
      <c r="AB111" s="1377"/>
      <c r="AC111" s="1336"/>
      <c r="AD111" s="1336"/>
      <c r="AE111" s="1337"/>
    </row>
    <row r="112" spans="1:31">
      <c r="A112" s="1380">
        <v>107</v>
      </c>
      <c r="B112" s="2962"/>
      <c r="C112" s="2965"/>
      <c r="D112" s="2994"/>
      <c r="E112" s="1332"/>
      <c r="F112" s="1333"/>
      <c r="G112" s="1333"/>
      <c r="H112" s="1333"/>
      <c r="I112" s="1333"/>
      <c r="J112" s="1334"/>
      <c r="K112" s="1334"/>
      <c r="L112" s="1334"/>
      <c r="M112" s="1334"/>
      <c r="N112" s="1334"/>
      <c r="O112" s="1334"/>
      <c r="P112" s="1335"/>
      <c r="Q112" s="1334"/>
      <c r="R112" s="1334"/>
      <c r="S112" s="1334"/>
      <c r="T112" s="1347"/>
      <c r="U112" s="1335"/>
      <c r="V112" s="1347"/>
      <c r="W112" s="1335"/>
      <c r="X112" s="1334"/>
      <c r="Y112" s="1334"/>
      <c r="Z112" s="1377"/>
      <c r="AA112" s="1377"/>
      <c r="AB112" s="1377"/>
      <c r="AC112" s="1336"/>
      <c r="AD112" s="1336"/>
      <c r="AE112" s="1337"/>
    </row>
    <row r="113" spans="1:31">
      <c r="A113" s="1380">
        <v>108</v>
      </c>
      <c r="B113" s="2962"/>
      <c r="C113" s="2965"/>
      <c r="D113" s="2994"/>
      <c r="E113" s="1332"/>
      <c r="F113" s="1333"/>
      <c r="G113" s="1333"/>
      <c r="H113" s="1333"/>
      <c r="I113" s="1333"/>
      <c r="J113" s="1334"/>
      <c r="K113" s="1334"/>
      <c r="L113" s="1334"/>
      <c r="M113" s="1334"/>
      <c r="N113" s="1334"/>
      <c r="O113" s="1334"/>
      <c r="P113" s="1335"/>
      <c r="Q113" s="1334"/>
      <c r="R113" s="1334"/>
      <c r="S113" s="1334"/>
      <c r="T113" s="1347"/>
      <c r="U113" s="1335"/>
      <c r="V113" s="1347"/>
      <c r="W113" s="1335"/>
      <c r="X113" s="1334"/>
      <c r="Y113" s="1334"/>
      <c r="Z113" s="1377"/>
      <c r="AA113" s="1377"/>
      <c r="AB113" s="1377"/>
      <c r="AC113" s="1336"/>
      <c r="AD113" s="1336"/>
      <c r="AE113" s="1337"/>
    </row>
    <row r="114" spans="1:31">
      <c r="A114" s="1380">
        <v>109</v>
      </c>
      <c r="B114" s="2962"/>
      <c r="C114" s="2965"/>
      <c r="D114" s="2994"/>
      <c r="E114" s="1332"/>
      <c r="F114" s="1333"/>
      <c r="G114" s="1333"/>
      <c r="H114" s="1333"/>
      <c r="I114" s="1333"/>
      <c r="J114" s="1334"/>
      <c r="K114" s="1334"/>
      <c r="L114" s="1334"/>
      <c r="M114" s="1334"/>
      <c r="N114" s="1334"/>
      <c r="O114" s="1334"/>
      <c r="P114" s="1335"/>
      <c r="Q114" s="1334"/>
      <c r="R114" s="1334"/>
      <c r="S114" s="1334"/>
      <c r="T114" s="1347"/>
      <c r="U114" s="1335"/>
      <c r="V114" s="1347"/>
      <c r="W114" s="1335"/>
      <c r="X114" s="1334"/>
      <c r="Y114" s="1334"/>
      <c r="Z114" s="1377"/>
      <c r="AA114" s="1377"/>
      <c r="AB114" s="1377"/>
      <c r="AC114" s="1336"/>
      <c r="AD114" s="1336"/>
      <c r="AE114" s="1337"/>
    </row>
    <row r="115" spans="1:31">
      <c r="A115" s="1380">
        <v>110</v>
      </c>
      <c r="B115" s="2962"/>
      <c r="C115" s="2965"/>
      <c r="D115" s="1279" t="s">
        <v>3514</v>
      </c>
      <c r="E115" s="1340"/>
      <c r="F115" s="1340"/>
      <c r="G115" s="1340"/>
      <c r="H115" s="1340"/>
      <c r="I115" s="1340"/>
      <c r="J115" s="1340"/>
      <c r="K115" s="1340"/>
      <c r="L115" s="1340"/>
      <c r="M115" s="1334">
        <f>SUM(M109:M114)</f>
        <v>0</v>
      </c>
      <c r="N115" s="1334">
        <f>SUM(N109:N114)</f>
        <v>0</v>
      </c>
      <c r="O115" s="1334">
        <f>SUM(O109:O114)</f>
        <v>0</v>
      </c>
      <c r="P115" s="1334">
        <f>SUM(P109:P114)</f>
        <v>0</v>
      </c>
      <c r="Q115" s="1340"/>
      <c r="R115" s="1334">
        <f>SUM(R109:R114)</f>
        <v>0</v>
      </c>
      <c r="S115" s="1340"/>
      <c r="T115" s="1334">
        <f>SUM(T109:T114)</f>
        <v>0</v>
      </c>
      <c r="U115" s="1334">
        <f>SUM(U109:U114)</f>
        <v>0</v>
      </c>
      <c r="V115" s="1334">
        <f>SUM(V109:V114)</f>
        <v>0</v>
      </c>
      <c r="W115" s="1334">
        <f>SUM(W109:W114)</f>
        <v>0</v>
      </c>
      <c r="X115" s="1340"/>
      <c r="Y115" s="1340"/>
      <c r="Z115" s="1377"/>
      <c r="AA115" s="1377"/>
      <c r="AB115" s="1377"/>
      <c r="AC115" s="1340"/>
      <c r="AD115" s="1340"/>
      <c r="AE115" s="1378"/>
    </row>
    <row r="116" spans="1:31" ht="13.9" customHeight="1">
      <c r="A116" s="1380">
        <v>111</v>
      </c>
      <c r="B116" s="2962"/>
      <c r="C116" s="2965"/>
      <c r="D116" s="2994" t="s">
        <v>4256</v>
      </c>
      <c r="E116" s="1332"/>
      <c r="F116" s="1333"/>
      <c r="G116" s="1333"/>
      <c r="H116" s="1333"/>
      <c r="I116" s="1333"/>
      <c r="J116" s="1334"/>
      <c r="K116" s="1334"/>
      <c r="L116" s="1334"/>
      <c r="M116" s="1334"/>
      <c r="N116" s="1334"/>
      <c r="O116" s="1334"/>
      <c r="P116" s="1335"/>
      <c r="Q116" s="1334"/>
      <c r="R116" s="1334"/>
      <c r="S116" s="1334"/>
      <c r="T116" s="1347"/>
      <c r="U116" s="1335"/>
      <c r="V116" s="1347"/>
      <c r="W116" s="1335"/>
      <c r="X116" s="1334"/>
      <c r="Y116" s="1334"/>
      <c r="Z116" s="1377"/>
      <c r="AA116" s="1377"/>
      <c r="AB116" s="1377"/>
      <c r="AC116" s="1336"/>
      <c r="AD116" s="1336"/>
      <c r="AE116" s="1337"/>
    </row>
    <row r="117" spans="1:31">
      <c r="A117" s="1380">
        <v>112</v>
      </c>
      <c r="B117" s="2962"/>
      <c r="C117" s="2965"/>
      <c r="D117" s="2994"/>
      <c r="E117" s="1332"/>
      <c r="F117" s="1333"/>
      <c r="G117" s="1333"/>
      <c r="H117" s="1333"/>
      <c r="I117" s="1333"/>
      <c r="J117" s="1334"/>
      <c r="K117" s="1334"/>
      <c r="L117" s="1334"/>
      <c r="M117" s="1334"/>
      <c r="N117" s="1334"/>
      <c r="O117" s="1334"/>
      <c r="P117" s="1335"/>
      <c r="Q117" s="1334"/>
      <c r="R117" s="1334"/>
      <c r="S117" s="1334"/>
      <c r="T117" s="1347"/>
      <c r="U117" s="1335"/>
      <c r="V117" s="1347"/>
      <c r="W117" s="1335"/>
      <c r="X117" s="1334"/>
      <c r="Y117" s="1334"/>
      <c r="Z117" s="1377"/>
      <c r="AA117" s="1377"/>
      <c r="AB117" s="1377"/>
      <c r="AC117" s="1336"/>
      <c r="AD117" s="1336"/>
      <c r="AE117" s="1337"/>
    </row>
    <row r="118" spans="1:31">
      <c r="A118" s="1380">
        <v>113</v>
      </c>
      <c r="B118" s="2962"/>
      <c r="C118" s="2965"/>
      <c r="D118" s="2994"/>
      <c r="E118" s="1332"/>
      <c r="F118" s="1333"/>
      <c r="G118" s="1333"/>
      <c r="H118" s="1333"/>
      <c r="I118" s="1333"/>
      <c r="J118" s="1334"/>
      <c r="K118" s="1334"/>
      <c r="L118" s="1334"/>
      <c r="M118" s="1334"/>
      <c r="N118" s="1334"/>
      <c r="O118" s="1334"/>
      <c r="P118" s="1335"/>
      <c r="Q118" s="1334"/>
      <c r="R118" s="1334"/>
      <c r="S118" s="1334"/>
      <c r="T118" s="1347"/>
      <c r="U118" s="1335"/>
      <c r="V118" s="1347"/>
      <c r="W118" s="1335"/>
      <c r="X118" s="1334"/>
      <c r="Y118" s="1334"/>
      <c r="Z118" s="1377"/>
      <c r="AA118" s="1377"/>
      <c r="AB118" s="1377"/>
      <c r="AC118" s="1336"/>
      <c r="AD118" s="1336"/>
      <c r="AE118" s="1337"/>
    </row>
    <row r="119" spans="1:31">
      <c r="A119" s="1380">
        <v>114</v>
      </c>
      <c r="B119" s="2962"/>
      <c r="C119" s="2965"/>
      <c r="D119" s="2994"/>
      <c r="E119" s="1332"/>
      <c r="F119" s="1333"/>
      <c r="G119" s="1333"/>
      <c r="H119" s="1333"/>
      <c r="I119" s="1333"/>
      <c r="J119" s="1334"/>
      <c r="K119" s="1334"/>
      <c r="L119" s="1334"/>
      <c r="M119" s="1334"/>
      <c r="N119" s="1334"/>
      <c r="O119" s="1334"/>
      <c r="P119" s="1335"/>
      <c r="Q119" s="1334"/>
      <c r="R119" s="1334"/>
      <c r="S119" s="1334"/>
      <c r="T119" s="1347"/>
      <c r="U119" s="1335"/>
      <c r="V119" s="1347"/>
      <c r="W119" s="1335"/>
      <c r="X119" s="1334"/>
      <c r="Y119" s="1334"/>
      <c r="Z119" s="1377"/>
      <c r="AA119" s="1377"/>
      <c r="AB119" s="1377"/>
      <c r="AC119" s="1336"/>
      <c r="AD119" s="1336"/>
      <c r="AE119" s="1337"/>
    </row>
    <row r="120" spans="1:31" ht="16.5" customHeight="1">
      <c r="A120" s="1380">
        <v>115</v>
      </c>
      <c r="B120" s="2962"/>
      <c r="C120" s="2965"/>
      <c r="D120" s="2994"/>
      <c r="E120" s="1332"/>
      <c r="F120" s="1333"/>
      <c r="G120" s="1333"/>
      <c r="H120" s="1333"/>
      <c r="I120" s="1333"/>
      <c r="J120" s="1334"/>
      <c r="K120" s="1334"/>
      <c r="L120" s="1334"/>
      <c r="M120" s="1334"/>
      <c r="N120" s="1334"/>
      <c r="O120" s="1334"/>
      <c r="P120" s="1335"/>
      <c r="Q120" s="1334"/>
      <c r="R120" s="1334"/>
      <c r="S120" s="1334"/>
      <c r="T120" s="1347"/>
      <c r="U120" s="1335"/>
      <c r="V120" s="1347"/>
      <c r="W120" s="1335"/>
      <c r="X120" s="1334"/>
      <c r="Y120" s="1334"/>
      <c r="Z120" s="1377"/>
      <c r="AA120" s="1377"/>
      <c r="AB120" s="1377"/>
      <c r="AC120" s="1336"/>
      <c r="AD120" s="1336"/>
      <c r="AE120" s="1337"/>
    </row>
    <row r="121" spans="1:31" ht="16.5" customHeight="1">
      <c r="A121" s="1380">
        <v>116</v>
      </c>
      <c r="B121" s="2962"/>
      <c r="C121" s="2965"/>
      <c r="D121" s="2994"/>
      <c r="E121" s="1332"/>
      <c r="F121" s="1333"/>
      <c r="G121" s="1333"/>
      <c r="H121" s="1333"/>
      <c r="I121" s="1333"/>
      <c r="J121" s="1334"/>
      <c r="K121" s="1334"/>
      <c r="L121" s="1334"/>
      <c r="M121" s="1334"/>
      <c r="N121" s="1334"/>
      <c r="O121" s="1334"/>
      <c r="P121" s="1335"/>
      <c r="Q121" s="1334"/>
      <c r="R121" s="1334"/>
      <c r="S121" s="1334"/>
      <c r="T121" s="1347"/>
      <c r="U121" s="1335"/>
      <c r="V121" s="1347"/>
      <c r="W121" s="1335"/>
      <c r="X121" s="1334"/>
      <c r="Y121" s="1334"/>
      <c r="Z121" s="1377"/>
      <c r="AA121" s="1377"/>
      <c r="AB121" s="1377"/>
      <c r="AC121" s="1336"/>
      <c r="AD121" s="1336"/>
      <c r="AE121" s="1337"/>
    </row>
    <row r="122" spans="1:31">
      <c r="A122" s="1380">
        <v>117</v>
      </c>
      <c r="B122" s="2962"/>
      <c r="C122" s="2965"/>
      <c r="D122" s="1279" t="s">
        <v>3514</v>
      </c>
      <c r="E122" s="1340"/>
      <c r="F122" s="1340"/>
      <c r="G122" s="1340"/>
      <c r="H122" s="1340"/>
      <c r="I122" s="1340"/>
      <c r="J122" s="1340"/>
      <c r="K122" s="1340"/>
      <c r="L122" s="1340"/>
      <c r="M122" s="1334">
        <f>SUM(M116:M121)</f>
        <v>0</v>
      </c>
      <c r="N122" s="1334">
        <f>SUM(N116:N121)</f>
        <v>0</v>
      </c>
      <c r="O122" s="1334">
        <f>SUM(O116:O121)</f>
        <v>0</v>
      </c>
      <c r="P122" s="1334">
        <f>SUM(P116:P121)</f>
        <v>0</v>
      </c>
      <c r="Q122" s="1340"/>
      <c r="R122" s="1334">
        <f>SUM(R116:R121)</f>
        <v>0</v>
      </c>
      <c r="S122" s="1340"/>
      <c r="T122" s="1334">
        <f>SUM(T116:T121)</f>
        <v>0</v>
      </c>
      <c r="U122" s="1334">
        <f>SUM(U116:U121)</f>
        <v>0</v>
      </c>
      <c r="V122" s="1334">
        <f>SUM(V116:V121)</f>
        <v>0</v>
      </c>
      <c r="W122" s="1334">
        <f>SUM(W116:W121)</f>
        <v>0</v>
      </c>
      <c r="X122" s="1340"/>
      <c r="Y122" s="1340"/>
      <c r="Z122" s="1397"/>
      <c r="AA122" s="1397"/>
      <c r="AB122" s="1397"/>
      <c r="AC122" s="1340"/>
      <c r="AD122" s="1340"/>
      <c r="AE122" s="1378"/>
    </row>
    <row r="123" spans="1:31" ht="13.9" customHeight="1">
      <c r="A123" s="1380">
        <v>118</v>
      </c>
      <c r="B123" s="2962"/>
      <c r="C123" s="2965"/>
      <c r="D123" s="2994" t="s">
        <v>4258</v>
      </c>
      <c r="E123" s="1332"/>
      <c r="F123" s="1333"/>
      <c r="G123" s="1333"/>
      <c r="H123" s="1333"/>
      <c r="I123" s="1333"/>
      <c r="J123" s="1334"/>
      <c r="K123" s="1334"/>
      <c r="L123" s="1334"/>
      <c r="M123" s="1334"/>
      <c r="N123" s="1334"/>
      <c r="O123" s="1334"/>
      <c r="P123" s="1335"/>
      <c r="Q123" s="1334"/>
      <c r="R123" s="1334"/>
      <c r="S123" s="1334"/>
      <c r="T123" s="1347"/>
      <c r="U123" s="1335"/>
      <c r="V123" s="1347"/>
      <c r="W123" s="1335"/>
      <c r="X123" s="1334"/>
      <c r="Y123" s="1334"/>
      <c r="Z123" s="1377"/>
      <c r="AA123" s="1377"/>
      <c r="AB123" s="1377"/>
      <c r="AC123" s="1336"/>
      <c r="AD123" s="1336"/>
      <c r="AE123" s="1337"/>
    </row>
    <row r="124" spans="1:31">
      <c r="A124" s="1380">
        <v>119</v>
      </c>
      <c r="B124" s="2962"/>
      <c r="C124" s="2965"/>
      <c r="D124" s="2994"/>
      <c r="E124" s="1332"/>
      <c r="F124" s="1333"/>
      <c r="G124" s="1333"/>
      <c r="H124" s="1333"/>
      <c r="I124" s="1333"/>
      <c r="J124" s="1334"/>
      <c r="K124" s="1334"/>
      <c r="L124" s="1334"/>
      <c r="M124" s="1334"/>
      <c r="N124" s="1334"/>
      <c r="O124" s="1334"/>
      <c r="P124" s="1335"/>
      <c r="Q124" s="1334"/>
      <c r="R124" s="1334"/>
      <c r="S124" s="1334"/>
      <c r="T124" s="1347"/>
      <c r="U124" s="1335"/>
      <c r="V124" s="1347"/>
      <c r="W124" s="1335"/>
      <c r="X124" s="1334"/>
      <c r="Y124" s="1334"/>
      <c r="Z124" s="1377"/>
      <c r="AA124" s="1377"/>
      <c r="AB124" s="1377"/>
      <c r="AC124" s="1336"/>
      <c r="AD124" s="1336"/>
      <c r="AE124" s="1337"/>
    </row>
    <row r="125" spans="1:31">
      <c r="A125" s="1380">
        <v>120</v>
      </c>
      <c r="B125" s="2962"/>
      <c r="C125" s="2965"/>
      <c r="D125" s="2994"/>
      <c r="E125" s="1332"/>
      <c r="F125" s="1333"/>
      <c r="G125" s="1333"/>
      <c r="H125" s="1333"/>
      <c r="I125" s="1333"/>
      <c r="J125" s="1334"/>
      <c r="K125" s="1334"/>
      <c r="L125" s="1334"/>
      <c r="M125" s="1334"/>
      <c r="N125" s="1334"/>
      <c r="O125" s="1334"/>
      <c r="P125" s="1335"/>
      <c r="Q125" s="1334"/>
      <c r="R125" s="1334"/>
      <c r="S125" s="1334"/>
      <c r="T125" s="1347"/>
      <c r="U125" s="1335"/>
      <c r="V125" s="1347"/>
      <c r="W125" s="1335"/>
      <c r="X125" s="1334"/>
      <c r="Y125" s="1334"/>
      <c r="Z125" s="1377"/>
      <c r="AA125" s="1377"/>
      <c r="AB125" s="1377"/>
      <c r="AC125" s="1336"/>
      <c r="AD125" s="1336"/>
      <c r="AE125" s="1337"/>
    </row>
    <row r="126" spans="1:31">
      <c r="A126" s="1380">
        <v>121</v>
      </c>
      <c r="B126" s="2962"/>
      <c r="C126" s="2965"/>
      <c r="D126" s="2994"/>
      <c r="E126" s="1332"/>
      <c r="F126" s="1333"/>
      <c r="G126" s="1333"/>
      <c r="H126" s="1333"/>
      <c r="I126" s="1333"/>
      <c r="J126" s="1334"/>
      <c r="K126" s="1334"/>
      <c r="L126" s="1334"/>
      <c r="M126" s="1334"/>
      <c r="N126" s="1334"/>
      <c r="O126" s="1334"/>
      <c r="P126" s="1335"/>
      <c r="Q126" s="1334"/>
      <c r="R126" s="1334"/>
      <c r="S126" s="1334"/>
      <c r="T126" s="1347"/>
      <c r="U126" s="1335"/>
      <c r="V126" s="1347"/>
      <c r="W126" s="1335"/>
      <c r="X126" s="1334"/>
      <c r="Y126" s="1334"/>
      <c r="Z126" s="1377"/>
      <c r="AA126" s="1377"/>
      <c r="AB126" s="1377"/>
      <c r="AC126" s="1336"/>
      <c r="AD126" s="1336"/>
      <c r="AE126" s="1337"/>
    </row>
    <row r="127" spans="1:31">
      <c r="A127" s="1380">
        <v>122</v>
      </c>
      <c r="B127" s="2962"/>
      <c r="C127" s="2965"/>
      <c r="D127" s="2994"/>
      <c r="E127" s="1332"/>
      <c r="F127" s="1333"/>
      <c r="G127" s="1333"/>
      <c r="H127" s="1333"/>
      <c r="I127" s="1333"/>
      <c r="J127" s="1334"/>
      <c r="K127" s="1334"/>
      <c r="L127" s="1334"/>
      <c r="M127" s="1334"/>
      <c r="N127" s="1334"/>
      <c r="O127" s="1334"/>
      <c r="P127" s="1335"/>
      <c r="Q127" s="1334"/>
      <c r="R127" s="1334"/>
      <c r="S127" s="1334"/>
      <c r="T127" s="1347"/>
      <c r="U127" s="1335"/>
      <c r="V127" s="1347"/>
      <c r="W127" s="1335"/>
      <c r="X127" s="1334"/>
      <c r="Y127" s="1334"/>
      <c r="Z127" s="1377"/>
      <c r="AA127" s="1377"/>
      <c r="AB127" s="1377"/>
      <c r="AC127" s="1336"/>
      <c r="AD127" s="1336"/>
      <c r="AE127" s="1337"/>
    </row>
    <row r="128" spans="1:31">
      <c r="A128" s="1380">
        <v>123</v>
      </c>
      <c r="B128" s="2962"/>
      <c r="C128" s="2965"/>
      <c r="D128" s="2994"/>
      <c r="E128" s="1332"/>
      <c r="F128" s="1333"/>
      <c r="G128" s="1333"/>
      <c r="H128" s="1333"/>
      <c r="I128" s="1333"/>
      <c r="J128" s="1334"/>
      <c r="K128" s="1334"/>
      <c r="L128" s="1334"/>
      <c r="M128" s="1334"/>
      <c r="N128" s="1334"/>
      <c r="O128" s="1334"/>
      <c r="P128" s="1335"/>
      <c r="Q128" s="1334"/>
      <c r="R128" s="1334"/>
      <c r="S128" s="1334"/>
      <c r="T128" s="1347"/>
      <c r="U128" s="1335"/>
      <c r="V128" s="1347"/>
      <c r="W128" s="1335"/>
      <c r="X128" s="1334"/>
      <c r="Y128" s="1334"/>
      <c r="Z128" s="1377"/>
      <c r="AA128" s="1377"/>
      <c r="AB128" s="1377"/>
      <c r="AC128" s="1336"/>
      <c r="AD128" s="1336"/>
      <c r="AE128" s="1337"/>
    </row>
    <row r="129" spans="1:31" ht="17.25" thickBot="1">
      <c r="A129" s="1410">
        <v>124</v>
      </c>
      <c r="B129" s="2963"/>
      <c r="C129" s="2993"/>
      <c r="D129" s="1268" t="s">
        <v>3514</v>
      </c>
      <c r="E129" s="1411"/>
      <c r="F129" s="1412"/>
      <c r="G129" s="1412"/>
      <c r="H129" s="1412"/>
      <c r="I129" s="1412"/>
      <c r="J129" s="1413"/>
      <c r="K129" s="1413"/>
      <c r="L129" s="1413"/>
      <c r="M129" s="1414">
        <f>SUM(M123:M128)</f>
        <v>0</v>
      </c>
      <c r="N129" s="1414">
        <f>SUM(N123:N128)</f>
        <v>0</v>
      </c>
      <c r="O129" s="1414">
        <f>SUM(O123:O128)</f>
        <v>0</v>
      </c>
      <c r="P129" s="1414">
        <f>SUM(P123:P128)</f>
        <v>0</v>
      </c>
      <c r="Q129" s="1413"/>
      <c r="R129" s="1414">
        <f>SUM(R123:R128)</f>
        <v>0</v>
      </c>
      <c r="S129" s="1413"/>
      <c r="T129" s="1414">
        <f>SUM(T123:T128)</f>
        <v>0</v>
      </c>
      <c r="U129" s="1414">
        <f>SUM(U123:U128)</f>
        <v>0</v>
      </c>
      <c r="V129" s="1414">
        <f>SUM(V123:V128)</f>
        <v>0</v>
      </c>
      <c r="W129" s="1414">
        <f>SUM(W123:W128)</f>
        <v>0</v>
      </c>
      <c r="X129" s="1413"/>
      <c r="Y129" s="1413"/>
      <c r="Z129" s="1397"/>
      <c r="AA129" s="1397"/>
      <c r="AB129" s="1397"/>
      <c r="AC129" s="1413"/>
      <c r="AD129" s="1413"/>
      <c r="AE129" s="1415"/>
    </row>
    <row r="130" spans="1:31" ht="17.25" thickBot="1">
      <c r="A130" s="1416">
        <v>125</v>
      </c>
      <c r="B130" s="2959" t="s">
        <v>4263</v>
      </c>
      <c r="C130" s="2960"/>
      <c r="D130" s="1417"/>
      <c r="E130" s="1418"/>
      <c r="F130" s="1419"/>
      <c r="G130" s="1419"/>
      <c r="H130" s="1419"/>
      <c r="I130" s="1419"/>
      <c r="J130" s="1420"/>
      <c r="K130" s="1420"/>
      <c r="L130" s="1420"/>
      <c r="M130" s="1421">
        <f>M129+M122+M115+M108+M97+M86+M75+M64+M53+M42+M31+M18</f>
        <v>0</v>
      </c>
      <c r="N130" s="33">
        <f t="shared" ref="N130:V130" si="0">N129+N122+N115+N108+N97+N86+N75+N64+N53+N42+N31+N18</f>
        <v>0</v>
      </c>
      <c r="O130" s="33">
        <f t="shared" si="0"/>
        <v>0</v>
      </c>
      <c r="P130" s="33">
        <f t="shared" si="0"/>
        <v>0</v>
      </c>
      <c r="Q130" s="33"/>
      <c r="R130" s="33">
        <f t="shared" si="0"/>
        <v>0</v>
      </c>
      <c r="S130" s="33"/>
      <c r="T130" s="33">
        <f>T129+T122+T115+T108+T97+T86+T75+T64+T53+T42+T31+T18</f>
        <v>0</v>
      </c>
      <c r="U130" s="33">
        <f t="shared" si="0"/>
        <v>0</v>
      </c>
      <c r="V130" s="33">
        <f t="shared" si="0"/>
        <v>0</v>
      </c>
      <c r="W130" s="33">
        <f>W129+W122+W115+W108+W97+W86+W75+W64+W53+W42+W31+W18</f>
        <v>0</v>
      </c>
      <c r="X130" s="1420"/>
      <c r="Y130" s="1420"/>
      <c r="Z130" s="1422"/>
      <c r="AA130" s="1422"/>
      <c r="AB130" s="1422"/>
      <c r="AC130" s="1423"/>
      <c r="AD130" s="1423"/>
      <c r="AE130" s="1424"/>
    </row>
    <row r="131" spans="1:31" ht="16.5" customHeight="1">
      <c r="A131" s="1416">
        <v>126</v>
      </c>
      <c r="B131" s="3009" t="s">
        <v>4290</v>
      </c>
      <c r="C131" s="2964" t="s">
        <v>4265</v>
      </c>
      <c r="D131" s="2991" t="s">
        <v>4266</v>
      </c>
      <c r="E131" s="1345"/>
      <c r="F131" s="1327"/>
      <c r="G131" s="1327"/>
      <c r="H131" s="1327"/>
      <c r="I131" s="1327"/>
      <c r="J131" s="1328"/>
      <c r="K131" s="1328"/>
      <c r="L131" s="1328"/>
      <c r="M131" s="1328"/>
      <c r="N131" s="1328"/>
      <c r="O131" s="1328"/>
      <c r="P131" s="1329"/>
      <c r="Q131" s="1328"/>
      <c r="R131" s="1328"/>
      <c r="S131" s="1328"/>
      <c r="T131" s="1330"/>
      <c r="U131" s="1330"/>
      <c r="V131" s="1330"/>
      <c r="W131" s="1330"/>
      <c r="X131" s="1359"/>
      <c r="Y131" s="1360"/>
      <c r="Z131" s="1408"/>
      <c r="AA131" s="1408"/>
      <c r="AB131" s="1409"/>
      <c r="AC131" s="1330"/>
      <c r="AD131" s="1330"/>
      <c r="AE131" s="1331"/>
    </row>
    <row r="132" spans="1:31" ht="16.5" customHeight="1">
      <c r="A132" s="1380">
        <v>127</v>
      </c>
      <c r="B132" s="3010"/>
      <c r="C132" s="2965"/>
      <c r="D132" s="2994"/>
      <c r="E132" s="1332"/>
      <c r="F132" s="1333"/>
      <c r="G132" s="1333"/>
      <c r="H132" s="1333"/>
      <c r="I132" s="1333"/>
      <c r="J132" s="1334"/>
      <c r="K132" s="1334"/>
      <c r="L132" s="1334"/>
      <c r="M132" s="1334"/>
      <c r="N132" s="1334"/>
      <c r="O132" s="1334"/>
      <c r="P132" s="1335"/>
      <c r="Q132" s="1334"/>
      <c r="R132" s="1334"/>
      <c r="S132" s="1334"/>
      <c r="T132" s="1336"/>
      <c r="U132" s="1336"/>
      <c r="V132" s="1336"/>
      <c r="W132" s="1336"/>
      <c r="X132" s="1340"/>
      <c r="Y132" s="1362"/>
      <c r="Z132" s="1397"/>
      <c r="AA132" s="1397"/>
      <c r="AB132" s="1377"/>
      <c r="AC132" s="1336"/>
      <c r="AD132" s="1336"/>
      <c r="AE132" s="1337"/>
    </row>
    <row r="133" spans="1:31" ht="16.5" customHeight="1">
      <c r="A133" s="1380">
        <v>128</v>
      </c>
      <c r="B133" s="3010"/>
      <c r="C133" s="2965"/>
      <c r="D133" s="2994"/>
      <c r="E133" s="1332"/>
      <c r="F133" s="1333"/>
      <c r="G133" s="1333"/>
      <c r="H133" s="1333"/>
      <c r="I133" s="1333"/>
      <c r="J133" s="1334"/>
      <c r="K133" s="1334"/>
      <c r="L133" s="1334"/>
      <c r="M133" s="1334"/>
      <c r="N133" s="1334"/>
      <c r="O133" s="1334"/>
      <c r="P133" s="1335"/>
      <c r="Q133" s="1334"/>
      <c r="R133" s="1334"/>
      <c r="S133" s="1334"/>
      <c r="T133" s="1336"/>
      <c r="U133" s="1336"/>
      <c r="V133" s="1336"/>
      <c r="W133" s="1336"/>
      <c r="X133" s="1340"/>
      <c r="Y133" s="1362"/>
      <c r="Z133" s="1397"/>
      <c r="AA133" s="1397"/>
      <c r="AB133" s="1377"/>
      <c r="AC133" s="1336"/>
      <c r="AD133" s="1336"/>
      <c r="AE133" s="1337"/>
    </row>
    <row r="134" spans="1:31" ht="16.5" customHeight="1">
      <c r="A134" s="1380">
        <v>129</v>
      </c>
      <c r="B134" s="3010"/>
      <c r="C134" s="2965"/>
      <c r="D134" s="2994"/>
      <c r="E134" s="1332"/>
      <c r="F134" s="1333"/>
      <c r="G134" s="1333"/>
      <c r="H134" s="1333"/>
      <c r="I134" s="1333"/>
      <c r="J134" s="1334"/>
      <c r="K134" s="1334"/>
      <c r="L134" s="1334"/>
      <c r="M134" s="1334"/>
      <c r="N134" s="1334"/>
      <c r="O134" s="1334"/>
      <c r="P134" s="1335"/>
      <c r="Q134" s="1334"/>
      <c r="R134" s="1334"/>
      <c r="S134" s="1334"/>
      <c r="T134" s="1336"/>
      <c r="U134" s="1336"/>
      <c r="V134" s="1336"/>
      <c r="W134" s="1336"/>
      <c r="X134" s="1340"/>
      <c r="Y134" s="1362"/>
      <c r="Z134" s="1397"/>
      <c r="AA134" s="1397"/>
      <c r="AB134" s="1377"/>
      <c r="AC134" s="1336"/>
      <c r="AD134" s="1336"/>
      <c r="AE134" s="1337"/>
    </row>
    <row r="135" spans="1:31" ht="16.5" customHeight="1">
      <c r="A135" s="1380">
        <v>130</v>
      </c>
      <c r="B135" s="3010"/>
      <c r="C135" s="2965"/>
      <c r="D135" s="2994"/>
      <c r="E135" s="1332"/>
      <c r="F135" s="1333"/>
      <c r="G135" s="1333"/>
      <c r="H135" s="1333"/>
      <c r="I135" s="1333"/>
      <c r="J135" s="1334"/>
      <c r="K135" s="1334"/>
      <c r="L135" s="1334"/>
      <c r="M135" s="1334"/>
      <c r="N135" s="1334"/>
      <c r="O135" s="1334"/>
      <c r="P135" s="1335"/>
      <c r="Q135" s="1334"/>
      <c r="R135" s="1334"/>
      <c r="S135" s="1334"/>
      <c r="T135" s="1336"/>
      <c r="U135" s="1336"/>
      <c r="V135" s="1336"/>
      <c r="W135" s="1336"/>
      <c r="X135" s="1340"/>
      <c r="Y135" s="1362"/>
      <c r="Z135" s="1397"/>
      <c r="AA135" s="1397"/>
      <c r="AB135" s="1377"/>
      <c r="AC135" s="1336"/>
      <c r="AD135" s="1336"/>
      <c r="AE135" s="1337"/>
    </row>
    <row r="136" spans="1:31" ht="16.5" customHeight="1">
      <c r="A136" s="1380">
        <v>131</v>
      </c>
      <c r="B136" s="3010"/>
      <c r="C136" s="2965"/>
      <c r="D136" s="2994"/>
      <c r="E136" s="1332"/>
      <c r="F136" s="1333"/>
      <c r="G136" s="1333"/>
      <c r="H136" s="1333"/>
      <c r="I136" s="1333"/>
      <c r="J136" s="1334"/>
      <c r="K136" s="1334"/>
      <c r="L136" s="1334"/>
      <c r="M136" s="1334"/>
      <c r="N136" s="1334"/>
      <c r="O136" s="1334"/>
      <c r="P136" s="1335"/>
      <c r="Q136" s="1334"/>
      <c r="R136" s="1334"/>
      <c r="S136" s="1334"/>
      <c r="T136" s="1336"/>
      <c r="U136" s="1336"/>
      <c r="V136" s="1336"/>
      <c r="W136" s="1336"/>
      <c r="X136" s="1340"/>
      <c r="Y136" s="1362"/>
      <c r="Z136" s="1397"/>
      <c r="AA136" s="1397"/>
      <c r="AB136" s="1377"/>
      <c r="AC136" s="1336"/>
      <c r="AD136" s="1336"/>
      <c r="AE136" s="1337"/>
    </row>
    <row r="137" spans="1:31" ht="16.5" customHeight="1">
      <c r="A137" s="1380">
        <v>132</v>
      </c>
      <c r="B137" s="3010"/>
      <c r="C137" s="2965"/>
      <c r="D137" s="1297" t="s">
        <v>3514</v>
      </c>
      <c r="E137" s="1340"/>
      <c r="F137" s="1340"/>
      <c r="G137" s="1340"/>
      <c r="H137" s="1340"/>
      <c r="I137" s="1340"/>
      <c r="J137" s="1340"/>
      <c r="K137" s="1340"/>
      <c r="L137" s="1340"/>
      <c r="M137" s="1334">
        <f>SUM(M131:M136)</f>
        <v>0</v>
      </c>
      <c r="N137" s="1334">
        <f>SUM(N131:N136)</f>
        <v>0</v>
      </c>
      <c r="O137" s="1334">
        <f>SUM(O131:O136)</f>
        <v>0</v>
      </c>
      <c r="P137" s="1334">
        <f>SUM(P131:P136)</f>
        <v>0</v>
      </c>
      <c r="Q137" s="1340"/>
      <c r="R137" s="1334">
        <f>SUM(R131:R136)</f>
        <v>0</v>
      </c>
      <c r="S137" s="1340"/>
      <c r="T137" s="1334">
        <f>SUM(T131:T136)</f>
        <v>0</v>
      </c>
      <c r="U137" s="1334">
        <f>SUM(U131:U136)</f>
        <v>0</v>
      </c>
      <c r="V137" s="1334">
        <f>SUM(V131:V136)</f>
        <v>0</v>
      </c>
      <c r="W137" s="1334">
        <f>SUM(W131:W136)</f>
        <v>0</v>
      </c>
      <c r="X137" s="1340"/>
      <c r="Y137" s="1362"/>
      <c r="Z137" s="1397"/>
      <c r="AA137" s="1397"/>
      <c r="AB137" s="1377"/>
      <c r="AC137" s="1362"/>
      <c r="AD137" s="1362"/>
      <c r="AE137" s="1425"/>
    </row>
    <row r="138" spans="1:31" ht="16.5" customHeight="1">
      <c r="A138" s="1380">
        <v>133</v>
      </c>
      <c r="B138" s="3010"/>
      <c r="C138" s="2965"/>
      <c r="D138" s="2994" t="s">
        <v>4267</v>
      </c>
      <c r="E138" s="1332"/>
      <c r="F138" s="1333"/>
      <c r="G138" s="1333"/>
      <c r="H138" s="1333"/>
      <c r="I138" s="1333"/>
      <c r="J138" s="1334"/>
      <c r="K138" s="1334"/>
      <c r="L138" s="1334"/>
      <c r="M138" s="1334"/>
      <c r="N138" s="1334"/>
      <c r="O138" s="1334"/>
      <c r="P138" s="1335"/>
      <c r="Q138" s="1334"/>
      <c r="R138" s="1334"/>
      <c r="S138" s="1334"/>
      <c r="T138" s="1336"/>
      <c r="U138" s="1336"/>
      <c r="V138" s="1336"/>
      <c r="W138" s="1336"/>
      <c r="X138" s="1340"/>
      <c r="Y138" s="1362"/>
      <c r="Z138" s="1397"/>
      <c r="AA138" s="1397"/>
      <c r="AB138" s="1377"/>
      <c r="AC138" s="1336"/>
      <c r="AD138" s="1336"/>
      <c r="AE138" s="1337"/>
    </row>
    <row r="139" spans="1:31" ht="16.5" customHeight="1">
      <c r="A139" s="1380">
        <v>134</v>
      </c>
      <c r="B139" s="3010"/>
      <c r="C139" s="2965"/>
      <c r="D139" s="2994"/>
      <c r="E139" s="1332"/>
      <c r="F139" s="1333"/>
      <c r="G139" s="1333"/>
      <c r="H139" s="1333"/>
      <c r="I139" s="1333"/>
      <c r="J139" s="1334"/>
      <c r="K139" s="1334"/>
      <c r="L139" s="1334"/>
      <c r="M139" s="1334"/>
      <c r="N139" s="1334"/>
      <c r="O139" s="1334"/>
      <c r="P139" s="1335"/>
      <c r="Q139" s="1334"/>
      <c r="R139" s="1334"/>
      <c r="S139" s="1334"/>
      <c r="T139" s="1336"/>
      <c r="U139" s="1336"/>
      <c r="V139" s="1336"/>
      <c r="W139" s="1336"/>
      <c r="X139" s="1340"/>
      <c r="Y139" s="1362"/>
      <c r="Z139" s="1397"/>
      <c r="AA139" s="1397"/>
      <c r="AB139" s="1377"/>
      <c r="AC139" s="1336"/>
      <c r="AD139" s="1336"/>
      <c r="AE139" s="1337"/>
    </row>
    <row r="140" spans="1:31" ht="16.5" customHeight="1">
      <c r="A140" s="1380">
        <v>135</v>
      </c>
      <c r="B140" s="3010"/>
      <c r="C140" s="2965"/>
      <c r="D140" s="2994"/>
      <c r="E140" s="1332"/>
      <c r="F140" s="1333"/>
      <c r="G140" s="1333"/>
      <c r="H140" s="1333"/>
      <c r="I140" s="1333"/>
      <c r="J140" s="1334"/>
      <c r="K140" s="1334"/>
      <c r="L140" s="1334"/>
      <c r="M140" s="1334"/>
      <c r="N140" s="1334"/>
      <c r="O140" s="1334"/>
      <c r="P140" s="1335"/>
      <c r="Q140" s="1334"/>
      <c r="R140" s="1334"/>
      <c r="S140" s="1334"/>
      <c r="T140" s="1336"/>
      <c r="U140" s="1336"/>
      <c r="V140" s="1336"/>
      <c r="W140" s="1336"/>
      <c r="X140" s="1340"/>
      <c r="Y140" s="1362"/>
      <c r="Z140" s="1397"/>
      <c r="AA140" s="1397"/>
      <c r="AB140" s="1377"/>
      <c r="AC140" s="1336"/>
      <c r="AD140" s="1336"/>
      <c r="AE140" s="1337"/>
    </row>
    <row r="141" spans="1:31" ht="16.5" customHeight="1">
      <c r="A141" s="1380">
        <v>136</v>
      </c>
      <c r="B141" s="3010"/>
      <c r="C141" s="2965"/>
      <c r="D141" s="2994"/>
      <c r="E141" s="1332"/>
      <c r="F141" s="1333"/>
      <c r="G141" s="1333"/>
      <c r="H141" s="1333"/>
      <c r="I141" s="1333"/>
      <c r="J141" s="1334"/>
      <c r="K141" s="1334"/>
      <c r="L141" s="1334"/>
      <c r="M141" s="1334"/>
      <c r="N141" s="1334"/>
      <c r="O141" s="1334"/>
      <c r="P141" s="1335"/>
      <c r="Q141" s="1334"/>
      <c r="R141" s="1334"/>
      <c r="S141" s="1334"/>
      <c r="T141" s="1336"/>
      <c r="U141" s="1336"/>
      <c r="V141" s="1336"/>
      <c r="W141" s="1336"/>
      <c r="X141" s="1340"/>
      <c r="Y141" s="1362"/>
      <c r="Z141" s="1397"/>
      <c r="AA141" s="1397"/>
      <c r="AB141" s="1377"/>
      <c r="AC141" s="1336"/>
      <c r="AD141" s="1336"/>
      <c r="AE141" s="1337"/>
    </row>
    <row r="142" spans="1:31">
      <c r="A142" s="1380">
        <v>137</v>
      </c>
      <c r="B142" s="3010"/>
      <c r="C142" s="2965"/>
      <c r="D142" s="2994"/>
      <c r="E142" s="1332"/>
      <c r="F142" s="1333"/>
      <c r="G142" s="1333"/>
      <c r="H142" s="1333"/>
      <c r="I142" s="1333"/>
      <c r="J142" s="1334"/>
      <c r="K142" s="1334"/>
      <c r="L142" s="1334"/>
      <c r="M142" s="1334"/>
      <c r="N142" s="1334"/>
      <c r="O142" s="1334"/>
      <c r="P142" s="1335"/>
      <c r="Q142" s="1334"/>
      <c r="R142" s="1334"/>
      <c r="S142" s="1334"/>
      <c r="T142" s="1336"/>
      <c r="U142" s="1336"/>
      <c r="V142" s="1336"/>
      <c r="W142" s="1336"/>
      <c r="X142" s="1340"/>
      <c r="Y142" s="1362"/>
      <c r="Z142" s="1397"/>
      <c r="AA142" s="1397"/>
      <c r="AB142" s="1377"/>
      <c r="AC142" s="1336"/>
      <c r="AD142" s="1336"/>
      <c r="AE142" s="1337"/>
    </row>
    <row r="143" spans="1:31">
      <c r="A143" s="1380">
        <v>138</v>
      </c>
      <c r="B143" s="3010"/>
      <c r="C143" s="2965"/>
      <c r="D143" s="2994"/>
      <c r="E143" s="1332"/>
      <c r="F143" s="1333"/>
      <c r="G143" s="1333"/>
      <c r="H143" s="1333"/>
      <c r="I143" s="1333"/>
      <c r="J143" s="1334"/>
      <c r="K143" s="1334"/>
      <c r="L143" s="1334"/>
      <c r="M143" s="1334"/>
      <c r="N143" s="1334"/>
      <c r="O143" s="1334"/>
      <c r="P143" s="1335"/>
      <c r="Q143" s="1334"/>
      <c r="R143" s="1334"/>
      <c r="S143" s="1334"/>
      <c r="T143" s="1336"/>
      <c r="U143" s="1336"/>
      <c r="V143" s="1336"/>
      <c r="W143" s="1336"/>
      <c r="X143" s="1340"/>
      <c r="Y143" s="1362"/>
      <c r="Z143" s="1397"/>
      <c r="AA143" s="1397"/>
      <c r="AB143" s="1377"/>
      <c r="AC143" s="1336"/>
      <c r="AD143" s="1336"/>
      <c r="AE143" s="1337"/>
    </row>
    <row r="144" spans="1:31" ht="17.25" thickBot="1">
      <c r="A144" s="1380">
        <v>139</v>
      </c>
      <c r="B144" s="3010"/>
      <c r="C144" s="2966"/>
      <c r="D144" s="1363" t="s">
        <v>3514</v>
      </c>
      <c r="E144" s="1343"/>
      <c r="F144" s="1343"/>
      <c r="G144" s="1343"/>
      <c r="H144" s="1343"/>
      <c r="I144" s="1343"/>
      <c r="J144" s="1343"/>
      <c r="K144" s="1343"/>
      <c r="L144" s="1343"/>
      <c r="M144" s="1344">
        <f>SUM(M138:M143)</f>
        <v>0</v>
      </c>
      <c r="N144" s="1344">
        <f>SUM(N138:N143)</f>
        <v>0</v>
      </c>
      <c r="O144" s="1344">
        <f>SUM(O138:O143)</f>
        <v>0</v>
      </c>
      <c r="P144" s="1344">
        <f>SUM(P138:P143)</f>
        <v>0</v>
      </c>
      <c r="Q144" s="1343"/>
      <c r="R144" s="1344">
        <f>SUM(R138:R143)</f>
        <v>0</v>
      </c>
      <c r="S144" s="1340"/>
      <c r="T144" s="1344">
        <f>SUM(T138:T143)</f>
        <v>0</v>
      </c>
      <c r="U144" s="1344">
        <f>SUM(U138:U143)</f>
        <v>0</v>
      </c>
      <c r="V144" s="1344">
        <f>SUM(V138:V143)</f>
        <v>0</v>
      </c>
      <c r="W144" s="1344">
        <f>SUM(W138:W143)</f>
        <v>0</v>
      </c>
      <c r="X144" s="1343"/>
      <c r="Y144" s="1364"/>
      <c r="Z144" s="1379"/>
      <c r="AA144" s="1379"/>
      <c r="AB144" s="1426"/>
      <c r="AC144" s="1364"/>
      <c r="AD144" s="1364"/>
      <c r="AE144" s="1425"/>
    </row>
    <row r="145" spans="1:31" ht="16.5" customHeight="1">
      <c r="A145" s="1380">
        <v>140</v>
      </c>
      <c r="B145" s="3010"/>
      <c r="C145" s="2988" t="s">
        <v>4260</v>
      </c>
      <c r="D145" s="2991" t="s">
        <v>4268</v>
      </c>
      <c r="E145" s="1345"/>
      <c r="F145" s="1327"/>
      <c r="G145" s="1327"/>
      <c r="H145" s="1327"/>
      <c r="I145" s="1327"/>
      <c r="J145" s="1328"/>
      <c r="K145" s="1328"/>
      <c r="L145" s="1328"/>
      <c r="M145" s="1328"/>
      <c r="N145" s="1328"/>
      <c r="O145" s="1328"/>
      <c r="P145" s="1329"/>
      <c r="Q145" s="1328"/>
      <c r="R145" s="1328"/>
      <c r="S145" s="1328"/>
      <c r="T145" s="1330"/>
      <c r="U145" s="1330"/>
      <c r="V145" s="1330"/>
      <c r="W145" s="1330"/>
      <c r="X145" s="1365"/>
      <c r="Y145" s="1360"/>
      <c r="Z145" s="1427"/>
      <c r="AA145" s="1427"/>
      <c r="AB145" s="1409"/>
      <c r="AC145" s="1330"/>
      <c r="AD145" s="1330"/>
      <c r="AE145" s="1346"/>
    </row>
    <row r="146" spans="1:31">
      <c r="A146" s="1380">
        <v>141</v>
      </c>
      <c r="B146" s="3010"/>
      <c r="C146" s="2989"/>
      <c r="D146" s="2992"/>
      <c r="E146" s="1332"/>
      <c r="F146" s="1333"/>
      <c r="G146" s="1333"/>
      <c r="H146" s="1333"/>
      <c r="I146" s="1333"/>
      <c r="J146" s="1334"/>
      <c r="K146" s="1334"/>
      <c r="L146" s="1334"/>
      <c r="M146" s="1334"/>
      <c r="N146" s="1334"/>
      <c r="O146" s="1334"/>
      <c r="P146" s="1335"/>
      <c r="Q146" s="1335"/>
      <c r="R146" s="1334"/>
      <c r="S146" s="1335"/>
      <c r="T146" s="1336"/>
      <c r="U146" s="1336"/>
      <c r="V146" s="1336"/>
      <c r="W146" s="1336"/>
      <c r="X146" s="1340"/>
      <c r="Y146" s="1366"/>
      <c r="Z146" s="1397"/>
      <c r="AA146" s="1397"/>
      <c r="AB146" s="1428"/>
      <c r="AC146" s="1336"/>
      <c r="AD146" s="1336"/>
      <c r="AE146" s="1337"/>
    </row>
    <row r="147" spans="1:31">
      <c r="A147" s="1380">
        <v>142</v>
      </c>
      <c r="B147" s="3010"/>
      <c r="C147" s="2989"/>
      <c r="D147" s="2992"/>
      <c r="E147" s="1332"/>
      <c r="F147" s="1333"/>
      <c r="G147" s="1333"/>
      <c r="H147" s="1333"/>
      <c r="I147" s="1333"/>
      <c r="J147" s="1334"/>
      <c r="K147" s="1334"/>
      <c r="L147" s="1334"/>
      <c r="M147" s="1334"/>
      <c r="N147" s="1334"/>
      <c r="O147" s="1334"/>
      <c r="P147" s="1335"/>
      <c r="Q147" s="1335"/>
      <c r="R147" s="1334"/>
      <c r="S147" s="1335"/>
      <c r="T147" s="1336"/>
      <c r="U147" s="1336"/>
      <c r="V147" s="1336"/>
      <c r="W147" s="1336"/>
      <c r="X147" s="1340"/>
      <c r="Y147" s="1366"/>
      <c r="Z147" s="1397"/>
      <c r="AA147" s="1397"/>
      <c r="AB147" s="1428"/>
      <c r="AC147" s="1336"/>
      <c r="AD147" s="1336"/>
      <c r="AE147" s="1337"/>
    </row>
    <row r="148" spans="1:31">
      <c r="A148" s="1380">
        <v>143</v>
      </c>
      <c r="B148" s="3010"/>
      <c r="C148" s="2989"/>
      <c r="D148" s="2992"/>
      <c r="E148" s="1332"/>
      <c r="F148" s="1333"/>
      <c r="G148" s="1333"/>
      <c r="H148" s="1333"/>
      <c r="I148" s="1333"/>
      <c r="J148" s="1334"/>
      <c r="K148" s="1334"/>
      <c r="L148" s="1334"/>
      <c r="M148" s="1334"/>
      <c r="N148" s="1334"/>
      <c r="O148" s="1334"/>
      <c r="P148" s="1335"/>
      <c r="Q148" s="1335"/>
      <c r="R148" s="1334"/>
      <c r="S148" s="1335"/>
      <c r="T148" s="1336"/>
      <c r="U148" s="1336"/>
      <c r="V148" s="1336"/>
      <c r="W148" s="1336"/>
      <c r="X148" s="1340"/>
      <c r="Y148" s="1366"/>
      <c r="Z148" s="1397"/>
      <c r="AA148" s="1397"/>
      <c r="AB148" s="1428"/>
      <c r="AC148" s="1336"/>
      <c r="AD148" s="1336"/>
      <c r="AE148" s="1337"/>
    </row>
    <row r="149" spans="1:31">
      <c r="A149" s="1380">
        <v>144</v>
      </c>
      <c r="B149" s="3010"/>
      <c r="C149" s="2989"/>
      <c r="D149" s="2992"/>
      <c r="E149" s="1332"/>
      <c r="F149" s="1333"/>
      <c r="G149" s="1333"/>
      <c r="H149" s="1333"/>
      <c r="I149" s="1333"/>
      <c r="J149" s="1334"/>
      <c r="K149" s="1334"/>
      <c r="L149" s="1334"/>
      <c r="M149" s="1334"/>
      <c r="N149" s="1334"/>
      <c r="O149" s="1334"/>
      <c r="P149" s="1335"/>
      <c r="Q149" s="1335"/>
      <c r="R149" s="1334"/>
      <c r="S149" s="1335"/>
      <c r="T149" s="1336"/>
      <c r="U149" s="1336"/>
      <c r="V149" s="1336"/>
      <c r="W149" s="1336"/>
      <c r="X149" s="1340"/>
      <c r="Y149" s="1366"/>
      <c r="Z149" s="1397"/>
      <c r="AA149" s="1397"/>
      <c r="AB149" s="1428"/>
      <c r="AC149" s="1336"/>
      <c r="AD149" s="1336"/>
      <c r="AE149" s="1337"/>
    </row>
    <row r="150" spans="1:31">
      <c r="A150" s="1380">
        <v>145</v>
      </c>
      <c r="B150" s="3010"/>
      <c r="C150" s="2989"/>
      <c r="D150" s="2992"/>
      <c r="E150" s="1332"/>
      <c r="F150" s="1333"/>
      <c r="G150" s="1333"/>
      <c r="H150" s="1333"/>
      <c r="I150" s="1333"/>
      <c r="J150" s="1334"/>
      <c r="K150" s="1334"/>
      <c r="L150" s="1334"/>
      <c r="M150" s="1334"/>
      <c r="N150" s="1334"/>
      <c r="O150" s="1334"/>
      <c r="P150" s="1335"/>
      <c r="Q150" s="1335"/>
      <c r="R150" s="1334"/>
      <c r="S150" s="1335"/>
      <c r="T150" s="1336"/>
      <c r="U150" s="1336"/>
      <c r="V150" s="1336"/>
      <c r="W150" s="1336"/>
      <c r="X150" s="1340"/>
      <c r="Y150" s="1366"/>
      <c r="Z150" s="1397"/>
      <c r="AA150" s="1397"/>
      <c r="AB150" s="1428"/>
      <c r="AC150" s="1336"/>
      <c r="AD150" s="1336"/>
      <c r="AE150" s="1337"/>
    </row>
    <row r="151" spans="1:31">
      <c r="A151" s="1380">
        <v>146</v>
      </c>
      <c r="B151" s="3010"/>
      <c r="C151" s="2989"/>
      <c r="D151" s="1297" t="s">
        <v>3514</v>
      </c>
      <c r="E151" s="1340"/>
      <c r="F151" s="1340"/>
      <c r="G151" s="1340"/>
      <c r="H151" s="1340"/>
      <c r="I151" s="1340"/>
      <c r="J151" s="1340"/>
      <c r="K151" s="1340"/>
      <c r="L151" s="1340"/>
      <c r="M151" s="1334">
        <f>SUM(M145:M150)</f>
        <v>0</v>
      </c>
      <c r="N151" s="1334">
        <f>SUM(N145:N150)</f>
        <v>0</v>
      </c>
      <c r="O151" s="1334">
        <f>SUM(O145:O150)</f>
        <v>0</v>
      </c>
      <c r="P151" s="1334">
        <f>SUM(P145:P150)</f>
        <v>0</v>
      </c>
      <c r="Q151" s="1340"/>
      <c r="R151" s="1334">
        <f>SUM(R145:R150)</f>
        <v>0</v>
      </c>
      <c r="S151" s="1340"/>
      <c r="T151" s="1334">
        <f>SUM(T145:T150)</f>
        <v>0</v>
      </c>
      <c r="U151" s="1334">
        <f>SUM(U145:U150)</f>
        <v>0</v>
      </c>
      <c r="V151" s="1334">
        <f>SUM(V145:V150)</f>
        <v>0</v>
      </c>
      <c r="W151" s="1334">
        <f>SUM(W145:W150)</f>
        <v>0</v>
      </c>
      <c r="X151" s="1340"/>
      <c r="Y151" s="1366"/>
      <c r="Z151" s="1397"/>
      <c r="AA151" s="1397"/>
      <c r="AB151" s="1428"/>
      <c r="AC151" s="1366"/>
      <c r="AD151" s="1366"/>
      <c r="AE151" s="1429"/>
    </row>
    <row r="152" spans="1:31" ht="17.649999999999999" customHeight="1">
      <c r="A152" s="1380">
        <v>147</v>
      </c>
      <c r="B152" s="3010"/>
      <c r="C152" s="2989"/>
      <c r="D152" s="2948" t="s">
        <v>4266</v>
      </c>
      <c r="E152" s="1332"/>
      <c r="F152" s="1333"/>
      <c r="G152" s="1333"/>
      <c r="H152" s="1333"/>
      <c r="I152" s="1333"/>
      <c r="J152" s="1334"/>
      <c r="K152" s="1334"/>
      <c r="L152" s="1334"/>
      <c r="M152" s="1334"/>
      <c r="N152" s="1334"/>
      <c r="O152" s="1334"/>
      <c r="P152" s="1335"/>
      <c r="Q152" s="1335"/>
      <c r="R152" s="1334"/>
      <c r="S152" s="1335"/>
      <c r="T152" s="1336"/>
      <c r="U152" s="1336"/>
      <c r="V152" s="1336"/>
      <c r="W152" s="1336"/>
      <c r="X152" s="1340"/>
      <c r="Y152" s="1366"/>
      <c r="Z152" s="1397"/>
      <c r="AA152" s="1397"/>
      <c r="AB152" s="1428"/>
      <c r="AC152" s="1336"/>
      <c r="AD152" s="1336"/>
      <c r="AE152" s="1337"/>
    </row>
    <row r="153" spans="1:31">
      <c r="A153" s="1380">
        <v>148</v>
      </c>
      <c r="B153" s="3010"/>
      <c r="C153" s="2989"/>
      <c r="D153" s="2948"/>
      <c r="E153" s="1332"/>
      <c r="F153" s="1333"/>
      <c r="G153" s="1333"/>
      <c r="H153" s="1333"/>
      <c r="I153" s="1333"/>
      <c r="J153" s="1334"/>
      <c r="K153" s="1334"/>
      <c r="L153" s="1334"/>
      <c r="M153" s="1334"/>
      <c r="N153" s="1334"/>
      <c r="O153" s="1334"/>
      <c r="P153" s="1335"/>
      <c r="Q153" s="1335"/>
      <c r="R153" s="1334"/>
      <c r="S153" s="1335"/>
      <c r="T153" s="1336"/>
      <c r="U153" s="1336"/>
      <c r="V153" s="1336"/>
      <c r="W153" s="1336"/>
      <c r="X153" s="1340"/>
      <c r="Y153" s="1366"/>
      <c r="Z153" s="1397"/>
      <c r="AA153" s="1397"/>
      <c r="AB153" s="1428"/>
      <c r="AC153" s="1336"/>
      <c r="AD153" s="1336"/>
      <c r="AE153" s="1337"/>
    </row>
    <row r="154" spans="1:31">
      <c r="A154" s="1380">
        <v>149</v>
      </c>
      <c r="B154" s="3010"/>
      <c r="C154" s="2989"/>
      <c r="D154" s="2948"/>
      <c r="E154" s="1332"/>
      <c r="F154" s="1333"/>
      <c r="G154" s="1333"/>
      <c r="H154" s="1333"/>
      <c r="I154" s="1333"/>
      <c r="J154" s="1334"/>
      <c r="K154" s="1334"/>
      <c r="L154" s="1334"/>
      <c r="M154" s="1334"/>
      <c r="N154" s="1334"/>
      <c r="O154" s="1334"/>
      <c r="P154" s="1335"/>
      <c r="Q154" s="1335"/>
      <c r="R154" s="1334"/>
      <c r="S154" s="1335"/>
      <c r="T154" s="1336"/>
      <c r="U154" s="1336"/>
      <c r="V154" s="1336"/>
      <c r="W154" s="1336"/>
      <c r="X154" s="1340"/>
      <c r="Y154" s="1366"/>
      <c r="Z154" s="1397"/>
      <c r="AA154" s="1397"/>
      <c r="AB154" s="1428"/>
      <c r="AC154" s="1336"/>
      <c r="AD154" s="1336"/>
      <c r="AE154" s="1337"/>
    </row>
    <row r="155" spans="1:31">
      <c r="A155" s="1380">
        <v>150</v>
      </c>
      <c r="B155" s="3010"/>
      <c r="C155" s="2989"/>
      <c r="D155" s="2948"/>
      <c r="E155" s="1332"/>
      <c r="F155" s="1333"/>
      <c r="G155" s="1333"/>
      <c r="H155" s="1333"/>
      <c r="I155" s="1333"/>
      <c r="J155" s="1334"/>
      <c r="K155" s="1334"/>
      <c r="L155" s="1334"/>
      <c r="M155" s="1334"/>
      <c r="N155" s="1334"/>
      <c r="O155" s="1334"/>
      <c r="P155" s="1335"/>
      <c r="Q155" s="1335"/>
      <c r="R155" s="1334"/>
      <c r="S155" s="1335"/>
      <c r="T155" s="1336"/>
      <c r="U155" s="1336"/>
      <c r="V155" s="1336"/>
      <c r="W155" s="1336"/>
      <c r="X155" s="1340"/>
      <c r="Y155" s="1366"/>
      <c r="Z155" s="1397"/>
      <c r="AA155" s="1397"/>
      <c r="AB155" s="1428"/>
      <c r="AC155" s="1336"/>
      <c r="AD155" s="1336"/>
      <c r="AE155" s="1337"/>
    </row>
    <row r="156" spans="1:31">
      <c r="A156" s="1380">
        <v>151</v>
      </c>
      <c r="B156" s="3010"/>
      <c r="C156" s="2989"/>
      <c r="D156" s="2948"/>
      <c r="E156" s="1332"/>
      <c r="F156" s="1333"/>
      <c r="G156" s="1333"/>
      <c r="H156" s="1333"/>
      <c r="I156" s="1333"/>
      <c r="J156" s="1334"/>
      <c r="K156" s="1334"/>
      <c r="L156" s="1334"/>
      <c r="M156" s="1334"/>
      <c r="N156" s="1334"/>
      <c r="O156" s="1334"/>
      <c r="P156" s="1335"/>
      <c r="Q156" s="1335"/>
      <c r="R156" s="1334"/>
      <c r="S156" s="1335"/>
      <c r="T156" s="1336"/>
      <c r="U156" s="1336"/>
      <c r="V156" s="1336"/>
      <c r="W156" s="1336"/>
      <c r="X156" s="1340"/>
      <c r="Y156" s="1366"/>
      <c r="Z156" s="1397"/>
      <c r="AA156" s="1397"/>
      <c r="AB156" s="1428"/>
      <c r="AC156" s="1336"/>
      <c r="AD156" s="1336"/>
      <c r="AE156" s="1337"/>
    </row>
    <row r="157" spans="1:31">
      <c r="A157" s="1380">
        <v>152</v>
      </c>
      <c r="B157" s="3010"/>
      <c r="C157" s="2989"/>
      <c r="D157" s="2948"/>
      <c r="E157" s="1332"/>
      <c r="F157" s="1333"/>
      <c r="G157" s="1333"/>
      <c r="H157" s="1333"/>
      <c r="I157" s="1333"/>
      <c r="J157" s="1334"/>
      <c r="K157" s="1334"/>
      <c r="L157" s="1334"/>
      <c r="M157" s="1334"/>
      <c r="N157" s="1334"/>
      <c r="O157" s="1334"/>
      <c r="P157" s="1335"/>
      <c r="Q157" s="1335"/>
      <c r="R157" s="1334"/>
      <c r="S157" s="1335"/>
      <c r="T157" s="1336"/>
      <c r="U157" s="1336"/>
      <c r="V157" s="1336"/>
      <c r="W157" s="1336"/>
      <c r="X157" s="1340"/>
      <c r="Y157" s="1366"/>
      <c r="Z157" s="1397"/>
      <c r="AA157" s="1397"/>
      <c r="AB157" s="1428"/>
      <c r="AC157" s="1336"/>
      <c r="AD157" s="1336"/>
      <c r="AE157" s="1337"/>
    </row>
    <row r="158" spans="1:31">
      <c r="A158" s="1380">
        <v>153</v>
      </c>
      <c r="B158" s="3010"/>
      <c r="C158" s="2989"/>
      <c r="D158" s="1297" t="s">
        <v>3514</v>
      </c>
      <c r="E158" s="1340"/>
      <c r="F158" s="1340"/>
      <c r="G158" s="1340"/>
      <c r="H158" s="1340"/>
      <c r="I158" s="1340"/>
      <c r="J158" s="1340"/>
      <c r="K158" s="1340"/>
      <c r="L158" s="1340"/>
      <c r="M158" s="1334">
        <f>SUM(M152:M157)</f>
        <v>0</v>
      </c>
      <c r="N158" s="1334">
        <f>SUM(N152:N157)</f>
        <v>0</v>
      </c>
      <c r="O158" s="1334">
        <f>SUM(O152:O157)</f>
        <v>0</v>
      </c>
      <c r="P158" s="1334">
        <f>SUM(P152:P157)</f>
        <v>0</v>
      </c>
      <c r="Q158" s="1340"/>
      <c r="R158" s="1334">
        <f>SUM(R152:R157)</f>
        <v>0</v>
      </c>
      <c r="S158" s="1340"/>
      <c r="T158" s="1334">
        <f>SUM(T152:T157)</f>
        <v>0</v>
      </c>
      <c r="U158" s="1334">
        <f>SUM(U152:U157)</f>
        <v>0</v>
      </c>
      <c r="V158" s="1334">
        <f>SUM(V152:V157)</f>
        <v>0</v>
      </c>
      <c r="W158" s="1334">
        <f>SUM(W152:W157)</f>
        <v>0</v>
      </c>
      <c r="X158" s="1340"/>
      <c r="Y158" s="1366"/>
      <c r="Z158" s="1397"/>
      <c r="AA158" s="1397"/>
      <c r="AB158" s="1428"/>
      <c r="AC158" s="1366"/>
      <c r="AD158" s="1366"/>
      <c r="AE158" s="1429"/>
    </row>
    <row r="159" spans="1:31" ht="16.5" customHeight="1">
      <c r="A159" s="1380">
        <v>154</v>
      </c>
      <c r="B159" s="3010"/>
      <c r="C159" s="2989"/>
      <c r="D159" s="2948" t="s">
        <v>4267</v>
      </c>
      <c r="E159" s="1332"/>
      <c r="F159" s="1333"/>
      <c r="G159" s="1333"/>
      <c r="H159" s="1333"/>
      <c r="I159" s="1333"/>
      <c r="J159" s="1334"/>
      <c r="K159" s="1334"/>
      <c r="L159" s="1334"/>
      <c r="M159" s="1334"/>
      <c r="N159" s="1334"/>
      <c r="O159" s="1334"/>
      <c r="P159" s="1335"/>
      <c r="Q159" s="1335"/>
      <c r="R159" s="1334"/>
      <c r="S159" s="1335"/>
      <c r="T159" s="1336"/>
      <c r="U159" s="1336"/>
      <c r="V159" s="1336"/>
      <c r="W159" s="1336"/>
      <c r="X159" s="1340"/>
      <c r="Y159" s="1366"/>
      <c r="Z159" s="1397"/>
      <c r="AA159" s="1397"/>
      <c r="AB159" s="1428"/>
      <c r="AC159" s="1336"/>
      <c r="AD159" s="1336"/>
      <c r="AE159" s="1337"/>
    </row>
    <row r="160" spans="1:31" ht="15.75" customHeight="1">
      <c r="A160" s="1380">
        <v>155</v>
      </c>
      <c r="B160" s="3010"/>
      <c r="C160" s="2989"/>
      <c r="D160" s="2948"/>
      <c r="E160" s="1332"/>
      <c r="F160" s="1333"/>
      <c r="G160" s="1333"/>
      <c r="H160" s="1333"/>
      <c r="I160" s="1333"/>
      <c r="J160" s="1334"/>
      <c r="K160" s="1334"/>
      <c r="L160" s="1334"/>
      <c r="M160" s="1334"/>
      <c r="N160" s="1334"/>
      <c r="O160" s="1334"/>
      <c r="P160" s="1335"/>
      <c r="Q160" s="1334"/>
      <c r="R160" s="1334"/>
      <c r="S160" s="1334"/>
      <c r="T160" s="1336"/>
      <c r="U160" s="1336"/>
      <c r="V160" s="1336"/>
      <c r="W160" s="1336"/>
      <c r="X160" s="1340"/>
      <c r="Y160" s="1362"/>
      <c r="Z160" s="1397"/>
      <c r="AA160" s="1397"/>
      <c r="AB160" s="1377"/>
      <c r="AC160" s="1336"/>
      <c r="AD160" s="1336"/>
      <c r="AE160" s="1337"/>
    </row>
    <row r="161" spans="1:31" ht="15.75" customHeight="1">
      <c r="A161" s="1380">
        <v>156</v>
      </c>
      <c r="B161" s="3010"/>
      <c r="C161" s="2989"/>
      <c r="D161" s="2948"/>
      <c r="E161" s="1332"/>
      <c r="F161" s="1333"/>
      <c r="G161" s="1333"/>
      <c r="H161" s="1333"/>
      <c r="I161" s="1333"/>
      <c r="J161" s="1334"/>
      <c r="K161" s="1334"/>
      <c r="L161" s="1334"/>
      <c r="M161" s="1334"/>
      <c r="N161" s="1334"/>
      <c r="O161" s="1334"/>
      <c r="P161" s="1335"/>
      <c r="Q161" s="1334"/>
      <c r="R161" s="1334"/>
      <c r="S161" s="1334"/>
      <c r="T161" s="1336"/>
      <c r="U161" s="1336"/>
      <c r="V161" s="1336"/>
      <c r="W161" s="1336"/>
      <c r="X161" s="1340"/>
      <c r="Y161" s="1362"/>
      <c r="Z161" s="1397"/>
      <c r="AA161" s="1397"/>
      <c r="AB161" s="1377"/>
      <c r="AC161" s="1336"/>
      <c r="AD161" s="1336"/>
      <c r="AE161" s="1337"/>
    </row>
    <row r="162" spans="1:31" ht="16.5" customHeight="1">
      <c r="A162" s="1380">
        <v>157</v>
      </c>
      <c r="B162" s="3010"/>
      <c r="C162" s="2989"/>
      <c r="D162" s="2948"/>
      <c r="E162" s="1332"/>
      <c r="F162" s="1333"/>
      <c r="G162" s="1333"/>
      <c r="H162" s="1333"/>
      <c r="I162" s="1333"/>
      <c r="J162" s="1334"/>
      <c r="K162" s="1334"/>
      <c r="L162" s="1334"/>
      <c r="M162" s="1334"/>
      <c r="N162" s="1334"/>
      <c r="O162" s="1334"/>
      <c r="P162" s="1335"/>
      <c r="Q162" s="1334"/>
      <c r="R162" s="1334"/>
      <c r="S162" s="1334"/>
      <c r="T162" s="1336"/>
      <c r="U162" s="1336"/>
      <c r="V162" s="1336"/>
      <c r="W162" s="1336"/>
      <c r="X162" s="1340"/>
      <c r="Y162" s="1362"/>
      <c r="Z162" s="1397"/>
      <c r="AA162" s="1397"/>
      <c r="AB162" s="1377"/>
      <c r="AC162" s="1336"/>
      <c r="AD162" s="1336"/>
      <c r="AE162" s="1337"/>
    </row>
    <row r="163" spans="1:31">
      <c r="A163" s="1380">
        <v>158</v>
      </c>
      <c r="B163" s="3010"/>
      <c r="C163" s="2989"/>
      <c r="D163" s="2948"/>
      <c r="E163" s="1332"/>
      <c r="F163" s="1333"/>
      <c r="G163" s="1333"/>
      <c r="H163" s="1333"/>
      <c r="I163" s="1333"/>
      <c r="J163" s="1334"/>
      <c r="K163" s="1334"/>
      <c r="L163" s="1334"/>
      <c r="M163" s="1334"/>
      <c r="N163" s="1334"/>
      <c r="O163" s="1334"/>
      <c r="P163" s="1335"/>
      <c r="Q163" s="1334"/>
      <c r="R163" s="1334"/>
      <c r="S163" s="1334"/>
      <c r="T163" s="1336"/>
      <c r="U163" s="1336"/>
      <c r="V163" s="1336"/>
      <c r="W163" s="1336"/>
      <c r="X163" s="1340"/>
      <c r="Y163" s="1362"/>
      <c r="Z163" s="1397"/>
      <c r="AA163" s="1397"/>
      <c r="AB163" s="1377"/>
      <c r="AC163" s="1336"/>
      <c r="AD163" s="1336"/>
      <c r="AE163" s="1337"/>
    </row>
    <row r="164" spans="1:31">
      <c r="A164" s="1380">
        <v>159</v>
      </c>
      <c r="B164" s="3010"/>
      <c r="C164" s="2989"/>
      <c r="D164" s="2948"/>
      <c r="E164" s="1332"/>
      <c r="F164" s="1333"/>
      <c r="G164" s="1333"/>
      <c r="H164" s="1333"/>
      <c r="I164" s="1333"/>
      <c r="J164" s="1334"/>
      <c r="K164" s="1334"/>
      <c r="L164" s="1334"/>
      <c r="M164" s="1334"/>
      <c r="N164" s="1334"/>
      <c r="O164" s="1334"/>
      <c r="P164" s="1335"/>
      <c r="Q164" s="1334"/>
      <c r="R164" s="1334"/>
      <c r="S164" s="1334"/>
      <c r="T164" s="1336"/>
      <c r="U164" s="1336"/>
      <c r="V164" s="1336"/>
      <c r="W164" s="1336"/>
      <c r="X164" s="1340"/>
      <c r="Y164" s="1362"/>
      <c r="Z164" s="1397"/>
      <c r="AA164" s="1397"/>
      <c r="AB164" s="1377"/>
      <c r="AC164" s="1336"/>
      <c r="AD164" s="1336"/>
      <c r="AE164" s="1337"/>
    </row>
    <row r="165" spans="1:31" ht="17.25" thickBot="1">
      <c r="A165" s="1380">
        <v>160</v>
      </c>
      <c r="B165" s="3010"/>
      <c r="C165" s="2990"/>
      <c r="D165" s="1363" t="s">
        <v>3514</v>
      </c>
      <c r="E165" s="1343"/>
      <c r="F165" s="1343"/>
      <c r="G165" s="1343"/>
      <c r="H165" s="1343"/>
      <c r="I165" s="1343"/>
      <c r="J165" s="1343"/>
      <c r="K165" s="1343"/>
      <c r="L165" s="1343"/>
      <c r="M165" s="1344">
        <f>SUM(M159:M164)</f>
        <v>0</v>
      </c>
      <c r="N165" s="1344">
        <f>SUM(N159:N164)</f>
        <v>0</v>
      </c>
      <c r="O165" s="1344">
        <f>SUM(O159:O164)</f>
        <v>0</v>
      </c>
      <c r="P165" s="1344">
        <f>SUM(P159:P164)</f>
        <v>0</v>
      </c>
      <c r="Q165" s="1343"/>
      <c r="R165" s="1344">
        <f>SUM(R159:R164)</f>
        <v>0</v>
      </c>
      <c r="S165" s="1340"/>
      <c r="T165" s="1344">
        <f>SUM(T159:T164)</f>
        <v>0</v>
      </c>
      <c r="U165" s="1344">
        <f>SUM(U159:U164)</f>
        <v>0</v>
      </c>
      <c r="V165" s="1344">
        <f>SUM(V159:V164)</f>
        <v>0</v>
      </c>
      <c r="W165" s="1344">
        <f>SUM(W159:W164)</f>
        <v>0</v>
      </c>
      <c r="X165" s="1343"/>
      <c r="Y165" s="1364"/>
      <c r="Z165" s="1379"/>
      <c r="AA165" s="1379"/>
      <c r="AB165" s="1426"/>
      <c r="AC165" s="1364"/>
      <c r="AD165" s="1364"/>
      <c r="AE165" s="1425"/>
    </row>
    <row r="166" spans="1:31" ht="16.5" customHeight="1">
      <c r="A166" s="1380">
        <v>161</v>
      </c>
      <c r="B166" s="3010"/>
      <c r="C166" s="2964" t="s">
        <v>4261</v>
      </c>
      <c r="D166" s="2947" t="s">
        <v>4269</v>
      </c>
      <c r="E166" s="1345"/>
      <c r="F166" s="1327"/>
      <c r="G166" s="1327"/>
      <c r="H166" s="1327"/>
      <c r="I166" s="1327"/>
      <c r="J166" s="1328"/>
      <c r="K166" s="1328"/>
      <c r="L166" s="1328"/>
      <c r="M166" s="1328"/>
      <c r="N166" s="1328"/>
      <c r="O166" s="1328"/>
      <c r="P166" s="1329"/>
      <c r="Q166" s="1328"/>
      <c r="R166" s="1328"/>
      <c r="S166" s="1328"/>
      <c r="T166" s="1330"/>
      <c r="U166" s="1330"/>
      <c r="V166" s="1330"/>
      <c r="W166" s="1330"/>
      <c r="X166" s="1359"/>
      <c r="Y166" s="1360"/>
      <c r="Z166" s="1427"/>
      <c r="AA166" s="1427"/>
      <c r="AB166" s="1409"/>
      <c r="AC166" s="1330"/>
      <c r="AD166" s="1330"/>
      <c r="AE166" s="1346"/>
    </row>
    <row r="167" spans="1:31">
      <c r="A167" s="1380">
        <v>162</v>
      </c>
      <c r="B167" s="3010"/>
      <c r="C167" s="2965"/>
      <c r="D167" s="2948"/>
      <c r="E167" s="1332"/>
      <c r="F167" s="1333"/>
      <c r="G167" s="1333"/>
      <c r="H167" s="1333"/>
      <c r="I167" s="1333"/>
      <c r="J167" s="1334"/>
      <c r="K167" s="1334"/>
      <c r="L167" s="1334"/>
      <c r="M167" s="1334"/>
      <c r="N167" s="1334"/>
      <c r="O167" s="1334"/>
      <c r="P167" s="1335"/>
      <c r="Q167" s="1334"/>
      <c r="R167" s="1334"/>
      <c r="S167" s="1334"/>
      <c r="T167" s="1336"/>
      <c r="U167" s="1336"/>
      <c r="V167" s="1336"/>
      <c r="W167" s="1336"/>
      <c r="X167" s="1366"/>
      <c r="Y167" s="1362"/>
      <c r="Z167" s="1397"/>
      <c r="AA167" s="1397"/>
      <c r="AB167" s="1428"/>
      <c r="AC167" s="1336"/>
      <c r="AD167" s="1336"/>
      <c r="AE167" s="1337"/>
    </row>
    <row r="168" spans="1:31">
      <c r="A168" s="1380">
        <v>163</v>
      </c>
      <c r="B168" s="3010"/>
      <c r="C168" s="2965"/>
      <c r="D168" s="2948"/>
      <c r="E168" s="1332"/>
      <c r="F168" s="1333"/>
      <c r="G168" s="1333"/>
      <c r="H168" s="1333"/>
      <c r="I168" s="1333"/>
      <c r="J168" s="1334"/>
      <c r="K168" s="1334"/>
      <c r="L168" s="1334"/>
      <c r="M168" s="1334"/>
      <c r="N168" s="1334"/>
      <c r="O168" s="1334"/>
      <c r="P168" s="1335"/>
      <c r="Q168" s="1334"/>
      <c r="R168" s="1334"/>
      <c r="S168" s="1334"/>
      <c r="T168" s="1336"/>
      <c r="U168" s="1336"/>
      <c r="V168" s="1336"/>
      <c r="W168" s="1336"/>
      <c r="X168" s="1366"/>
      <c r="Y168" s="1362"/>
      <c r="Z168" s="1397"/>
      <c r="AA168" s="1397"/>
      <c r="AB168" s="1428"/>
      <c r="AC168" s="1336"/>
      <c r="AD168" s="1336"/>
      <c r="AE168" s="1337"/>
    </row>
    <row r="169" spans="1:31">
      <c r="A169" s="1380">
        <v>164</v>
      </c>
      <c r="B169" s="3010"/>
      <c r="C169" s="2965"/>
      <c r="D169" s="2948"/>
      <c r="E169" s="1332"/>
      <c r="F169" s="1333"/>
      <c r="G169" s="1333"/>
      <c r="H169" s="1333"/>
      <c r="I169" s="1333"/>
      <c r="J169" s="1334"/>
      <c r="K169" s="1334"/>
      <c r="L169" s="1334"/>
      <c r="M169" s="1334"/>
      <c r="N169" s="1334"/>
      <c r="O169" s="1334"/>
      <c r="P169" s="1335"/>
      <c r="Q169" s="1334"/>
      <c r="R169" s="1334"/>
      <c r="S169" s="1334"/>
      <c r="T169" s="1336"/>
      <c r="U169" s="1336"/>
      <c r="V169" s="1336"/>
      <c r="W169" s="1336"/>
      <c r="X169" s="1366"/>
      <c r="Y169" s="1362"/>
      <c r="Z169" s="1397"/>
      <c r="AA169" s="1397"/>
      <c r="AB169" s="1428"/>
      <c r="AC169" s="1336"/>
      <c r="AD169" s="1336"/>
      <c r="AE169" s="1337"/>
    </row>
    <row r="170" spans="1:31">
      <c r="A170" s="1380">
        <v>165</v>
      </c>
      <c r="B170" s="3010"/>
      <c r="C170" s="2965"/>
      <c r="D170" s="2948"/>
      <c r="E170" s="1332"/>
      <c r="F170" s="1333"/>
      <c r="G170" s="1333"/>
      <c r="H170" s="1333"/>
      <c r="I170" s="1333"/>
      <c r="J170" s="1334"/>
      <c r="K170" s="1334"/>
      <c r="L170" s="1334"/>
      <c r="M170" s="1334"/>
      <c r="N170" s="1334"/>
      <c r="O170" s="1334"/>
      <c r="P170" s="1335"/>
      <c r="Q170" s="1334"/>
      <c r="R170" s="1334"/>
      <c r="S170" s="1334"/>
      <c r="T170" s="1336"/>
      <c r="U170" s="1336"/>
      <c r="V170" s="1336"/>
      <c r="W170" s="1336"/>
      <c r="X170" s="1366"/>
      <c r="Y170" s="1362"/>
      <c r="Z170" s="1397"/>
      <c r="AA170" s="1397"/>
      <c r="AB170" s="1428"/>
      <c r="AC170" s="1336"/>
      <c r="AD170" s="1336"/>
      <c r="AE170" s="1337"/>
    </row>
    <row r="171" spans="1:31">
      <c r="A171" s="1380">
        <v>166</v>
      </c>
      <c r="B171" s="3010"/>
      <c r="C171" s="2965"/>
      <c r="D171" s="2948"/>
      <c r="E171" s="1332"/>
      <c r="F171" s="1333"/>
      <c r="G171" s="1333"/>
      <c r="H171" s="1333"/>
      <c r="I171" s="1333"/>
      <c r="J171" s="1334"/>
      <c r="K171" s="1334"/>
      <c r="L171" s="1334"/>
      <c r="M171" s="1334"/>
      <c r="N171" s="1334"/>
      <c r="O171" s="1334"/>
      <c r="P171" s="1335"/>
      <c r="Q171" s="1334"/>
      <c r="R171" s="1334"/>
      <c r="S171" s="1334"/>
      <c r="T171" s="1336"/>
      <c r="U171" s="1336"/>
      <c r="V171" s="1336"/>
      <c r="W171" s="1336"/>
      <c r="X171" s="1366"/>
      <c r="Y171" s="1362"/>
      <c r="Z171" s="1397"/>
      <c r="AA171" s="1397"/>
      <c r="AB171" s="1428"/>
      <c r="AC171" s="1336"/>
      <c r="AD171" s="1336"/>
      <c r="AE171" s="1337"/>
    </row>
    <row r="172" spans="1:31">
      <c r="A172" s="1380">
        <v>167</v>
      </c>
      <c r="B172" s="3010"/>
      <c r="C172" s="2965"/>
      <c r="D172" s="1279" t="s">
        <v>3514</v>
      </c>
      <c r="E172" s="1340"/>
      <c r="F172" s="1340"/>
      <c r="G172" s="1340"/>
      <c r="H172" s="1340"/>
      <c r="I172" s="1340"/>
      <c r="J172" s="1340"/>
      <c r="K172" s="1340"/>
      <c r="L172" s="1340"/>
      <c r="M172" s="1334">
        <f>SUM(M166:M171)</f>
        <v>0</v>
      </c>
      <c r="N172" s="1334">
        <f>SUM(N166:N171)</f>
        <v>0</v>
      </c>
      <c r="O172" s="1334">
        <f>SUM(O166:O171)</f>
        <v>0</v>
      </c>
      <c r="P172" s="1334">
        <f>SUM(P166:P171)</f>
        <v>0</v>
      </c>
      <c r="Q172" s="1340"/>
      <c r="R172" s="1334">
        <f>SUM(R166:R171)</f>
        <v>0</v>
      </c>
      <c r="S172" s="1340"/>
      <c r="T172" s="1334">
        <f>SUM(T166:T171)</f>
        <v>0</v>
      </c>
      <c r="U172" s="1334">
        <f>SUM(U166:U171)</f>
        <v>0</v>
      </c>
      <c r="V172" s="1334">
        <f>SUM(V166:V171)</f>
        <v>0</v>
      </c>
      <c r="W172" s="1334">
        <f>SUM(W166:W171)</f>
        <v>0</v>
      </c>
      <c r="X172" s="1366"/>
      <c r="Y172" s="1362"/>
      <c r="Z172" s="1397"/>
      <c r="AA172" s="1397"/>
      <c r="AB172" s="1377"/>
      <c r="AC172" s="1362"/>
      <c r="AD172" s="1362"/>
      <c r="AE172" s="1425"/>
    </row>
    <row r="173" spans="1:31" ht="16.5" customHeight="1">
      <c r="A173" s="1380">
        <v>168</v>
      </c>
      <c r="B173" s="3010"/>
      <c r="C173" s="2965"/>
      <c r="D173" s="2948" t="s">
        <v>4266</v>
      </c>
      <c r="E173" s="1332"/>
      <c r="F173" s="1333"/>
      <c r="G173" s="1333"/>
      <c r="H173" s="1333"/>
      <c r="I173" s="1333"/>
      <c r="J173" s="1334"/>
      <c r="K173" s="1334"/>
      <c r="L173" s="1334"/>
      <c r="M173" s="1334"/>
      <c r="N173" s="1334"/>
      <c r="O173" s="1334"/>
      <c r="P173" s="1335"/>
      <c r="Q173" s="1334"/>
      <c r="R173" s="1334"/>
      <c r="S173" s="1334"/>
      <c r="T173" s="1336"/>
      <c r="U173" s="1336"/>
      <c r="V173" s="1336"/>
      <c r="W173" s="1336"/>
      <c r="X173" s="1366"/>
      <c r="Y173" s="1362"/>
      <c r="Z173" s="1397"/>
      <c r="AA173" s="1397"/>
      <c r="AB173" s="1377"/>
      <c r="AC173" s="1336"/>
      <c r="AD173" s="1336"/>
      <c r="AE173" s="1337"/>
    </row>
    <row r="174" spans="1:31">
      <c r="A174" s="1380">
        <v>169</v>
      </c>
      <c r="B174" s="3010"/>
      <c r="C174" s="2965"/>
      <c r="D174" s="2948"/>
      <c r="E174" s="1332"/>
      <c r="F174" s="1333"/>
      <c r="G174" s="1333"/>
      <c r="H174" s="1333"/>
      <c r="I174" s="1333"/>
      <c r="J174" s="1334"/>
      <c r="K174" s="1334"/>
      <c r="L174" s="1334"/>
      <c r="M174" s="1334"/>
      <c r="N174" s="1334"/>
      <c r="O174" s="1334"/>
      <c r="P174" s="1335"/>
      <c r="Q174" s="1334"/>
      <c r="R174" s="1334"/>
      <c r="S174" s="1334"/>
      <c r="T174" s="1336"/>
      <c r="U174" s="1336"/>
      <c r="V174" s="1336"/>
      <c r="W174" s="1336"/>
      <c r="X174" s="1366"/>
      <c r="Y174" s="1362"/>
      <c r="Z174" s="1397"/>
      <c r="AA174" s="1397"/>
      <c r="AB174" s="1377"/>
      <c r="AC174" s="1336"/>
      <c r="AD174" s="1336"/>
      <c r="AE174" s="1337"/>
    </row>
    <row r="175" spans="1:31">
      <c r="A175" s="1380">
        <v>170</v>
      </c>
      <c r="B175" s="3010"/>
      <c r="C175" s="2965"/>
      <c r="D175" s="2948"/>
      <c r="E175" s="1332"/>
      <c r="F175" s="1333"/>
      <c r="G175" s="1333"/>
      <c r="H175" s="1333"/>
      <c r="I175" s="1333"/>
      <c r="J175" s="1334"/>
      <c r="K175" s="1334"/>
      <c r="L175" s="1334"/>
      <c r="M175" s="1334"/>
      <c r="N175" s="1334"/>
      <c r="O175" s="1334"/>
      <c r="P175" s="1335"/>
      <c r="Q175" s="1334"/>
      <c r="R175" s="1334"/>
      <c r="S175" s="1334"/>
      <c r="T175" s="1336"/>
      <c r="U175" s="1336"/>
      <c r="V175" s="1336"/>
      <c r="W175" s="1336"/>
      <c r="X175" s="1366"/>
      <c r="Y175" s="1362"/>
      <c r="Z175" s="1397"/>
      <c r="AA175" s="1397"/>
      <c r="AB175" s="1377"/>
      <c r="AC175" s="1336"/>
      <c r="AD175" s="1336"/>
      <c r="AE175" s="1337"/>
    </row>
    <row r="176" spans="1:31">
      <c r="A176" s="1380">
        <v>171</v>
      </c>
      <c r="B176" s="3010"/>
      <c r="C176" s="2965"/>
      <c r="D176" s="2948"/>
      <c r="E176" s="1332"/>
      <c r="F176" s="1333"/>
      <c r="G176" s="1333"/>
      <c r="H176" s="1333"/>
      <c r="I176" s="1333"/>
      <c r="J176" s="1334"/>
      <c r="K176" s="1334"/>
      <c r="L176" s="1334"/>
      <c r="M176" s="1334"/>
      <c r="N176" s="1334"/>
      <c r="O176" s="1334"/>
      <c r="P176" s="1335"/>
      <c r="Q176" s="1334"/>
      <c r="R176" s="1334"/>
      <c r="S176" s="1334"/>
      <c r="T176" s="1336"/>
      <c r="U176" s="1336"/>
      <c r="V176" s="1336"/>
      <c r="W176" s="1336"/>
      <c r="X176" s="1366"/>
      <c r="Y176" s="1362"/>
      <c r="Z176" s="1397"/>
      <c r="AA176" s="1397"/>
      <c r="AB176" s="1428"/>
      <c r="AC176" s="1336"/>
      <c r="AD176" s="1336"/>
      <c r="AE176" s="1337"/>
    </row>
    <row r="177" spans="1:31">
      <c r="A177" s="1380">
        <v>172</v>
      </c>
      <c r="B177" s="3010"/>
      <c r="C177" s="2965"/>
      <c r="D177" s="2948"/>
      <c r="E177" s="1332"/>
      <c r="F177" s="1333"/>
      <c r="G177" s="1333"/>
      <c r="H177" s="1333"/>
      <c r="I177" s="1333"/>
      <c r="J177" s="1334"/>
      <c r="K177" s="1334"/>
      <c r="L177" s="1334"/>
      <c r="M177" s="1334"/>
      <c r="N177" s="1334"/>
      <c r="O177" s="1334"/>
      <c r="P177" s="1335"/>
      <c r="Q177" s="1334"/>
      <c r="R177" s="1334"/>
      <c r="S177" s="1334"/>
      <c r="T177" s="1336"/>
      <c r="U177" s="1336"/>
      <c r="V177" s="1336"/>
      <c r="W177" s="1336"/>
      <c r="X177" s="1366"/>
      <c r="Y177" s="1362"/>
      <c r="Z177" s="1397"/>
      <c r="AA177" s="1397"/>
      <c r="AB177" s="1428"/>
      <c r="AC177" s="1336"/>
      <c r="AD177" s="1336"/>
      <c r="AE177" s="1337"/>
    </row>
    <row r="178" spans="1:31">
      <c r="A178" s="1380">
        <v>173</v>
      </c>
      <c r="B178" s="3010"/>
      <c r="C178" s="2965"/>
      <c r="D178" s="2948"/>
      <c r="E178" s="1332"/>
      <c r="F178" s="1333"/>
      <c r="G178" s="1333"/>
      <c r="H178" s="1333"/>
      <c r="I178" s="1333"/>
      <c r="J178" s="1334"/>
      <c r="K178" s="1334"/>
      <c r="L178" s="1334"/>
      <c r="M178" s="1334"/>
      <c r="N178" s="1334"/>
      <c r="O178" s="1334"/>
      <c r="P178" s="1335"/>
      <c r="Q178" s="1334"/>
      <c r="R178" s="1334"/>
      <c r="S178" s="1334"/>
      <c r="T178" s="1336"/>
      <c r="U178" s="1336"/>
      <c r="V178" s="1336"/>
      <c r="W178" s="1336"/>
      <c r="X178" s="1366"/>
      <c r="Y178" s="1362"/>
      <c r="Z178" s="1397"/>
      <c r="AA178" s="1397"/>
      <c r="AB178" s="1428"/>
      <c r="AC178" s="1336"/>
      <c r="AD178" s="1336"/>
      <c r="AE178" s="1337"/>
    </row>
    <row r="179" spans="1:31">
      <c r="A179" s="1380">
        <v>174</v>
      </c>
      <c r="B179" s="3010"/>
      <c r="C179" s="2965"/>
      <c r="D179" s="1297" t="s">
        <v>3514</v>
      </c>
      <c r="E179" s="1340"/>
      <c r="F179" s="1340"/>
      <c r="G179" s="1340"/>
      <c r="H179" s="1340"/>
      <c r="I179" s="1340"/>
      <c r="J179" s="1340"/>
      <c r="K179" s="1340"/>
      <c r="L179" s="1340"/>
      <c r="M179" s="1334">
        <f>SUM(M173:M178)</f>
        <v>0</v>
      </c>
      <c r="N179" s="1334">
        <f>SUM(N173:N178)</f>
        <v>0</v>
      </c>
      <c r="O179" s="1334">
        <f>SUM(O173:O178)</f>
        <v>0</v>
      </c>
      <c r="P179" s="1334">
        <f>SUM(P173:P178)</f>
        <v>0</v>
      </c>
      <c r="Q179" s="1340"/>
      <c r="R179" s="1334">
        <f>SUM(R173:R178)</f>
        <v>0</v>
      </c>
      <c r="S179" s="1340"/>
      <c r="T179" s="1334">
        <f>SUM(T173:T178)</f>
        <v>0</v>
      </c>
      <c r="U179" s="1334">
        <f>SUM(U173:U178)</f>
        <v>0</v>
      </c>
      <c r="V179" s="1334">
        <f>SUM(V173:V178)</f>
        <v>0</v>
      </c>
      <c r="W179" s="1334">
        <f>SUM(W173:W178)</f>
        <v>0</v>
      </c>
      <c r="X179" s="1366"/>
      <c r="Y179" s="1362"/>
      <c r="Z179" s="1397"/>
      <c r="AA179" s="1397"/>
      <c r="AB179" s="1428"/>
      <c r="AC179" s="1362"/>
      <c r="AD179" s="1362"/>
      <c r="AE179" s="1425"/>
    </row>
    <row r="180" spans="1:31" ht="16.5" customHeight="1">
      <c r="A180" s="1380">
        <v>175</v>
      </c>
      <c r="B180" s="3010"/>
      <c r="C180" s="2965"/>
      <c r="D180" s="2948" t="s">
        <v>4267</v>
      </c>
      <c r="E180" s="1332"/>
      <c r="F180" s="1333"/>
      <c r="G180" s="1333"/>
      <c r="H180" s="1333"/>
      <c r="I180" s="1333"/>
      <c r="J180" s="1334"/>
      <c r="K180" s="1334"/>
      <c r="L180" s="1334"/>
      <c r="M180" s="1334"/>
      <c r="N180" s="1334"/>
      <c r="O180" s="1334"/>
      <c r="P180" s="1335"/>
      <c r="Q180" s="1334"/>
      <c r="R180" s="1334"/>
      <c r="S180" s="1334"/>
      <c r="T180" s="1336"/>
      <c r="U180" s="1336"/>
      <c r="V180" s="1336"/>
      <c r="W180" s="1336"/>
      <c r="X180" s="1366"/>
      <c r="Y180" s="1362"/>
      <c r="Z180" s="1397"/>
      <c r="AA180" s="1397"/>
      <c r="AB180" s="1428"/>
      <c r="AC180" s="1336"/>
      <c r="AD180" s="1336"/>
      <c r="AE180" s="1337"/>
    </row>
    <row r="181" spans="1:31">
      <c r="A181" s="1380">
        <v>176</v>
      </c>
      <c r="B181" s="3010"/>
      <c r="C181" s="2965"/>
      <c r="D181" s="2948"/>
      <c r="E181" s="1332"/>
      <c r="F181" s="1333"/>
      <c r="G181" s="1333"/>
      <c r="H181" s="1333"/>
      <c r="I181" s="1333"/>
      <c r="J181" s="1334"/>
      <c r="K181" s="1334"/>
      <c r="L181" s="1334"/>
      <c r="M181" s="1334"/>
      <c r="N181" s="1334"/>
      <c r="O181" s="1334"/>
      <c r="P181" s="1335"/>
      <c r="Q181" s="1334"/>
      <c r="R181" s="1334"/>
      <c r="S181" s="1334"/>
      <c r="T181" s="1336"/>
      <c r="U181" s="1336"/>
      <c r="V181" s="1336"/>
      <c r="W181" s="1336"/>
      <c r="X181" s="1366"/>
      <c r="Y181" s="1362"/>
      <c r="Z181" s="1397"/>
      <c r="AA181" s="1397"/>
      <c r="AB181" s="1377"/>
      <c r="AC181" s="1336"/>
      <c r="AD181" s="1336"/>
      <c r="AE181" s="1337"/>
    </row>
    <row r="182" spans="1:31">
      <c r="A182" s="1380">
        <v>177</v>
      </c>
      <c r="B182" s="3010"/>
      <c r="C182" s="2965"/>
      <c r="D182" s="2948"/>
      <c r="E182" s="1332"/>
      <c r="F182" s="1333"/>
      <c r="G182" s="1333"/>
      <c r="H182" s="1333"/>
      <c r="I182" s="1333"/>
      <c r="J182" s="1334"/>
      <c r="K182" s="1334"/>
      <c r="L182" s="1334"/>
      <c r="M182" s="1334"/>
      <c r="N182" s="1334"/>
      <c r="O182" s="1334"/>
      <c r="P182" s="1335"/>
      <c r="Q182" s="1334"/>
      <c r="R182" s="1334"/>
      <c r="S182" s="1334"/>
      <c r="T182" s="1336"/>
      <c r="U182" s="1336"/>
      <c r="V182" s="1336"/>
      <c r="W182" s="1336"/>
      <c r="X182" s="1366"/>
      <c r="Y182" s="1362"/>
      <c r="Z182" s="1397"/>
      <c r="AA182" s="1397"/>
      <c r="AB182" s="1377"/>
      <c r="AC182" s="1336"/>
      <c r="AD182" s="1336"/>
      <c r="AE182" s="1337"/>
    </row>
    <row r="183" spans="1:31">
      <c r="A183" s="1380">
        <v>178</v>
      </c>
      <c r="B183" s="3010"/>
      <c r="C183" s="2965"/>
      <c r="D183" s="2948"/>
      <c r="E183" s="1332"/>
      <c r="F183" s="1333"/>
      <c r="G183" s="1333"/>
      <c r="H183" s="1333"/>
      <c r="I183" s="1333"/>
      <c r="J183" s="1334"/>
      <c r="K183" s="1334"/>
      <c r="L183" s="1334"/>
      <c r="M183" s="1334"/>
      <c r="N183" s="1334"/>
      <c r="O183" s="1334"/>
      <c r="P183" s="1335"/>
      <c r="Q183" s="1334"/>
      <c r="R183" s="1334"/>
      <c r="S183" s="1334"/>
      <c r="T183" s="1336"/>
      <c r="U183" s="1336"/>
      <c r="V183" s="1336"/>
      <c r="W183" s="1336"/>
      <c r="X183" s="1366"/>
      <c r="Y183" s="1362"/>
      <c r="Z183" s="1397"/>
      <c r="AA183" s="1397"/>
      <c r="AB183" s="1377"/>
      <c r="AC183" s="1336"/>
      <c r="AD183" s="1336"/>
      <c r="AE183" s="1337"/>
    </row>
    <row r="184" spans="1:31">
      <c r="A184" s="1380">
        <v>179</v>
      </c>
      <c r="B184" s="3010"/>
      <c r="C184" s="2965"/>
      <c r="D184" s="2948"/>
      <c r="E184" s="1332"/>
      <c r="F184" s="1333"/>
      <c r="G184" s="1333"/>
      <c r="H184" s="1333"/>
      <c r="I184" s="1333"/>
      <c r="J184" s="1334"/>
      <c r="K184" s="1334"/>
      <c r="L184" s="1334"/>
      <c r="M184" s="1334"/>
      <c r="N184" s="1334"/>
      <c r="O184" s="1334"/>
      <c r="P184" s="1335"/>
      <c r="Q184" s="1334"/>
      <c r="R184" s="1334"/>
      <c r="S184" s="1334"/>
      <c r="T184" s="1336"/>
      <c r="U184" s="1336"/>
      <c r="V184" s="1336"/>
      <c r="W184" s="1336"/>
      <c r="X184" s="1366"/>
      <c r="Y184" s="1362"/>
      <c r="Z184" s="1397"/>
      <c r="AA184" s="1397"/>
      <c r="AB184" s="1377"/>
      <c r="AC184" s="1336"/>
      <c r="AD184" s="1336"/>
      <c r="AE184" s="1337"/>
    </row>
    <row r="185" spans="1:31">
      <c r="A185" s="1380">
        <v>180</v>
      </c>
      <c r="B185" s="3010"/>
      <c r="C185" s="2965"/>
      <c r="D185" s="2948"/>
      <c r="E185" s="1332"/>
      <c r="F185" s="1333"/>
      <c r="G185" s="1333"/>
      <c r="H185" s="1333"/>
      <c r="I185" s="1333"/>
      <c r="J185" s="1334"/>
      <c r="K185" s="1334"/>
      <c r="L185" s="1334"/>
      <c r="M185" s="1334"/>
      <c r="N185" s="1334"/>
      <c r="O185" s="1334"/>
      <c r="P185" s="1335"/>
      <c r="Q185" s="1334"/>
      <c r="R185" s="1334"/>
      <c r="S185" s="1334"/>
      <c r="T185" s="1336"/>
      <c r="U185" s="1336"/>
      <c r="V185" s="1336"/>
      <c r="W185" s="1336"/>
      <c r="X185" s="1366"/>
      <c r="Y185" s="1362"/>
      <c r="Z185" s="1397"/>
      <c r="AA185" s="1397"/>
      <c r="AB185" s="1377"/>
      <c r="AC185" s="1336"/>
      <c r="AD185" s="1336"/>
      <c r="AE185" s="1337"/>
    </row>
    <row r="186" spans="1:31" ht="17.25" thickBot="1">
      <c r="A186" s="1410">
        <v>181</v>
      </c>
      <c r="B186" s="3011"/>
      <c r="C186" s="2993"/>
      <c r="D186" s="1268" t="s">
        <v>3514</v>
      </c>
      <c r="E186" s="1413"/>
      <c r="F186" s="1413"/>
      <c r="G186" s="1413"/>
      <c r="H186" s="1413"/>
      <c r="I186" s="1413"/>
      <c r="J186" s="1413"/>
      <c r="K186" s="1413"/>
      <c r="L186" s="1413"/>
      <c r="M186" s="1414">
        <f>SUM(M180:M185)</f>
        <v>0</v>
      </c>
      <c r="N186" s="1414">
        <f>SUM(N180:N185)</f>
        <v>0</v>
      </c>
      <c r="O186" s="1414">
        <f>SUM(O180:O185)</f>
        <v>0</v>
      </c>
      <c r="P186" s="1414">
        <f>SUM(P180:P185)</f>
        <v>0</v>
      </c>
      <c r="Q186" s="1413"/>
      <c r="R186" s="1414">
        <f>SUM(R180:R185)</f>
        <v>0</v>
      </c>
      <c r="S186" s="1413"/>
      <c r="T186" s="1414">
        <f>SUM(T180:T185)</f>
        <v>0</v>
      </c>
      <c r="U186" s="1414">
        <f>SUM(U180:U185)</f>
        <v>0</v>
      </c>
      <c r="V186" s="1414">
        <f>SUM(V180:V185)</f>
        <v>0</v>
      </c>
      <c r="W186" s="1414">
        <f>SUM(W180:W185)</f>
        <v>0</v>
      </c>
      <c r="X186" s="1430"/>
      <c r="Y186" s="1431"/>
      <c r="AC186" s="1431"/>
      <c r="AD186" s="1431"/>
      <c r="AE186" s="1432"/>
    </row>
    <row r="187" spans="1:31" ht="17.25" thickBot="1">
      <c r="A187" s="33">
        <v>182</v>
      </c>
      <c r="B187" s="3008" t="s">
        <v>4291</v>
      </c>
      <c r="C187" s="2960"/>
      <c r="D187" s="2960"/>
      <c r="E187" s="1418"/>
      <c r="F187" s="1419"/>
      <c r="G187" s="1419"/>
      <c r="H187" s="1419"/>
      <c r="I187" s="1419"/>
      <c r="J187" s="1420"/>
      <c r="K187" s="1420"/>
      <c r="L187" s="1420"/>
      <c r="M187" s="1433">
        <f>M137+M144+M151+M158+M165+M172+M179+M186</f>
        <v>0</v>
      </c>
      <c r="N187" s="1433">
        <f>N137+N144+N151+N158+N165+N172+N179+N186</f>
        <v>0</v>
      </c>
      <c r="O187" s="1433">
        <f>O137+O144+O151+O158+O165+O172+O179+O186</f>
        <v>0</v>
      </c>
      <c r="P187" s="1433">
        <f>P137+P144+P151+P158+P165+P172+P179+P186</f>
        <v>0</v>
      </c>
      <c r="Q187" s="1420"/>
      <c r="R187" s="1433">
        <f>R137+R144+R151+R158+R165+R172+R179+R186</f>
        <v>0</v>
      </c>
      <c r="S187" s="1420"/>
      <c r="T187" s="1433">
        <f>T137+T144+T151+T158+T165+T172+T179+T186</f>
        <v>0</v>
      </c>
      <c r="U187" s="1433">
        <f>U137+U144+U151+U158+U165+U172+U179+U186</f>
        <v>0</v>
      </c>
      <c r="V187" s="1433">
        <f>V137+V144+V151+V158+V165+V172+V179+V186</f>
        <v>0</v>
      </c>
      <c r="W187" s="1433">
        <f>W137+W144+W151+W158+W165+W172+W179+W186</f>
        <v>0</v>
      </c>
      <c r="X187" s="1434"/>
      <c r="Y187" s="1435"/>
      <c r="AC187" s="1435"/>
      <c r="AD187" s="1435"/>
      <c r="AE187" s="1436"/>
    </row>
    <row r="188" spans="1:31" ht="17.25" thickBot="1">
      <c r="A188" s="33">
        <v>183</v>
      </c>
      <c r="B188" s="2995" t="s">
        <v>3515</v>
      </c>
      <c r="C188" s="2996"/>
      <c r="D188" s="2996"/>
      <c r="E188" s="1352"/>
      <c r="F188" s="1353"/>
      <c r="G188" s="1353"/>
      <c r="H188" s="1353"/>
      <c r="I188" s="1353"/>
      <c r="J188" s="1354"/>
      <c r="K188" s="1354"/>
      <c r="L188" s="1354"/>
      <c r="M188" s="1369">
        <f>M187+M130</f>
        <v>0</v>
      </c>
      <c r="N188" s="1369">
        <f>N187+N130</f>
        <v>0</v>
      </c>
      <c r="O188" s="1369">
        <f>O187+O130</f>
        <v>0</v>
      </c>
      <c r="P188" s="1369">
        <f>P187+P130</f>
        <v>0</v>
      </c>
      <c r="Q188" s="1354"/>
      <c r="R188" s="1369">
        <f>R187+R130</f>
        <v>0</v>
      </c>
      <c r="S188" s="1373"/>
      <c r="T188" s="1369">
        <f>T187+T130</f>
        <v>0</v>
      </c>
      <c r="U188" s="1369">
        <f>U187+U130</f>
        <v>0</v>
      </c>
      <c r="V188" s="1369">
        <f>V187+V130</f>
        <v>0</v>
      </c>
      <c r="W188" s="1369">
        <f>W187+W130</f>
        <v>0</v>
      </c>
      <c r="X188" s="1370"/>
      <c r="Y188" s="1371"/>
      <c r="AC188" s="1371"/>
      <c r="AD188" s="1371"/>
      <c r="AE188" s="1437"/>
    </row>
    <row r="191" spans="1:31">
      <c r="A191" s="1318" t="s">
        <v>4171</v>
      </c>
      <c r="B191" s="1318"/>
      <c r="C191" s="470"/>
      <c r="D191" s="1319"/>
      <c r="E191" s="1319"/>
      <c r="F191" s="1319"/>
      <c r="G191" s="1319"/>
      <c r="H191" s="1319"/>
      <c r="I191" s="1319"/>
      <c r="J191" s="1319"/>
      <c r="K191" s="1319"/>
      <c r="L191" s="1319"/>
      <c r="M191" s="1319"/>
      <c r="N191" s="1319"/>
      <c r="O191" s="1319"/>
    </row>
    <row r="192" spans="1:31">
      <c r="A192" s="493">
        <v>1</v>
      </c>
      <c r="B192" s="470" t="s">
        <v>4308</v>
      </c>
      <c r="C192" s="470"/>
      <c r="D192" s="1319"/>
      <c r="E192" s="1319"/>
      <c r="F192" s="1319"/>
      <c r="G192" s="1319"/>
      <c r="H192" s="1319"/>
      <c r="I192" s="1319"/>
      <c r="J192" s="1319"/>
      <c r="K192" s="1319"/>
      <c r="L192" s="1319"/>
      <c r="M192" s="1319"/>
      <c r="N192" s="1319"/>
      <c r="O192" s="1319"/>
    </row>
    <row r="193" spans="1:15">
      <c r="A193" s="1318" t="s">
        <v>478</v>
      </c>
      <c r="B193" s="470" t="s">
        <v>4293</v>
      </c>
      <c r="C193" s="470"/>
      <c r="D193" s="1319"/>
      <c r="E193" s="1319"/>
      <c r="F193" s="1319"/>
      <c r="G193" s="1319"/>
      <c r="H193" s="1319"/>
      <c r="I193" s="1319"/>
      <c r="J193" s="1319"/>
      <c r="K193" s="1319"/>
      <c r="L193" s="1319"/>
      <c r="M193" s="1319"/>
      <c r="N193" s="1319"/>
      <c r="O193" s="1319"/>
    </row>
    <row r="194" spans="1:15">
      <c r="A194" s="493">
        <v>3</v>
      </c>
      <c r="B194" s="1438" t="s">
        <v>4309</v>
      </c>
      <c r="C194" s="470"/>
      <c r="D194" s="1319"/>
      <c r="E194" s="1319"/>
      <c r="F194" s="1319"/>
      <c r="G194" s="1319"/>
      <c r="H194" s="1319"/>
      <c r="I194" s="1319"/>
      <c r="J194" s="1319"/>
      <c r="K194" s="1319"/>
      <c r="L194" s="1319"/>
      <c r="M194" s="1319"/>
      <c r="N194" s="1319"/>
      <c r="O194" s="1319"/>
    </row>
    <row r="195" spans="1:15">
      <c r="A195" s="1318"/>
      <c r="B195" s="33" t="s">
        <v>4310</v>
      </c>
      <c r="C195" s="470"/>
      <c r="D195" s="1319"/>
      <c r="E195" s="1319"/>
      <c r="F195" s="1319"/>
      <c r="G195" s="1319"/>
      <c r="H195" s="1319"/>
      <c r="I195" s="1319"/>
      <c r="J195" s="1319"/>
      <c r="K195" s="1319"/>
      <c r="L195" s="1319"/>
      <c r="M195" s="1319"/>
      <c r="N195" s="1319"/>
      <c r="O195" s="1319"/>
    </row>
    <row r="196" spans="1:15">
      <c r="A196" s="493"/>
      <c r="B196" s="33" t="s">
        <v>4311</v>
      </c>
      <c r="C196" s="470"/>
      <c r="D196" s="1319"/>
      <c r="E196" s="1319"/>
      <c r="F196" s="1319"/>
      <c r="G196" s="1319"/>
      <c r="H196" s="1319"/>
      <c r="I196" s="1319"/>
      <c r="J196" s="1319"/>
      <c r="K196" s="1319"/>
      <c r="L196" s="1319"/>
      <c r="M196" s="1319"/>
      <c r="N196" s="1319"/>
      <c r="O196" s="1319"/>
    </row>
    <row r="197" spans="1:15">
      <c r="A197" s="1318"/>
      <c r="B197" s="33" t="s">
        <v>4312</v>
      </c>
      <c r="C197" s="470"/>
      <c r="D197" s="1319"/>
      <c r="E197" s="1319"/>
      <c r="F197" s="1319"/>
      <c r="G197" s="1319"/>
      <c r="H197" s="1319"/>
      <c r="I197" s="1319"/>
      <c r="J197" s="1319"/>
      <c r="K197" s="1319"/>
      <c r="L197" s="1319"/>
      <c r="M197" s="1319"/>
      <c r="N197" s="1319"/>
      <c r="O197" s="1319"/>
    </row>
    <row r="198" spans="1:15">
      <c r="A198" s="493">
        <v>4</v>
      </c>
      <c r="B198" s="26" t="s">
        <v>4313</v>
      </c>
      <c r="C198" s="26"/>
      <c r="D198" s="26"/>
      <c r="E198" s="26"/>
      <c r="F198" s="26"/>
      <c r="G198" s="26"/>
      <c r="H198" s="26"/>
      <c r="I198" s="26"/>
      <c r="J198" s="26"/>
      <c r="K198" s="26"/>
      <c r="L198" s="26"/>
      <c r="M198" s="26"/>
      <c r="N198" s="26"/>
      <c r="O198" s="26"/>
    </row>
    <row r="199" spans="1:15">
      <c r="A199" s="1318">
        <v>5</v>
      </c>
      <c r="B199" s="26" t="s">
        <v>4276</v>
      </c>
      <c r="C199" s="26"/>
      <c r="D199" s="26"/>
      <c r="E199" s="26"/>
      <c r="F199" s="26"/>
      <c r="G199" s="26"/>
      <c r="H199" s="26"/>
      <c r="I199" s="26"/>
      <c r="J199" s="26"/>
      <c r="K199" s="26"/>
      <c r="L199" s="26"/>
      <c r="M199" s="26"/>
      <c r="N199" s="26"/>
      <c r="O199" s="26"/>
    </row>
    <row r="200" spans="1:15">
      <c r="A200" s="493" t="s">
        <v>473</v>
      </c>
      <c r="B200" s="470" t="s">
        <v>4314</v>
      </c>
      <c r="C200" s="470"/>
      <c r="D200" s="1319"/>
      <c r="E200" s="1319"/>
      <c r="F200" s="1319"/>
      <c r="G200" s="1319"/>
      <c r="H200" s="1319"/>
      <c r="I200" s="1319"/>
      <c r="J200" s="1319"/>
      <c r="K200" s="1319"/>
      <c r="L200" s="1319"/>
      <c r="M200" s="1319"/>
      <c r="N200" s="1319"/>
      <c r="O200" s="1319"/>
    </row>
    <row r="201" spans="1:15">
      <c r="A201" s="1318">
        <v>7</v>
      </c>
      <c r="B201" s="470" t="s">
        <v>4315</v>
      </c>
      <c r="C201" s="470"/>
      <c r="D201" s="1319"/>
      <c r="E201" s="1319"/>
      <c r="F201" s="1319"/>
      <c r="G201" s="1319"/>
      <c r="H201" s="1319"/>
      <c r="I201" s="1319"/>
      <c r="J201" s="1319"/>
      <c r="K201" s="1319"/>
      <c r="L201" s="1319"/>
      <c r="M201" s="1319"/>
      <c r="N201" s="1319"/>
      <c r="O201" s="1319"/>
    </row>
    <row r="202" spans="1:15">
      <c r="A202" s="493"/>
      <c r="B202" s="33"/>
      <c r="C202" s="470"/>
      <c r="D202" s="1319"/>
      <c r="E202" s="1319"/>
      <c r="F202" s="1319"/>
      <c r="G202" s="1319"/>
      <c r="H202" s="1319"/>
      <c r="I202" s="1319"/>
      <c r="J202" s="1319"/>
      <c r="K202" s="1319"/>
      <c r="L202" s="1319"/>
      <c r="M202" s="1319"/>
      <c r="N202" s="1319"/>
      <c r="O202" s="1319"/>
    </row>
    <row r="203" spans="1:15">
      <c r="A203" s="1318"/>
      <c r="B203" s="33"/>
      <c r="C203" s="57"/>
      <c r="D203" s="1319"/>
      <c r="E203" s="1319"/>
      <c r="F203" s="1319"/>
      <c r="G203" s="1319"/>
      <c r="H203" s="1319"/>
      <c r="I203" s="1319"/>
      <c r="J203" s="1319"/>
      <c r="K203" s="1319"/>
      <c r="L203" s="1319"/>
      <c r="M203" s="1319"/>
      <c r="N203" s="1319"/>
      <c r="O203" s="1319"/>
    </row>
    <row r="204" spans="1:15">
      <c r="A204" s="493"/>
      <c r="B204" s="33"/>
      <c r="C204" s="470"/>
      <c r="D204" s="1319"/>
      <c r="E204" s="1319"/>
      <c r="F204" s="1319"/>
      <c r="G204" s="1319"/>
      <c r="H204" s="1319"/>
      <c r="I204" s="1319"/>
      <c r="J204" s="1319"/>
      <c r="K204" s="1319"/>
      <c r="L204" s="1319"/>
      <c r="M204" s="1319"/>
      <c r="N204" s="1319"/>
      <c r="O204" s="1319"/>
    </row>
    <row r="205" spans="1:15">
      <c r="A205" s="493"/>
      <c r="B205" s="33"/>
      <c r="C205" s="470"/>
      <c r="D205" s="1319"/>
      <c r="E205" s="1319"/>
      <c r="F205" s="1319"/>
      <c r="G205" s="1319"/>
      <c r="H205" s="1319"/>
      <c r="I205" s="1319"/>
      <c r="J205" s="1319"/>
      <c r="K205" s="1319"/>
      <c r="L205" s="1319"/>
      <c r="M205" s="1319"/>
      <c r="N205" s="1319"/>
      <c r="O205" s="1319"/>
    </row>
    <row r="206" spans="1:15">
      <c r="A206" s="493"/>
      <c r="B206" s="33"/>
      <c r="C206" s="470"/>
      <c r="D206" s="1319"/>
      <c r="E206" s="1319"/>
      <c r="F206" s="1319"/>
      <c r="G206" s="1319"/>
      <c r="H206" s="1319"/>
      <c r="I206" s="1319"/>
      <c r="J206" s="1319"/>
      <c r="K206" s="1319"/>
      <c r="L206" s="1319"/>
      <c r="M206" s="1319"/>
      <c r="N206" s="1319"/>
      <c r="O206" s="1319"/>
    </row>
    <row r="207" spans="1:15">
      <c r="A207" s="1318"/>
      <c r="B207" s="33"/>
      <c r="C207" s="1319"/>
      <c r="D207" s="1321"/>
      <c r="E207" s="1323"/>
      <c r="F207" s="1321"/>
      <c r="G207" s="1321"/>
      <c r="H207" s="1321"/>
      <c r="I207" s="1321"/>
      <c r="J207" s="1320"/>
      <c r="K207" s="1320"/>
      <c r="L207" s="1321"/>
      <c r="M207" s="1321"/>
      <c r="N207" s="1320"/>
      <c r="O207" s="1320"/>
    </row>
    <row r="208" spans="1:15">
      <c r="A208" s="493"/>
      <c r="B208" s="1318"/>
      <c r="C208" s="470"/>
      <c r="D208" s="1319"/>
      <c r="E208" s="1319"/>
      <c r="F208" s="1319"/>
      <c r="G208" s="1319"/>
      <c r="H208" s="1319"/>
      <c r="I208" s="1319"/>
      <c r="J208" s="1319"/>
      <c r="K208" s="1319"/>
      <c r="L208" s="1319"/>
      <c r="M208" s="1319"/>
      <c r="N208" s="1319"/>
      <c r="O208" s="1319"/>
    </row>
    <row r="209" spans="1:15">
      <c r="A209" s="493"/>
      <c r="B209" s="1318"/>
      <c r="C209" s="470"/>
      <c r="D209" s="1319"/>
      <c r="E209" s="1319"/>
      <c r="F209" s="1319"/>
      <c r="G209" s="1319"/>
      <c r="H209" s="1319"/>
      <c r="I209" s="1319"/>
      <c r="J209" s="1319"/>
      <c r="K209" s="1319"/>
      <c r="L209" s="1319"/>
      <c r="M209" s="1319"/>
      <c r="N209" s="1319"/>
      <c r="O209" s="1319"/>
    </row>
    <row r="210" spans="1:15">
      <c r="A210" s="1318"/>
      <c r="B210" s="1318"/>
      <c r="C210" s="470"/>
      <c r="D210" s="1319"/>
      <c r="E210" s="1319"/>
      <c r="F210" s="1319"/>
      <c r="G210" s="1319"/>
      <c r="H210" s="1319"/>
      <c r="I210" s="1319"/>
      <c r="J210" s="1319"/>
      <c r="K210" s="1319"/>
      <c r="L210" s="1319"/>
      <c r="M210" s="1319"/>
      <c r="N210" s="1319"/>
      <c r="O210" s="1319"/>
    </row>
    <row r="211" spans="1:15">
      <c r="A211" s="493"/>
      <c r="B211" s="1318"/>
      <c r="C211" s="470"/>
      <c r="D211" s="1319"/>
      <c r="E211" s="1319"/>
      <c r="F211" s="1319"/>
      <c r="G211" s="1319"/>
      <c r="H211" s="1319"/>
      <c r="I211" s="1319"/>
      <c r="J211" s="1319"/>
      <c r="K211" s="1319"/>
      <c r="L211" s="1319"/>
      <c r="M211" s="1319"/>
      <c r="N211" s="1319"/>
      <c r="O211" s="1319"/>
    </row>
    <row r="212" spans="1:15">
      <c r="A212" s="1318"/>
      <c r="B212" s="1318"/>
      <c r="C212" s="1319"/>
      <c r="D212" s="1319"/>
      <c r="E212" s="1319"/>
      <c r="F212" s="1319"/>
      <c r="G212" s="1319"/>
      <c r="H212" s="1319"/>
      <c r="I212" s="1319"/>
      <c r="J212" s="1319"/>
      <c r="K212" s="1319"/>
      <c r="L212" s="1322"/>
      <c r="M212" s="1322"/>
      <c r="N212" s="1319"/>
      <c r="O212" s="1319"/>
    </row>
    <row r="213" spans="1:15">
      <c r="A213" s="493"/>
      <c r="B213" s="1318"/>
      <c r="D213" s="1319"/>
      <c r="E213" s="1319"/>
      <c r="F213" s="1319"/>
      <c r="G213" s="1319"/>
      <c r="H213" s="1319"/>
      <c r="I213" s="1319"/>
      <c r="J213" s="1319"/>
      <c r="K213" s="1319"/>
      <c r="L213" s="1322"/>
      <c r="M213" s="1322"/>
      <c r="N213" s="1319"/>
      <c r="O213" s="1319"/>
    </row>
    <row r="214" spans="1:15">
      <c r="A214" s="493"/>
      <c r="B214" s="1318"/>
      <c r="C214" s="1319"/>
      <c r="D214" s="1322"/>
      <c r="E214" s="1322"/>
      <c r="F214" s="1322"/>
      <c r="G214" s="1322"/>
      <c r="H214" s="1322"/>
      <c r="I214" s="1322"/>
      <c r="J214" s="1322"/>
      <c r="K214" s="1322"/>
      <c r="L214" s="1320"/>
      <c r="M214" s="1320"/>
      <c r="N214" s="1322"/>
      <c r="O214" s="1322"/>
    </row>
    <row r="215" spans="1:15">
      <c r="A215" s="1318"/>
      <c r="B215" s="1318"/>
      <c r="C215" s="470"/>
      <c r="D215" s="1322"/>
      <c r="E215" s="1322"/>
      <c r="F215" s="1322"/>
      <c r="G215" s="1322"/>
      <c r="H215" s="1322"/>
      <c r="I215" s="1322"/>
      <c r="J215" s="1322"/>
      <c r="K215" s="1322"/>
      <c r="L215" s="1321"/>
      <c r="M215" s="1321"/>
      <c r="N215" s="1322"/>
      <c r="O215" s="1322"/>
    </row>
    <row r="216" spans="1:15">
      <c r="A216" s="493"/>
      <c r="B216" s="1318"/>
      <c r="C216" s="1319"/>
      <c r="D216" s="1321"/>
      <c r="E216" s="1323"/>
      <c r="F216" s="1321"/>
      <c r="G216" s="1321"/>
      <c r="H216" s="1321"/>
      <c r="I216" s="1321"/>
      <c r="J216" s="1321"/>
      <c r="K216" s="1321"/>
      <c r="L216" s="1321"/>
      <c r="M216" s="1321"/>
      <c r="N216" s="1321"/>
      <c r="O216" s="1321"/>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30"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132" activePane="bottomRight" state="frozen"/>
      <selection pane="topRight"/>
      <selection pane="bottomLeft"/>
      <selection pane="bottomRight"/>
    </sheetView>
  </sheetViews>
  <sheetFormatPr defaultColWidth="9" defaultRowHeight="13.5"/>
  <cols>
    <col min="1" max="1" width="5.125" style="1252" customWidth="1"/>
    <col min="2" max="3" width="9.625" style="1252" customWidth="1"/>
    <col min="4" max="5" width="9" style="1252"/>
    <col min="6" max="6" width="14" style="1252" customWidth="1"/>
    <col min="7" max="8" width="9" style="1252"/>
    <col min="9" max="9" width="7.625" style="1252" customWidth="1"/>
    <col min="10" max="10" width="11.375" style="1252" customWidth="1"/>
    <col min="11" max="13" width="9" style="1252"/>
    <col min="14" max="14" width="13.5" style="1252" customWidth="1"/>
    <col min="15" max="15" width="15" style="1252" customWidth="1"/>
    <col min="16" max="16" width="13.5" style="1252" customWidth="1"/>
    <col min="17" max="17" width="11.875" style="1252" customWidth="1"/>
    <col min="18" max="18" width="18.875" style="1252" customWidth="1"/>
    <col min="19" max="19" width="11" style="1252" customWidth="1"/>
    <col min="20" max="22" width="9" style="1252"/>
    <col min="23" max="23" width="8.375" style="1252" customWidth="1"/>
    <col min="24" max="24" width="11" style="1252" customWidth="1"/>
    <col min="25" max="25" width="14.5" style="1252" customWidth="1"/>
    <col min="26" max="16384" width="9" style="1252"/>
  </cols>
  <sheetData>
    <row r="1" spans="1:28" ht="16.5">
      <c r="A1" s="2186" t="str">
        <f>+封面!A3&amp;" "&amp;封面!A2</f>
        <v xml:space="preserve"> 中央再保險股份有限公司 年度檢查報表</v>
      </c>
      <c r="B1" s="1249"/>
      <c r="C1" s="1249"/>
      <c r="D1" s="58"/>
      <c r="E1" s="58"/>
      <c r="F1" s="1250"/>
      <c r="G1" s="58"/>
      <c r="H1" s="58"/>
      <c r="I1" s="58"/>
      <c r="J1" s="58"/>
      <c r="K1" s="58"/>
      <c r="L1" s="58"/>
      <c r="M1" s="58"/>
      <c r="N1" s="58"/>
      <c r="O1" s="58"/>
      <c r="P1" s="58"/>
      <c r="Q1" s="58"/>
      <c r="R1" s="58"/>
      <c r="S1" s="58"/>
      <c r="T1" s="58"/>
      <c r="U1" s="58"/>
      <c r="V1" s="58"/>
      <c r="W1" s="58"/>
      <c r="X1" s="58"/>
      <c r="Y1" s="1325"/>
      <c r="Z1" s="58"/>
      <c r="AA1" s="1251" t="s">
        <v>4176</v>
      </c>
    </row>
    <row r="2" spans="1:28" ht="15" thickBot="1">
      <c r="A2" s="1251" t="s">
        <v>4278</v>
      </c>
      <c r="B2" s="1251"/>
      <c r="C2" s="1251"/>
      <c r="D2" s="58"/>
      <c r="E2" s="58"/>
      <c r="F2" s="1250"/>
      <c r="G2" s="58"/>
      <c r="H2" s="58"/>
      <c r="I2" s="58"/>
      <c r="J2" s="58"/>
      <c r="K2" s="58"/>
      <c r="L2" s="58"/>
      <c r="M2" s="58"/>
      <c r="N2" s="58"/>
      <c r="O2" s="58"/>
      <c r="P2" s="58"/>
      <c r="Q2" s="58"/>
      <c r="R2" s="58"/>
      <c r="S2" s="58"/>
      <c r="T2" s="58"/>
      <c r="U2" s="58"/>
      <c r="V2" s="58"/>
      <c r="W2" s="58"/>
      <c r="X2" s="58"/>
      <c r="Y2" s="1325"/>
      <c r="Z2" s="58"/>
      <c r="AA2" s="58"/>
    </row>
    <row r="3" spans="1:28" ht="16.5" customHeight="1">
      <c r="A3" s="2942" t="s">
        <v>3625</v>
      </c>
      <c r="B3" s="2945" t="s">
        <v>4232</v>
      </c>
      <c r="C3" s="2947" t="s">
        <v>4233</v>
      </c>
      <c r="D3" s="2947"/>
      <c r="E3" s="2945" t="s">
        <v>4234</v>
      </c>
      <c r="F3" s="2945"/>
      <c r="G3" s="2945"/>
      <c r="H3" s="2945"/>
      <c r="I3" s="2945"/>
      <c r="J3" s="1326"/>
      <c r="K3" s="2945" t="s">
        <v>4236</v>
      </c>
      <c r="L3" s="2945" t="s">
        <v>4237</v>
      </c>
      <c r="M3" s="3001" t="s">
        <v>4238</v>
      </c>
      <c r="N3" s="2945" t="s">
        <v>4202</v>
      </c>
      <c r="O3" s="2945" t="s">
        <v>4279</v>
      </c>
      <c r="P3" s="2945" t="s">
        <v>4280</v>
      </c>
      <c r="Q3" s="2947" t="s">
        <v>4281</v>
      </c>
      <c r="R3" s="2947" t="s">
        <v>4282</v>
      </c>
      <c r="S3" s="2947" t="s">
        <v>4283</v>
      </c>
      <c r="T3" s="2947" t="s">
        <v>4284</v>
      </c>
      <c r="U3" s="2991"/>
      <c r="V3" s="2947" t="s">
        <v>4285</v>
      </c>
      <c r="W3" s="2991"/>
      <c r="X3" s="2945" t="s">
        <v>4244</v>
      </c>
      <c r="Y3" s="2956" t="s">
        <v>4286</v>
      </c>
      <c r="Z3" s="2945" t="s">
        <v>4246</v>
      </c>
      <c r="AA3" s="2945" t="s">
        <v>4247</v>
      </c>
      <c r="AB3" s="2950" t="s">
        <v>4248</v>
      </c>
    </row>
    <row r="4" spans="1:28" ht="31.9" customHeight="1">
      <c r="A4" s="2943"/>
      <c r="B4" s="2946"/>
      <c r="C4" s="2948"/>
      <c r="D4" s="2948"/>
      <c r="E4" s="1119" t="s">
        <v>4249</v>
      </c>
      <c r="F4" s="1119" t="s">
        <v>4250</v>
      </c>
      <c r="G4" s="1120" t="s">
        <v>4251</v>
      </c>
      <c r="H4" s="1120" t="s">
        <v>4252</v>
      </c>
      <c r="I4" s="1120" t="s">
        <v>4253</v>
      </c>
      <c r="J4" s="1120" t="s">
        <v>4287</v>
      </c>
      <c r="K4" s="2946"/>
      <c r="L4" s="2948"/>
      <c r="M4" s="2953"/>
      <c r="N4" s="2948"/>
      <c r="O4" s="2948"/>
      <c r="P4" s="2946"/>
      <c r="Q4" s="2948"/>
      <c r="R4" s="2948"/>
      <c r="S4" s="2948"/>
      <c r="T4" s="2994"/>
      <c r="U4" s="2994"/>
      <c r="V4" s="2994"/>
      <c r="W4" s="2994"/>
      <c r="X4" s="2946"/>
      <c r="Y4" s="2957"/>
      <c r="Z4" s="2946"/>
      <c r="AA4" s="2946"/>
      <c r="AB4" s="2951"/>
    </row>
    <row r="5" spans="1:28" ht="15" thickBot="1">
      <c r="A5" s="2944"/>
      <c r="B5" s="1123" t="s">
        <v>66</v>
      </c>
      <c r="C5" s="2949" t="s">
        <v>67</v>
      </c>
      <c r="D5" s="3006"/>
      <c r="E5" s="1123" t="s">
        <v>68</v>
      </c>
      <c r="F5" s="1123" t="s">
        <v>69</v>
      </c>
      <c r="G5" s="1123" t="s">
        <v>70</v>
      </c>
      <c r="H5" s="1123" t="s">
        <v>71</v>
      </c>
      <c r="I5" s="1123" t="s">
        <v>72</v>
      </c>
      <c r="J5" s="1123" t="s">
        <v>454</v>
      </c>
      <c r="K5" s="1123" t="s">
        <v>455</v>
      </c>
      <c r="L5" s="1123" t="s">
        <v>456</v>
      </c>
      <c r="M5" s="1123" t="s">
        <v>457</v>
      </c>
      <c r="N5" s="1123" t="s">
        <v>469</v>
      </c>
      <c r="O5" s="1123" t="s">
        <v>458</v>
      </c>
      <c r="P5" s="1123" t="s">
        <v>459</v>
      </c>
      <c r="Q5" s="1123" t="s">
        <v>460</v>
      </c>
      <c r="R5" s="1123" t="s">
        <v>461</v>
      </c>
      <c r="S5" s="1123" t="s">
        <v>462</v>
      </c>
      <c r="T5" s="1123" t="s">
        <v>4288</v>
      </c>
      <c r="U5" s="1123" t="s">
        <v>4289</v>
      </c>
      <c r="V5" s="1123" t="s">
        <v>4288</v>
      </c>
      <c r="W5" s="1123" t="s">
        <v>4289</v>
      </c>
      <c r="X5" s="1123" t="s">
        <v>465</v>
      </c>
      <c r="Y5" s="1123" t="s">
        <v>466</v>
      </c>
      <c r="Z5" s="1123" t="s">
        <v>474</v>
      </c>
      <c r="AA5" s="1125" t="s">
        <v>475</v>
      </c>
      <c r="AB5" s="1125" t="s">
        <v>476</v>
      </c>
    </row>
    <row r="6" spans="1:28" ht="14.25" customHeight="1">
      <c r="A6" s="1253">
        <v>1</v>
      </c>
      <c r="B6" s="2961" t="s">
        <v>4254</v>
      </c>
      <c r="C6" s="2964" t="s">
        <v>4255</v>
      </c>
      <c r="D6" s="2991" t="s">
        <v>4256</v>
      </c>
      <c r="E6" s="1254" t="s">
        <v>4257</v>
      </c>
      <c r="F6" s="1327"/>
      <c r="G6" s="1327"/>
      <c r="H6" s="1327"/>
      <c r="I6" s="1327"/>
      <c r="J6" s="1328"/>
      <c r="K6" s="1328"/>
      <c r="L6" s="1328"/>
      <c r="M6" s="1328"/>
      <c r="N6" s="1328"/>
      <c r="O6" s="1328"/>
      <c r="P6" s="1329"/>
      <c r="Q6" s="1328"/>
      <c r="R6" s="1328"/>
      <c r="S6" s="1328"/>
      <c r="T6" s="1328"/>
      <c r="U6" s="1329"/>
      <c r="V6" s="1328"/>
      <c r="W6" s="1329"/>
      <c r="X6" s="1328"/>
      <c r="Y6" s="1328"/>
      <c r="Z6" s="1330"/>
      <c r="AA6" s="1330"/>
      <c r="AB6" s="1331"/>
    </row>
    <row r="7" spans="1:28">
      <c r="A7" s="1261">
        <v>2</v>
      </c>
      <c r="B7" s="2962"/>
      <c r="C7" s="2965"/>
      <c r="D7" s="2994"/>
      <c r="E7" s="1332"/>
      <c r="F7" s="1333"/>
      <c r="G7" s="1333"/>
      <c r="H7" s="1333"/>
      <c r="I7" s="1333"/>
      <c r="J7" s="1334"/>
      <c r="K7" s="1334"/>
      <c r="L7" s="1334"/>
      <c r="M7" s="1334"/>
      <c r="N7" s="1334"/>
      <c r="O7" s="1334"/>
      <c r="P7" s="1335"/>
      <c r="Q7" s="1334"/>
      <c r="R7" s="1334"/>
      <c r="S7" s="1334"/>
      <c r="T7" s="1334"/>
      <c r="U7" s="1335"/>
      <c r="V7" s="1334"/>
      <c r="W7" s="1335"/>
      <c r="X7" s="1334"/>
      <c r="Y7" s="1334"/>
      <c r="Z7" s="1336"/>
      <c r="AA7" s="1336"/>
      <c r="AB7" s="1337"/>
    </row>
    <row r="8" spans="1:28">
      <c r="A8" s="1261">
        <v>3</v>
      </c>
      <c r="B8" s="2962"/>
      <c r="C8" s="2965"/>
      <c r="D8" s="2994"/>
      <c r="E8" s="1332"/>
      <c r="F8" s="1333"/>
      <c r="G8" s="1333"/>
      <c r="H8" s="1333"/>
      <c r="I8" s="1333"/>
      <c r="J8" s="1334"/>
      <c r="K8" s="1334"/>
      <c r="L8" s="1334"/>
      <c r="M8" s="1334"/>
      <c r="N8" s="1334"/>
      <c r="O8" s="1334"/>
      <c r="P8" s="1335"/>
      <c r="Q8" s="1334"/>
      <c r="R8" s="1334"/>
      <c r="S8" s="1334"/>
      <c r="T8" s="1334"/>
      <c r="U8" s="1335"/>
      <c r="V8" s="1334"/>
      <c r="W8" s="1335"/>
      <c r="X8" s="1334"/>
      <c r="Y8" s="1334"/>
      <c r="Z8" s="1336"/>
      <c r="AA8" s="1336"/>
      <c r="AB8" s="1337"/>
    </row>
    <row r="9" spans="1:28">
      <c r="A9" s="1261">
        <v>4</v>
      </c>
      <c r="B9" s="2962"/>
      <c r="C9" s="2965"/>
      <c r="D9" s="2994"/>
      <c r="E9" s="1332"/>
      <c r="F9" s="1333"/>
      <c r="G9" s="1333"/>
      <c r="H9" s="1333"/>
      <c r="I9" s="1333"/>
      <c r="J9" s="1334"/>
      <c r="K9" s="1334"/>
      <c r="L9" s="1334"/>
      <c r="M9" s="1334"/>
      <c r="N9" s="1334"/>
      <c r="O9" s="1334"/>
      <c r="P9" s="1335"/>
      <c r="Q9" s="1334"/>
      <c r="R9" s="1334"/>
      <c r="S9" s="1334"/>
      <c r="T9" s="1334"/>
      <c r="U9" s="1335"/>
      <c r="V9" s="1334"/>
      <c r="W9" s="1335"/>
      <c r="X9" s="1334"/>
      <c r="Y9" s="1334"/>
      <c r="Z9" s="1336"/>
      <c r="AA9" s="1336"/>
      <c r="AB9" s="1337"/>
    </row>
    <row r="10" spans="1:28">
      <c r="A10" s="1261">
        <v>5</v>
      </c>
      <c r="B10" s="2962"/>
      <c r="C10" s="2965"/>
      <c r="D10" s="2994"/>
      <c r="E10" s="1332"/>
      <c r="F10" s="1333"/>
      <c r="G10" s="1333"/>
      <c r="H10" s="1333"/>
      <c r="I10" s="1333"/>
      <c r="J10" s="1334"/>
      <c r="K10" s="1334"/>
      <c r="L10" s="1334"/>
      <c r="M10" s="1334"/>
      <c r="N10" s="1334"/>
      <c r="O10" s="1334"/>
      <c r="P10" s="1335"/>
      <c r="Q10" s="1334"/>
      <c r="R10" s="1334"/>
      <c r="S10" s="1334"/>
      <c r="T10" s="1334"/>
      <c r="U10" s="1335"/>
      <c r="V10" s="1334"/>
      <c r="W10" s="1335"/>
      <c r="X10" s="1334"/>
      <c r="Y10" s="1334"/>
      <c r="Z10" s="1336"/>
      <c r="AA10" s="1336"/>
      <c r="AB10" s="1337"/>
    </row>
    <row r="11" spans="1:28">
      <c r="A11" s="1261">
        <v>6</v>
      </c>
      <c r="B11" s="2962"/>
      <c r="C11" s="2965"/>
      <c r="D11" s="2994"/>
      <c r="E11" s="1332"/>
      <c r="F11" s="1333"/>
      <c r="G11" s="1333"/>
      <c r="H11" s="1333"/>
      <c r="I11" s="1333"/>
      <c r="J11" s="1334"/>
      <c r="K11" s="1334"/>
      <c r="L11" s="1334"/>
      <c r="M11" s="1334"/>
      <c r="N11" s="1334"/>
      <c r="O11" s="1334"/>
      <c r="P11" s="1335"/>
      <c r="Q11" s="1334"/>
      <c r="R11" s="1334"/>
      <c r="S11" s="1334"/>
      <c r="T11" s="1334"/>
      <c r="U11" s="1335"/>
      <c r="V11" s="1334"/>
      <c r="W11" s="1335"/>
      <c r="X11" s="1334"/>
      <c r="Y11" s="1334"/>
      <c r="Z11" s="1336"/>
      <c r="AA11" s="1336"/>
      <c r="AB11" s="1337"/>
    </row>
    <row r="12" spans="1:28">
      <c r="A12" s="1261">
        <v>7</v>
      </c>
      <c r="B12" s="2962"/>
      <c r="C12" s="2965"/>
      <c r="D12" s="2994"/>
      <c r="E12" s="1332"/>
      <c r="F12" s="1333"/>
      <c r="G12" s="1333"/>
      <c r="H12" s="1333"/>
      <c r="I12" s="1333"/>
      <c r="J12" s="1334"/>
      <c r="K12" s="1334"/>
      <c r="L12" s="1334"/>
      <c r="M12" s="1334"/>
      <c r="N12" s="1334"/>
      <c r="O12" s="1334"/>
      <c r="P12" s="1335"/>
      <c r="Q12" s="1334"/>
      <c r="R12" s="1334"/>
      <c r="S12" s="1334"/>
      <c r="T12" s="1334"/>
      <c r="U12" s="1335"/>
      <c r="V12" s="1334"/>
      <c r="W12" s="1335"/>
      <c r="X12" s="1334"/>
      <c r="Y12" s="1334"/>
      <c r="Z12" s="1336"/>
      <c r="AA12" s="1336"/>
      <c r="AB12" s="1337"/>
    </row>
    <row r="13" spans="1:28">
      <c r="A13" s="1261">
        <v>8</v>
      </c>
      <c r="B13" s="2962"/>
      <c r="C13" s="2965"/>
      <c r="D13" s="2994"/>
      <c r="E13" s="1332"/>
      <c r="F13" s="1333"/>
      <c r="G13" s="1333"/>
      <c r="H13" s="1333"/>
      <c r="I13" s="1333"/>
      <c r="J13" s="1334"/>
      <c r="K13" s="1334"/>
      <c r="L13" s="1334"/>
      <c r="M13" s="1334"/>
      <c r="N13" s="1334"/>
      <c r="O13" s="1334"/>
      <c r="P13" s="1335"/>
      <c r="Q13" s="1334"/>
      <c r="R13" s="1334"/>
      <c r="S13" s="1334"/>
      <c r="T13" s="1334"/>
      <c r="U13" s="1335"/>
      <c r="V13" s="1334"/>
      <c r="W13" s="1335"/>
      <c r="X13" s="1334"/>
      <c r="Y13" s="1334"/>
      <c r="Z13" s="1336"/>
      <c r="AA13" s="1336"/>
      <c r="AB13" s="1337"/>
    </row>
    <row r="14" spans="1:28">
      <c r="A14" s="1261">
        <v>9</v>
      </c>
      <c r="B14" s="2962"/>
      <c r="C14" s="2965"/>
      <c r="D14" s="2994"/>
      <c r="E14" s="1332"/>
      <c r="F14" s="1333"/>
      <c r="G14" s="1333"/>
      <c r="H14" s="1333"/>
      <c r="I14" s="1333"/>
      <c r="J14" s="1334"/>
      <c r="K14" s="1334"/>
      <c r="L14" s="1334"/>
      <c r="M14" s="1334"/>
      <c r="N14" s="1334"/>
      <c r="O14" s="1334"/>
      <c r="P14" s="1335"/>
      <c r="Q14" s="1334"/>
      <c r="R14" s="1334"/>
      <c r="S14" s="1334"/>
      <c r="T14" s="1334"/>
      <c r="U14" s="1335"/>
      <c r="V14" s="1334"/>
      <c r="W14" s="1335"/>
      <c r="X14" s="1334"/>
      <c r="Y14" s="1334"/>
      <c r="Z14" s="1336"/>
      <c r="AA14" s="1336"/>
      <c r="AB14" s="1337"/>
    </row>
    <row r="15" spans="1:28">
      <c r="A15" s="1261">
        <v>10</v>
      </c>
      <c r="B15" s="2962"/>
      <c r="C15" s="2965"/>
      <c r="D15" s="2994"/>
      <c r="E15" s="1332"/>
      <c r="F15" s="1333"/>
      <c r="G15" s="1333"/>
      <c r="H15" s="1333"/>
      <c r="I15" s="1333"/>
      <c r="J15" s="1334"/>
      <c r="K15" s="1334"/>
      <c r="L15" s="1334"/>
      <c r="M15" s="1334"/>
      <c r="N15" s="1334"/>
      <c r="O15" s="1334"/>
      <c r="P15" s="1335"/>
      <c r="Q15" s="1334"/>
      <c r="R15" s="1334"/>
      <c r="S15" s="1334"/>
      <c r="T15" s="1334"/>
      <c r="U15" s="1335"/>
      <c r="V15" s="1334"/>
      <c r="W15" s="1335"/>
      <c r="X15" s="1334"/>
      <c r="Y15" s="1334"/>
      <c r="Z15" s="1336"/>
      <c r="AA15" s="1336"/>
      <c r="AB15" s="1337"/>
    </row>
    <row r="16" spans="1:28">
      <c r="A16" s="1261">
        <v>11</v>
      </c>
      <c r="B16" s="2962"/>
      <c r="C16" s="2965"/>
      <c r="D16" s="2994"/>
      <c r="E16" s="1332"/>
      <c r="F16" s="1333"/>
      <c r="G16" s="1333"/>
      <c r="H16" s="1333"/>
      <c r="I16" s="1333"/>
      <c r="J16" s="1334"/>
      <c r="K16" s="1334"/>
      <c r="L16" s="1334"/>
      <c r="M16" s="1334"/>
      <c r="N16" s="1334"/>
      <c r="O16" s="1334"/>
      <c r="P16" s="1335"/>
      <c r="Q16" s="1334"/>
      <c r="R16" s="1334"/>
      <c r="S16" s="1334"/>
      <c r="T16" s="1334"/>
      <c r="U16" s="1335"/>
      <c r="V16" s="1334"/>
      <c r="W16" s="1335"/>
      <c r="X16" s="1334"/>
      <c r="Y16" s="1334"/>
      <c r="Z16" s="1336"/>
      <c r="AA16" s="1336"/>
      <c r="AB16" s="1337"/>
    </row>
    <row r="17" spans="1:28">
      <c r="A17" s="1261">
        <v>12</v>
      </c>
      <c r="B17" s="2962"/>
      <c r="C17" s="2965"/>
      <c r="D17" s="2994"/>
      <c r="E17" s="1332"/>
      <c r="F17" s="1333"/>
      <c r="G17" s="1333"/>
      <c r="H17" s="1333"/>
      <c r="I17" s="1333"/>
      <c r="J17" s="1334"/>
      <c r="K17" s="1334"/>
      <c r="L17" s="1334"/>
      <c r="M17" s="1334"/>
      <c r="N17" s="1334"/>
      <c r="O17" s="1334"/>
      <c r="P17" s="1335"/>
      <c r="Q17" s="1334"/>
      <c r="R17" s="1334"/>
      <c r="S17" s="1334"/>
      <c r="T17" s="1334"/>
      <c r="U17" s="1335"/>
      <c r="V17" s="1334"/>
      <c r="W17" s="1335"/>
      <c r="X17" s="1334"/>
      <c r="Y17" s="1334"/>
      <c r="Z17" s="1336"/>
      <c r="AA17" s="1336"/>
      <c r="AB17" s="1337"/>
    </row>
    <row r="18" spans="1:28" ht="14.25">
      <c r="A18" s="1261">
        <v>13</v>
      </c>
      <c r="B18" s="2962"/>
      <c r="C18" s="2965"/>
      <c r="D18" s="1279" t="s">
        <v>3514</v>
      </c>
      <c r="E18" s="1338"/>
      <c r="F18" s="1339"/>
      <c r="G18" s="1339"/>
      <c r="H18" s="1339"/>
      <c r="I18" s="1339"/>
      <c r="J18" s="1340"/>
      <c r="K18" s="1340"/>
      <c r="L18" s="1340"/>
      <c r="M18" s="1334">
        <f>SUM(M6:M17)</f>
        <v>0</v>
      </c>
      <c r="N18" s="1334">
        <f>SUM(N6:N17)</f>
        <v>0</v>
      </c>
      <c r="O18" s="1334">
        <f>SUM(O6:O17)</f>
        <v>0</v>
      </c>
      <c r="P18" s="1334">
        <f>SUM(P6:P17)</f>
        <v>0</v>
      </c>
      <c r="Q18" s="1340"/>
      <c r="R18" s="1334">
        <f>SUM(R6:R17)</f>
        <v>0</v>
      </c>
      <c r="S18" s="1340"/>
      <c r="T18" s="1334">
        <f>SUM(T6:T17)</f>
        <v>0</v>
      </c>
      <c r="U18" s="1334">
        <f>SUM(U6:U17)</f>
        <v>0</v>
      </c>
      <c r="V18" s="1334">
        <f>SUM(V6:V17)</f>
        <v>0</v>
      </c>
      <c r="W18" s="1334">
        <f>SUM(W6:W17)</f>
        <v>0</v>
      </c>
      <c r="X18" s="1340"/>
      <c r="Y18" s="1340"/>
      <c r="Z18" s="1340"/>
      <c r="AA18" s="1340"/>
      <c r="AB18" s="1341"/>
    </row>
    <row r="19" spans="1:28" ht="13.9" customHeight="1">
      <c r="A19" s="1261">
        <v>14</v>
      </c>
      <c r="B19" s="2962"/>
      <c r="C19" s="2965"/>
      <c r="D19" s="3007" t="s">
        <v>4258</v>
      </c>
      <c r="E19" s="1332"/>
      <c r="F19" s="1333"/>
      <c r="G19" s="1333"/>
      <c r="H19" s="1333"/>
      <c r="I19" s="1333"/>
      <c r="J19" s="1334"/>
      <c r="K19" s="1334"/>
      <c r="L19" s="1334"/>
      <c r="M19" s="1334"/>
      <c r="N19" s="1334"/>
      <c r="O19" s="1334"/>
      <c r="P19" s="1335"/>
      <c r="Q19" s="1334"/>
      <c r="R19" s="1334"/>
      <c r="S19" s="1334"/>
      <c r="T19" s="1334"/>
      <c r="U19" s="1335"/>
      <c r="V19" s="1334"/>
      <c r="W19" s="1335"/>
      <c r="X19" s="1334"/>
      <c r="Y19" s="1334"/>
      <c r="Z19" s="1336"/>
      <c r="AA19" s="1336"/>
      <c r="AB19" s="1337"/>
    </row>
    <row r="20" spans="1:28">
      <c r="A20" s="1261">
        <v>15</v>
      </c>
      <c r="B20" s="2962"/>
      <c r="C20" s="2965"/>
      <c r="D20" s="2994"/>
      <c r="E20" s="1332"/>
      <c r="F20" s="1333"/>
      <c r="G20" s="1333"/>
      <c r="H20" s="1333"/>
      <c r="I20" s="1333"/>
      <c r="J20" s="1334"/>
      <c r="K20" s="1334"/>
      <c r="L20" s="1334"/>
      <c r="M20" s="1334"/>
      <c r="N20" s="1334"/>
      <c r="O20" s="1334"/>
      <c r="P20" s="1335"/>
      <c r="Q20" s="1334"/>
      <c r="R20" s="1334"/>
      <c r="S20" s="1334"/>
      <c r="T20" s="1334"/>
      <c r="U20" s="1335"/>
      <c r="V20" s="1334"/>
      <c r="W20" s="1335"/>
      <c r="X20" s="1334"/>
      <c r="Y20" s="1334"/>
      <c r="Z20" s="1336"/>
      <c r="AA20" s="1336"/>
      <c r="AB20" s="1337"/>
    </row>
    <row r="21" spans="1:28">
      <c r="A21" s="1261">
        <v>16</v>
      </c>
      <c r="B21" s="2962"/>
      <c r="C21" s="2965"/>
      <c r="D21" s="2994"/>
      <c r="E21" s="1332"/>
      <c r="F21" s="1333"/>
      <c r="G21" s="1333"/>
      <c r="H21" s="1333"/>
      <c r="I21" s="1333"/>
      <c r="J21" s="1334"/>
      <c r="K21" s="1334"/>
      <c r="L21" s="1334"/>
      <c r="M21" s="1334"/>
      <c r="N21" s="1334"/>
      <c r="O21" s="1334"/>
      <c r="P21" s="1335"/>
      <c r="Q21" s="1334"/>
      <c r="R21" s="1334"/>
      <c r="S21" s="1334"/>
      <c r="T21" s="1334"/>
      <c r="U21" s="1335"/>
      <c r="V21" s="1334"/>
      <c r="W21" s="1335"/>
      <c r="X21" s="1334"/>
      <c r="Y21" s="1334"/>
      <c r="Z21" s="1336"/>
      <c r="AA21" s="1336"/>
      <c r="AB21" s="1337"/>
    </row>
    <row r="22" spans="1:28">
      <c r="A22" s="1261">
        <v>17</v>
      </c>
      <c r="B22" s="2962"/>
      <c r="C22" s="2965"/>
      <c r="D22" s="2994"/>
      <c r="E22" s="1332"/>
      <c r="F22" s="1333"/>
      <c r="G22" s="1333"/>
      <c r="H22" s="1333"/>
      <c r="I22" s="1333"/>
      <c r="J22" s="1334"/>
      <c r="K22" s="1334"/>
      <c r="L22" s="1334"/>
      <c r="M22" s="1334"/>
      <c r="N22" s="1334"/>
      <c r="O22" s="1334"/>
      <c r="P22" s="1335"/>
      <c r="Q22" s="1334"/>
      <c r="R22" s="1334"/>
      <c r="S22" s="1334"/>
      <c r="T22" s="1334"/>
      <c r="U22" s="1335"/>
      <c r="V22" s="1334"/>
      <c r="W22" s="1335"/>
      <c r="X22" s="1334"/>
      <c r="Y22" s="1334"/>
      <c r="Z22" s="1336"/>
      <c r="AA22" s="1336"/>
      <c r="AB22" s="1337"/>
    </row>
    <row r="23" spans="1:28">
      <c r="A23" s="1261">
        <v>18</v>
      </c>
      <c r="B23" s="2962"/>
      <c r="C23" s="2965"/>
      <c r="D23" s="2994"/>
      <c r="E23" s="1332"/>
      <c r="F23" s="1333"/>
      <c r="G23" s="1333"/>
      <c r="H23" s="1333"/>
      <c r="I23" s="1333"/>
      <c r="J23" s="1334"/>
      <c r="K23" s="1334"/>
      <c r="L23" s="1334"/>
      <c r="M23" s="1334"/>
      <c r="N23" s="1334"/>
      <c r="O23" s="1334"/>
      <c r="P23" s="1335"/>
      <c r="Q23" s="1334"/>
      <c r="R23" s="1334"/>
      <c r="S23" s="1334"/>
      <c r="T23" s="1334"/>
      <c r="U23" s="1335"/>
      <c r="V23" s="1334"/>
      <c r="W23" s="1335"/>
      <c r="X23" s="1334"/>
      <c r="Y23" s="1334"/>
      <c r="Z23" s="1336"/>
      <c r="AA23" s="1336"/>
      <c r="AB23" s="1337"/>
    </row>
    <row r="24" spans="1:28">
      <c r="A24" s="1261">
        <v>19</v>
      </c>
      <c r="B24" s="2962"/>
      <c r="C24" s="2965"/>
      <c r="D24" s="2994"/>
      <c r="E24" s="1332"/>
      <c r="F24" s="1333"/>
      <c r="G24" s="1333"/>
      <c r="H24" s="1333"/>
      <c r="I24" s="1333"/>
      <c r="J24" s="1334"/>
      <c r="K24" s="1334"/>
      <c r="L24" s="1334"/>
      <c r="M24" s="1334"/>
      <c r="N24" s="1334"/>
      <c r="O24" s="1334"/>
      <c r="P24" s="1335"/>
      <c r="Q24" s="1334"/>
      <c r="R24" s="1334"/>
      <c r="S24" s="1334"/>
      <c r="T24" s="1334"/>
      <c r="U24" s="1335"/>
      <c r="V24" s="1334"/>
      <c r="W24" s="1335"/>
      <c r="X24" s="1334"/>
      <c r="Y24" s="1334"/>
      <c r="Z24" s="1336"/>
      <c r="AA24" s="1336"/>
      <c r="AB24" s="1337"/>
    </row>
    <row r="25" spans="1:28">
      <c r="A25" s="1261">
        <v>20</v>
      </c>
      <c r="B25" s="2962"/>
      <c r="C25" s="2965"/>
      <c r="D25" s="2994"/>
      <c r="E25" s="1332"/>
      <c r="F25" s="1333"/>
      <c r="G25" s="1333"/>
      <c r="H25" s="1333"/>
      <c r="I25" s="1333"/>
      <c r="J25" s="1334"/>
      <c r="K25" s="1334"/>
      <c r="L25" s="1334"/>
      <c r="M25" s="1334"/>
      <c r="N25" s="1334"/>
      <c r="O25" s="1334"/>
      <c r="P25" s="1335"/>
      <c r="Q25" s="1334"/>
      <c r="R25" s="1334"/>
      <c r="S25" s="1334"/>
      <c r="T25" s="1334"/>
      <c r="U25" s="1335"/>
      <c r="V25" s="1334"/>
      <c r="W25" s="1335"/>
      <c r="X25" s="1334"/>
      <c r="Y25" s="1334"/>
      <c r="Z25" s="1336"/>
      <c r="AA25" s="1336"/>
      <c r="AB25" s="1337"/>
    </row>
    <row r="26" spans="1:28">
      <c r="A26" s="1261">
        <v>21</v>
      </c>
      <c r="B26" s="2962"/>
      <c r="C26" s="2965"/>
      <c r="D26" s="2994"/>
      <c r="E26" s="1332"/>
      <c r="F26" s="1333"/>
      <c r="G26" s="1333"/>
      <c r="H26" s="1333"/>
      <c r="I26" s="1333"/>
      <c r="J26" s="1334"/>
      <c r="K26" s="1334"/>
      <c r="L26" s="1334"/>
      <c r="M26" s="1334"/>
      <c r="N26" s="1334"/>
      <c r="O26" s="1334"/>
      <c r="P26" s="1335"/>
      <c r="Q26" s="1334"/>
      <c r="R26" s="1334"/>
      <c r="S26" s="1334"/>
      <c r="T26" s="1334"/>
      <c r="U26" s="1335"/>
      <c r="V26" s="1334"/>
      <c r="W26" s="1335"/>
      <c r="X26" s="1334"/>
      <c r="Y26" s="1334"/>
      <c r="Z26" s="1336"/>
      <c r="AA26" s="1336"/>
      <c r="AB26" s="1337"/>
    </row>
    <row r="27" spans="1:28">
      <c r="A27" s="1261">
        <v>22</v>
      </c>
      <c r="B27" s="2962"/>
      <c r="C27" s="2965"/>
      <c r="D27" s="2994"/>
      <c r="E27" s="1332"/>
      <c r="F27" s="1333"/>
      <c r="G27" s="1333"/>
      <c r="H27" s="1333"/>
      <c r="I27" s="1333"/>
      <c r="J27" s="1334"/>
      <c r="K27" s="1334"/>
      <c r="L27" s="1334"/>
      <c r="M27" s="1334"/>
      <c r="N27" s="1334"/>
      <c r="O27" s="1334"/>
      <c r="P27" s="1335"/>
      <c r="Q27" s="1334"/>
      <c r="R27" s="1334"/>
      <c r="S27" s="1334"/>
      <c r="T27" s="1334"/>
      <c r="U27" s="1335"/>
      <c r="V27" s="1334"/>
      <c r="W27" s="1335"/>
      <c r="X27" s="1334"/>
      <c r="Y27" s="1334"/>
      <c r="Z27" s="1336"/>
      <c r="AA27" s="1336"/>
      <c r="AB27" s="1337"/>
    </row>
    <row r="28" spans="1:28">
      <c r="A28" s="1261">
        <v>23</v>
      </c>
      <c r="B28" s="2962"/>
      <c r="C28" s="2965"/>
      <c r="D28" s="2994"/>
      <c r="E28" s="1332"/>
      <c r="F28" s="1333"/>
      <c r="G28" s="1333"/>
      <c r="H28" s="1333"/>
      <c r="I28" s="1333"/>
      <c r="J28" s="1334"/>
      <c r="K28" s="1334"/>
      <c r="L28" s="1334"/>
      <c r="M28" s="1334"/>
      <c r="N28" s="1334"/>
      <c r="O28" s="1334"/>
      <c r="P28" s="1335"/>
      <c r="Q28" s="1334"/>
      <c r="R28" s="1334"/>
      <c r="S28" s="1334"/>
      <c r="T28" s="1334"/>
      <c r="U28" s="1335"/>
      <c r="V28" s="1334"/>
      <c r="W28" s="1335"/>
      <c r="X28" s="1334"/>
      <c r="Y28" s="1334"/>
      <c r="Z28" s="1336"/>
      <c r="AA28" s="1336"/>
      <c r="AB28" s="1337"/>
    </row>
    <row r="29" spans="1:28">
      <c r="A29" s="1261">
        <v>24</v>
      </c>
      <c r="B29" s="2962"/>
      <c r="C29" s="2965"/>
      <c r="D29" s="2994"/>
      <c r="E29" s="1332"/>
      <c r="F29" s="1333"/>
      <c r="G29" s="1333"/>
      <c r="H29" s="1333"/>
      <c r="I29" s="1333"/>
      <c r="J29" s="1334"/>
      <c r="K29" s="1334"/>
      <c r="L29" s="1334"/>
      <c r="M29" s="1334"/>
      <c r="N29" s="1334"/>
      <c r="O29" s="1334"/>
      <c r="P29" s="1335"/>
      <c r="Q29" s="1334"/>
      <c r="R29" s="1334"/>
      <c r="S29" s="1334"/>
      <c r="T29" s="1334"/>
      <c r="U29" s="1335"/>
      <c r="V29" s="1334"/>
      <c r="W29" s="1335"/>
      <c r="X29" s="1334"/>
      <c r="Y29" s="1334"/>
      <c r="Z29" s="1336"/>
      <c r="AA29" s="1336"/>
      <c r="AB29" s="1337"/>
    </row>
    <row r="30" spans="1:28">
      <c r="A30" s="1261">
        <v>25</v>
      </c>
      <c r="B30" s="2962"/>
      <c r="C30" s="2965"/>
      <c r="D30" s="2994"/>
      <c r="E30" s="1332"/>
      <c r="F30" s="1333"/>
      <c r="G30" s="1333"/>
      <c r="H30" s="1333"/>
      <c r="I30" s="1333"/>
      <c r="J30" s="1334"/>
      <c r="K30" s="1334"/>
      <c r="L30" s="1334"/>
      <c r="M30" s="1334"/>
      <c r="N30" s="1334"/>
      <c r="O30" s="1334"/>
      <c r="P30" s="1335"/>
      <c r="Q30" s="1334"/>
      <c r="R30" s="1334"/>
      <c r="S30" s="1334"/>
      <c r="T30" s="1334"/>
      <c r="U30" s="1335"/>
      <c r="V30" s="1334"/>
      <c r="W30" s="1335"/>
      <c r="X30" s="1334"/>
      <c r="Y30" s="1334"/>
      <c r="Z30" s="1336"/>
      <c r="AA30" s="1336"/>
      <c r="AB30" s="1337"/>
    </row>
    <row r="31" spans="1:28" ht="15" thickBot="1">
      <c r="A31" s="1261">
        <v>26</v>
      </c>
      <c r="B31" s="2962"/>
      <c r="C31" s="2966"/>
      <c r="D31" s="1273" t="s">
        <v>3514</v>
      </c>
      <c r="E31" s="1342"/>
      <c r="F31" s="1342"/>
      <c r="G31" s="1342"/>
      <c r="H31" s="1342"/>
      <c r="I31" s="1342"/>
      <c r="J31" s="1342"/>
      <c r="K31" s="1342"/>
      <c r="L31" s="1343"/>
      <c r="M31" s="1344">
        <f>SUM(M19:M30)</f>
        <v>0</v>
      </c>
      <c r="N31" s="1344">
        <f>SUM(N19:N30)</f>
        <v>0</v>
      </c>
      <c r="O31" s="1344">
        <f>SUM(O19:O30)</f>
        <v>0</v>
      </c>
      <c r="P31" s="1344">
        <f>SUM(P19:P30)</f>
        <v>0</v>
      </c>
      <c r="Q31" s="1343"/>
      <c r="R31" s="1344">
        <f>SUM(R19:R30)</f>
        <v>0</v>
      </c>
      <c r="S31" s="1340"/>
      <c r="T31" s="1344">
        <f>SUM(T19:T30)</f>
        <v>0</v>
      </c>
      <c r="U31" s="1344">
        <f>SUM(U19:U30)</f>
        <v>0</v>
      </c>
      <c r="V31" s="1344">
        <f>SUM(V19:V30)</f>
        <v>0</v>
      </c>
      <c r="W31" s="1344">
        <f>SUM(W19:W30)</f>
        <v>0</v>
      </c>
      <c r="X31" s="1343"/>
      <c r="Y31" s="1343"/>
      <c r="Z31" s="1343"/>
      <c r="AA31" s="1343"/>
      <c r="AB31" s="1341"/>
    </row>
    <row r="32" spans="1:28" ht="16.5" customHeight="1">
      <c r="A32" s="1261">
        <v>27</v>
      </c>
      <c r="B32" s="2962"/>
      <c r="C32" s="2964" t="s">
        <v>4259</v>
      </c>
      <c r="D32" s="2991" t="s">
        <v>4256</v>
      </c>
      <c r="E32" s="1345"/>
      <c r="F32" s="1327"/>
      <c r="G32" s="1327"/>
      <c r="H32" s="1327"/>
      <c r="I32" s="1327"/>
      <c r="J32" s="1328"/>
      <c r="K32" s="1328"/>
      <c r="L32" s="1328"/>
      <c r="M32" s="1328"/>
      <c r="N32" s="1328"/>
      <c r="O32" s="1328"/>
      <c r="P32" s="1329"/>
      <c r="Q32" s="1328"/>
      <c r="R32" s="1328"/>
      <c r="S32" s="1328"/>
      <c r="T32" s="1328"/>
      <c r="U32" s="1329"/>
      <c r="V32" s="1328"/>
      <c r="W32" s="1329"/>
      <c r="X32" s="1328"/>
      <c r="Y32" s="1328"/>
      <c r="Z32" s="1330"/>
      <c r="AA32" s="1330"/>
      <c r="AB32" s="1346"/>
    </row>
    <row r="33" spans="1:28">
      <c r="A33" s="1261">
        <v>28</v>
      </c>
      <c r="B33" s="2962"/>
      <c r="C33" s="2965"/>
      <c r="D33" s="2994"/>
      <c r="E33" s="1332"/>
      <c r="F33" s="1333"/>
      <c r="G33" s="1333"/>
      <c r="H33" s="1333"/>
      <c r="I33" s="1333"/>
      <c r="J33" s="1334"/>
      <c r="K33" s="1334"/>
      <c r="L33" s="1334"/>
      <c r="M33" s="1334"/>
      <c r="N33" s="1334"/>
      <c r="O33" s="1334"/>
      <c r="P33" s="1335"/>
      <c r="Q33" s="1334"/>
      <c r="R33" s="1334"/>
      <c r="S33" s="1334"/>
      <c r="T33" s="1334"/>
      <c r="U33" s="1335"/>
      <c r="V33" s="1334"/>
      <c r="W33" s="1335"/>
      <c r="X33" s="1334"/>
      <c r="Y33" s="1334"/>
      <c r="Z33" s="1336"/>
      <c r="AA33" s="1336"/>
      <c r="AB33" s="1337"/>
    </row>
    <row r="34" spans="1:28">
      <c r="A34" s="1261">
        <v>29</v>
      </c>
      <c r="B34" s="2962"/>
      <c r="C34" s="2965"/>
      <c r="D34" s="2994"/>
      <c r="E34" s="1332"/>
      <c r="F34" s="1333"/>
      <c r="G34" s="1333"/>
      <c r="H34" s="1333"/>
      <c r="I34" s="1333"/>
      <c r="J34" s="1334"/>
      <c r="K34" s="1334"/>
      <c r="L34" s="1334"/>
      <c r="M34" s="1334"/>
      <c r="N34" s="1334"/>
      <c r="O34" s="1334"/>
      <c r="P34" s="1335"/>
      <c r="Q34" s="1334"/>
      <c r="R34" s="1334"/>
      <c r="S34" s="1334"/>
      <c r="T34" s="1334"/>
      <c r="U34" s="1335"/>
      <c r="V34" s="1334"/>
      <c r="W34" s="1335"/>
      <c r="X34" s="1334"/>
      <c r="Y34" s="1334"/>
      <c r="Z34" s="1336"/>
      <c r="AA34" s="1336"/>
      <c r="AB34" s="1337"/>
    </row>
    <row r="35" spans="1:28">
      <c r="A35" s="1261">
        <v>30</v>
      </c>
      <c r="B35" s="2962"/>
      <c r="C35" s="2965"/>
      <c r="D35" s="2994"/>
      <c r="E35" s="1332"/>
      <c r="F35" s="1333"/>
      <c r="G35" s="1333"/>
      <c r="H35" s="1333"/>
      <c r="I35" s="1333"/>
      <c r="J35" s="1334"/>
      <c r="K35" s="1334"/>
      <c r="L35" s="1334"/>
      <c r="M35" s="1334"/>
      <c r="N35" s="1334"/>
      <c r="O35" s="1334"/>
      <c r="P35" s="1335"/>
      <c r="Q35" s="1334"/>
      <c r="R35" s="1334"/>
      <c r="S35" s="1334"/>
      <c r="T35" s="1334"/>
      <c r="U35" s="1335"/>
      <c r="V35" s="1334"/>
      <c r="W35" s="1335"/>
      <c r="X35" s="1334"/>
      <c r="Y35" s="1334"/>
      <c r="Z35" s="1336"/>
      <c r="AA35" s="1336"/>
      <c r="AB35" s="1337"/>
    </row>
    <row r="36" spans="1:28">
      <c r="A36" s="1261">
        <v>31</v>
      </c>
      <c r="B36" s="2962"/>
      <c r="C36" s="2965"/>
      <c r="D36" s="2994"/>
      <c r="E36" s="1332"/>
      <c r="F36" s="1333"/>
      <c r="G36" s="1333"/>
      <c r="H36" s="1333"/>
      <c r="I36" s="1333"/>
      <c r="J36" s="1334"/>
      <c r="K36" s="1334"/>
      <c r="L36" s="1334"/>
      <c r="M36" s="1334"/>
      <c r="N36" s="1334"/>
      <c r="O36" s="1334"/>
      <c r="P36" s="1335"/>
      <c r="Q36" s="1334"/>
      <c r="R36" s="1334"/>
      <c r="S36" s="1334"/>
      <c r="T36" s="1334"/>
      <c r="U36" s="1335"/>
      <c r="V36" s="1334"/>
      <c r="W36" s="1335"/>
      <c r="X36" s="1334"/>
      <c r="Y36" s="1334"/>
      <c r="Z36" s="1336"/>
      <c r="AA36" s="1336"/>
      <c r="AB36" s="1337"/>
    </row>
    <row r="37" spans="1:28">
      <c r="A37" s="1261">
        <v>32</v>
      </c>
      <c r="B37" s="2962"/>
      <c r="C37" s="2965"/>
      <c r="D37" s="2994"/>
      <c r="E37" s="1332"/>
      <c r="F37" s="1333"/>
      <c r="G37" s="1333"/>
      <c r="H37" s="1333"/>
      <c r="I37" s="1333"/>
      <c r="J37" s="1334"/>
      <c r="K37" s="1334"/>
      <c r="L37" s="1334"/>
      <c r="M37" s="1334"/>
      <c r="N37" s="1334"/>
      <c r="O37" s="1334"/>
      <c r="P37" s="1335"/>
      <c r="Q37" s="1334"/>
      <c r="R37" s="1334"/>
      <c r="S37" s="1334"/>
      <c r="T37" s="1334"/>
      <c r="U37" s="1335"/>
      <c r="V37" s="1334"/>
      <c r="W37" s="1335"/>
      <c r="X37" s="1334"/>
      <c r="Y37" s="1334"/>
      <c r="Z37" s="1336"/>
      <c r="AA37" s="1336"/>
      <c r="AB37" s="1337"/>
    </row>
    <row r="38" spans="1:28">
      <c r="A38" s="1261">
        <v>33</v>
      </c>
      <c r="B38" s="2962"/>
      <c r="C38" s="2965"/>
      <c r="D38" s="2994"/>
      <c r="E38" s="1332"/>
      <c r="F38" s="1333"/>
      <c r="G38" s="1333"/>
      <c r="H38" s="1333"/>
      <c r="I38" s="1333"/>
      <c r="J38" s="1334"/>
      <c r="K38" s="1334"/>
      <c r="L38" s="1334"/>
      <c r="M38" s="1334"/>
      <c r="N38" s="1334"/>
      <c r="O38" s="1334"/>
      <c r="P38" s="1335"/>
      <c r="Q38" s="1334"/>
      <c r="R38" s="1334"/>
      <c r="S38" s="1334"/>
      <c r="T38" s="1334"/>
      <c r="U38" s="1335"/>
      <c r="V38" s="1334"/>
      <c r="W38" s="1335"/>
      <c r="X38" s="1334"/>
      <c r="Y38" s="1334"/>
      <c r="Z38" s="1336"/>
      <c r="AA38" s="1336"/>
      <c r="AB38" s="1337"/>
    </row>
    <row r="39" spans="1:28">
      <c r="A39" s="1261">
        <v>34</v>
      </c>
      <c r="B39" s="2962"/>
      <c r="C39" s="2965"/>
      <c r="D39" s="2994"/>
      <c r="E39" s="1332"/>
      <c r="F39" s="1333"/>
      <c r="G39" s="1333"/>
      <c r="H39" s="1333"/>
      <c r="I39" s="1333"/>
      <c r="J39" s="1334"/>
      <c r="K39" s="1334"/>
      <c r="L39" s="1334"/>
      <c r="M39" s="1334"/>
      <c r="N39" s="1334"/>
      <c r="O39" s="1334"/>
      <c r="P39" s="1335"/>
      <c r="Q39" s="1334"/>
      <c r="R39" s="1334"/>
      <c r="S39" s="1334"/>
      <c r="T39" s="1334"/>
      <c r="U39" s="1335"/>
      <c r="V39" s="1334"/>
      <c r="W39" s="1335"/>
      <c r="X39" s="1334"/>
      <c r="Y39" s="1334"/>
      <c r="Z39" s="1336"/>
      <c r="AA39" s="1336"/>
      <c r="AB39" s="1337"/>
    </row>
    <row r="40" spans="1:28">
      <c r="A40" s="1261">
        <v>35</v>
      </c>
      <c r="B40" s="2962"/>
      <c r="C40" s="2965"/>
      <c r="D40" s="2994"/>
      <c r="E40" s="1332"/>
      <c r="F40" s="1333"/>
      <c r="G40" s="1333"/>
      <c r="H40" s="1333"/>
      <c r="I40" s="1333"/>
      <c r="J40" s="1334"/>
      <c r="K40" s="1334"/>
      <c r="L40" s="1334"/>
      <c r="M40" s="1334"/>
      <c r="N40" s="1334"/>
      <c r="O40" s="1334"/>
      <c r="P40" s="1335"/>
      <c r="Q40" s="1334"/>
      <c r="R40" s="1334"/>
      <c r="S40" s="1334"/>
      <c r="T40" s="1334"/>
      <c r="U40" s="1335"/>
      <c r="V40" s="1334"/>
      <c r="W40" s="1335"/>
      <c r="X40" s="1334"/>
      <c r="Y40" s="1334"/>
      <c r="Z40" s="1336"/>
      <c r="AA40" s="1336"/>
      <c r="AB40" s="1337"/>
    </row>
    <row r="41" spans="1:28">
      <c r="A41" s="1261">
        <v>36</v>
      </c>
      <c r="B41" s="2962"/>
      <c r="C41" s="2965"/>
      <c r="D41" s="2994"/>
      <c r="E41" s="1332"/>
      <c r="F41" s="1333"/>
      <c r="G41" s="1333"/>
      <c r="H41" s="1333"/>
      <c r="I41" s="1333"/>
      <c r="J41" s="1334"/>
      <c r="K41" s="1334"/>
      <c r="L41" s="1334"/>
      <c r="M41" s="1334"/>
      <c r="N41" s="1334"/>
      <c r="O41" s="1334"/>
      <c r="P41" s="1335"/>
      <c r="Q41" s="1334"/>
      <c r="R41" s="1334"/>
      <c r="S41" s="1334"/>
      <c r="T41" s="1334"/>
      <c r="U41" s="1335"/>
      <c r="V41" s="1334"/>
      <c r="W41" s="1335"/>
      <c r="X41" s="1334"/>
      <c r="Y41" s="1334"/>
      <c r="Z41" s="1336"/>
      <c r="AA41" s="1336"/>
      <c r="AB41" s="1337"/>
    </row>
    <row r="42" spans="1:28" ht="14.25">
      <c r="A42" s="1261">
        <v>37</v>
      </c>
      <c r="B42" s="2962"/>
      <c r="C42" s="2965"/>
      <c r="D42" s="1279" t="s">
        <v>3514</v>
      </c>
      <c r="E42" s="1340"/>
      <c r="F42" s="1340"/>
      <c r="G42" s="1340"/>
      <c r="H42" s="1340"/>
      <c r="I42" s="1340"/>
      <c r="J42" s="1340"/>
      <c r="K42" s="1340"/>
      <c r="L42" s="1340"/>
      <c r="M42" s="1334">
        <f>SUM(M32:M41)</f>
        <v>0</v>
      </c>
      <c r="N42" s="1334">
        <f>SUM(N32:N41)</f>
        <v>0</v>
      </c>
      <c r="O42" s="1334">
        <f>SUM(O32:O41)</f>
        <v>0</v>
      </c>
      <c r="P42" s="1334">
        <f>SUM(P32:P41)</f>
        <v>0</v>
      </c>
      <c r="Q42" s="1340"/>
      <c r="R42" s="1334">
        <f>SUM(R32:R41)</f>
        <v>0</v>
      </c>
      <c r="S42" s="1340"/>
      <c r="T42" s="1334">
        <f>SUM(T32:T41)</f>
        <v>0</v>
      </c>
      <c r="U42" s="1334">
        <f>SUM(U32:U41)</f>
        <v>0</v>
      </c>
      <c r="V42" s="1334">
        <f>SUM(V32:V41)</f>
        <v>0</v>
      </c>
      <c r="W42" s="1334">
        <f>SUM(W32:W41)</f>
        <v>0</v>
      </c>
      <c r="X42" s="1340"/>
      <c r="Y42" s="1340"/>
      <c r="Z42" s="1340"/>
      <c r="AA42" s="1340"/>
      <c r="AB42" s="1341"/>
    </row>
    <row r="43" spans="1:28" ht="13.9" customHeight="1">
      <c r="A43" s="1261">
        <v>38</v>
      </c>
      <c r="B43" s="2962"/>
      <c r="C43" s="2965"/>
      <c r="D43" s="2994" t="s">
        <v>4258</v>
      </c>
      <c r="E43" s="1332"/>
      <c r="F43" s="1333"/>
      <c r="G43" s="1333"/>
      <c r="H43" s="1333"/>
      <c r="I43" s="1333"/>
      <c r="J43" s="1334"/>
      <c r="K43" s="1334"/>
      <c r="L43" s="1334"/>
      <c r="M43" s="1334"/>
      <c r="N43" s="1334"/>
      <c r="O43" s="1334"/>
      <c r="P43" s="1335"/>
      <c r="Q43" s="1334"/>
      <c r="R43" s="1334"/>
      <c r="S43" s="1334"/>
      <c r="T43" s="1334"/>
      <c r="U43" s="1335"/>
      <c r="V43" s="1334"/>
      <c r="W43" s="1335"/>
      <c r="X43" s="1334"/>
      <c r="Y43" s="1334"/>
      <c r="Z43" s="1336"/>
      <c r="AA43" s="1336"/>
      <c r="AB43" s="1337"/>
    </row>
    <row r="44" spans="1:28">
      <c r="A44" s="1261">
        <v>39</v>
      </c>
      <c r="B44" s="2962"/>
      <c r="C44" s="2965"/>
      <c r="D44" s="2994"/>
      <c r="E44" s="1332"/>
      <c r="F44" s="1333"/>
      <c r="G44" s="1333"/>
      <c r="H44" s="1333"/>
      <c r="I44" s="1333"/>
      <c r="J44" s="1334"/>
      <c r="K44" s="1334"/>
      <c r="L44" s="1334"/>
      <c r="M44" s="1334"/>
      <c r="N44" s="1334"/>
      <c r="O44" s="1334"/>
      <c r="P44" s="1335"/>
      <c r="Q44" s="1334"/>
      <c r="R44" s="1334"/>
      <c r="S44" s="1334"/>
      <c r="T44" s="1334"/>
      <c r="U44" s="1335"/>
      <c r="V44" s="1334"/>
      <c r="W44" s="1335"/>
      <c r="X44" s="1334"/>
      <c r="Y44" s="1334"/>
      <c r="Z44" s="1336"/>
      <c r="AA44" s="1336"/>
      <c r="AB44" s="1337"/>
    </row>
    <row r="45" spans="1:28">
      <c r="A45" s="1261">
        <v>40</v>
      </c>
      <c r="B45" s="2962"/>
      <c r="C45" s="2965"/>
      <c r="D45" s="2994"/>
      <c r="E45" s="1332"/>
      <c r="F45" s="1333"/>
      <c r="G45" s="1333"/>
      <c r="H45" s="1333"/>
      <c r="I45" s="1333"/>
      <c r="J45" s="1334"/>
      <c r="K45" s="1334"/>
      <c r="L45" s="1334"/>
      <c r="M45" s="1334"/>
      <c r="N45" s="1334"/>
      <c r="O45" s="1334"/>
      <c r="P45" s="1335"/>
      <c r="Q45" s="1334"/>
      <c r="R45" s="1334"/>
      <c r="S45" s="1334"/>
      <c r="T45" s="1334"/>
      <c r="U45" s="1335"/>
      <c r="V45" s="1334"/>
      <c r="W45" s="1335"/>
      <c r="X45" s="1334"/>
      <c r="Y45" s="1334"/>
      <c r="Z45" s="1336"/>
      <c r="AA45" s="1336"/>
      <c r="AB45" s="1337"/>
    </row>
    <row r="46" spans="1:28">
      <c r="A46" s="1261">
        <v>41</v>
      </c>
      <c r="B46" s="2962"/>
      <c r="C46" s="2965"/>
      <c r="D46" s="2994"/>
      <c r="E46" s="1332"/>
      <c r="F46" s="1333"/>
      <c r="G46" s="1333"/>
      <c r="H46" s="1333"/>
      <c r="I46" s="1333"/>
      <c r="J46" s="1334"/>
      <c r="K46" s="1334"/>
      <c r="L46" s="1334"/>
      <c r="M46" s="1334"/>
      <c r="N46" s="1334"/>
      <c r="O46" s="1334"/>
      <c r="P46" s="1335"/>
      <c r="Q46" s="1334"/>
      <c r="R46" s="1334"/>
      <c r="S46" s="1334"/>
      <c r="T46" s="1334"/>
      <c r="U46" s="1335"/>
      <c r="V46" s="1334"/>
      <c r="W46" s="1335"/>
      <c r="X46" s="1334"/>
      <c r="Y46" s="1334"/>
      <c r="Z46" s="1336"/>
      <c r="AA46" s="1336"/>
      <c r="AB46" s="1337"/>
    </row>
    <row r="47" spans="1:28">
      <c r="A47" s="1261">
        <v>42</v>
      </c>
      <c r="B47" s="2962"/>
      <c r="C47" s="2965"/>
      <c r="D47" s="2994"/>
      <c r="E47" s="1332"/>
      <c r="F47" s="1333"/>
      <c r="G47" s="1333"/>
      <c r="H47" s="1333"/>
      <c r="I47" s="1333"/>
      <c r="J47" s="1334"/>
      <c r="K47" s="1334"/>
      <c r="L47" s="1334"/>
      <c r="M47" s="1334"/>
      <c r="N47" s="1334"/>
      <c r="O47" s="1334"/>
      <c r="P47" s="1335"/>
      <c r="Q47" s="1334"/>
      <c r="R47" s="1334"/>
      <c r="S47" s="1334"/>
      <c r="T47" s="1334"/>
      <c r="U47" s="1335"/>
      <c r="V47" s="1334"/>
      <c r="W47" s="1335"/>
      <c r="X47" s="1334"/>
      <c r="Y47" s="1334"/>
      <c r="Z47" s="1336"/>
      <c r="AA47" s="1336"/>
      <c r="AB47" s="1337"/>
    </row>
    <row r="48" spans="1:28">
      <c r="A48" s="1261">
        <v>43</v>
      </c>
      <c r="B48" s="2962"/>
      <c r="C48" s="2965"/>
      <c r="D48" s="2994"/>
      <c r="E48" s="1332"/>
      <c r="F48" s="1333"/>
      <c r="G48" s="1333"/>
      <c r="H48" s="1333"/>
      <c r="I48" s="1333"/>
      <c r="J48" s="1334"/>
      <c r="K48" s="1334"/>
      <c r="L48" s="1334"/>
      <c r="M48" s="1334"/>
      <c r="N48" s="1334"/>
      <c r="O48" s="1334"/>
      <c r="P48" s="1335"/>
      <c r="Q48" s="1334"/>
      <c r="R48" s="1334"/>
      <c r="S48" s="1334"/>
      <c r="T48" s="1334"/>
      <c r="U48" s="1335"/>
      <c r="V48" s="1334"/>
      <c r="W48" s="1335"/>
      <c r="X48" s="1334"/>
      <c r="Y48" s="1334"/>
      <c r="Z48" s="1336"/>
      <c r="AA48" s="1336"/>
      <c r="AB48" s="1337"/>
    </row>
    <row r="49" spans="1:28">
      <c r="A49" s="1261">
        <v>44</v>
      </c>
      <c r="B49" s="2962"/>
      <c r="C49" s="2965"/>
      <c r="D49" s="2994"/>
      <c r="E49" s="1332"/>
      <c r="F49" s="1333"/>
      <c r="G49" s="1333"/>
      <c r="H49" s="1333"/>
      <c r="I49" s="1333"/>
      <c r="J49" s="1334"/>
      <c r="K49" s="1334"/>
      <c r="L49" s="1334"/>
      <c r="M49" s="1334"/>
      <c r="N49" s="1334"/>
      <c r="O49" s="1334"/>
      <c r="P49" s="1335"/>
      <c r="Q49" s="1334"/>
      <c r="R49" s="1334"/>
      <c r="S49" s="1334"/>
      <c r="T49" s="1334"/>
      <c r="U49" s="1335"/>
      <c r="V49" s="1334"/>
      <c r="W49" s="1335"/>
      <c r="X49" s="1334"/>
      <c r="Y49" s="1334"/>
      <c r="Z49" s="1336"/>
      <c r="AA49" s="1336"/>
      <c r="AB49" s="1337"/>
    </row>
    <row r="50" spans="1:28">
      <c r="A50" s="1261">
        <v>45</v>
      </c>
      <c r="B50" s="2962"/>
      <c r="C50" s="2965"/>
      <c r="D50" s="2994"/>
      <c r="E50" s="1332"/>
      <c r="F50" s="1333"/>
      <c r="G50" s="1333"/>
      <c r="H50" s="1333"/>
      <c r="I50" s="1333"/>
      <c r="J50" s="1334"/>
      <c r="K50" s="1334"/>
      <c r="L50" s="1334"/>
      <c r="M50" s="1334"/>
      <c r="N50" s="1334"/>
      <c r="O50" s="1334"/>
      <c r="P50" s="1335"/>
      <c r="Q50" s="1334"/>
      <c r="R50" s="1334"/>
      <c r="S50" s="1334"/>
      <c r="T50" s="1334"/>
      <c r="U50" s="1335"/>
      <c r="V50" s="1334"/>
      <c r="W50" s="1335"/>
      <c r="X50" s="1334"/>
      <c r="Y50" s="1334"/>
      <c r="Z50" s="1336"/>
      <c r="AA50" s="1336"/>
      <c r="AB50" s="1337"/>
    </row>
    <row r="51" spans="1:28">
      <c r="A51" s="1261">
        <v>46</v>
      </c>
      <c r="B51" s="2962"/>
      <c r="C51" s="2965"/>
      <c r="D51" s="2994"/>
      <c r="E51" s="1332"/>
      <c r="F51" s="1333"/>
      <c r="G51" s="1333"/>
      <c r="H51" s="1333"/>
      <c r="I51" s="1333"/>
      <c r="J51" s="1334"/>
      <c r="K51" s="1334"/>
      <c r="L51" s="1334"/>
      <c r="M51" s="1334"/>
      <c r="N51" s="1334"/>
      <c r="O51" s="1334"/>
      <c r="P51" s="1335"/>
      <c r="Q51" s="1334"/>
      <c r="R51" s="1334"/>
      <c r="S51" s="1334"/>
      <c r="T51" s="1334"/>
      <c r="U51" s="1335"/>
      <c r="V51" s="1334"/>
      <c r="W51" s="1335"/>
      <c r="X51" s="1334"/>
      <c r="Y51" s="1334"/>
      <c r="Z51" s="1336"/>
      <c r="AA51" s="1336"/>
      <c r="AB51" s="1337"/>
    </row>
    <row r="52" spans="1:28">
      <c r="A52" s="1261">
        <v>47</v>
      </c>
      <c r="B52" s="2962"/>
      <c r="C52" s="2965"/>
      <c r="D52" s="2994"/>
      <c r="E52" s="1332"/>
      <c r="F52" s="1333"/>
      <c r="G52" s="1333"/>
      <c r="H52" s="1333"/>
      <c r="I52" s="1333"/>
      <c r="J52" s="1334"/>
      <c r="K52" s="1334"/>
      <c r="L52" s="1334"/>
      <c r="M52" s="1334"/>
      <c r="N52" s="1334"/>
      <c r="O52" s="1334"/>
      <c r="P52" s="1335"/>
      <c r="Q52" s="1334"/>
      <c r="R52" s="1334"/>
      <c r="S52" s="1334"/>
      <c r="T52" s="1334"/>
      <c r="U52" s="1335"/>
      <c r="V52" s="1334"/>
      <c r="W52" s="1335"/>
      <c r="X52" s="1334"/>
      <c r="Y52" s="1334"/>
      <c r="Z52" s="1336"/>
      <c r="AA52" s="1336"/>
      <c r="AB52" s="1337"/>
    </row>
    <row r="53" spans="1:28" ht="15" thickBot="1">
      <c r="A53" s="1261">
        <v>48</v>
      </c>
      <c r="B53" s="2962"/>
      <c r="C53" s="2966"/>
      <c r="D53" s="1273" t="s">
        <v>3514</v>
      </c>
      <c r="E53" s="1343"/>
      <c r="F53" s="1343"/>
      <c r="G53" s="1343"/>
      <c r="H53" s="1343"/>
      <c r="I53" s="1343"/>
      <c r="J53" s="1343"/>
      <c r="K53" s="1343"/>
      <c r="L53" s="1343"/>
      <c r="M53" s="1344">
        <f>SUM(M43:M52)</f>
        <v>0</v>
      </c>
      <c r="N53" s="1344">
        <f>SUM(N43:N52)</f>
        <v>0</v>
      </c>
      <c r="O53" s="1344">
        <f>SUM(O43:O52)</f>
        <v>0</v>
      </c>
      <c r="P53" s="1344">
        <f>SUM(P43:P52)</f>
        <v>0</v>
      </c>
      <c r="Q53" s="1343"/>
      <c r="R53" s="1344">
        <f>SUM(R43:R52)</f>
        <v>0</v>
      </c>
      <c r="S53" s="1340"/>
      <c r="T53" s="1344">
        <f>SUM(T43:T52)</f>
        <v>0</v>
      </c>
      <c r="U53" s="1344">
        <f>SUM(U43:U52)</f>
        <v>0</v>
      </c>
      <c r="V53" s="1344">
        <f>SUM(V43:V52)</f>
        <v>0</v>
      </c>
      <c r="W53" s="1344">
        <f>SUM(W43:W52)</f>
        <v>0</v>
      </c>
      <c r="X53" s="1343"/>
      <c r="Y53" s="1343"/>
      <c r="Z53" s="1343"/>
      <c r="AA53" s="1343"/>
      <c r="AB53" s="1341"/>
    </row>
    <row r="54" spans="1:28">
      <c r="A54" s="1261">
        <v>49</v>
      </c>
      <c r="B54" s="2962"/>
      <c r="C54" s="2988" t="s">
        <v>4260</v>
      </c>
      <c r="D54" s="2947" t="s">
        <v>4199</v>
      </c>
      <c r="E54" s="1345"/>
      <c r="F54" s="1327"/>
      <c r="G54" s="1327"/>
      <c r="H54" s="1327"/>
      <c r="I54" s="1327"/>
      <c r="J54" s="1328"/>
      <c r="K54" s="1328"/>
      <c r="L54" s="1328"/>
      <c r="M54" s="1328"/>
      <c r="N54" s="1328"/>
      <c r="O54" s="1328"/>
      <c r="P54" s="1329"/>
      <c r="Q54" s="1328"/>
      <c r="R54" s="1328"/>
      <c r="S54" s="1328"/>
      <c r="T54" s="1328"/>
      <c r="U54" s="1329"/>
      <c r="V54" s="1328"/>
      <c r="W54" s="1329"/>
      <c r="X54" s="1328"/>
      <c r="Y54" s="1328"/>
      <c r="Z54" s="1330"/>
      <c r="AA54" s="1330"/>
      <c r="AB54" s="1346"/>
    </row>
    <row r="55" spans="1:28">
      <c r="A55" s="1261">
        <v>50</v>
      </c>
      <c r="B55" s="2962"/>
      <c r="C55" s="2989"/>
      <c r="D55" s="2948"/>
      <c r="E55" s="1332"/>
      <c r="F55" s="1333"/>
      <c r="G55" s="1333"/>
      <c r="H55" s="1333"/>
      <c r="I55" s="1333"/>
      <c r="J55" s="1334"/>
      <c r="K55" s="1334"/>
      <c r="L55" s="1334"/>
      <c r="M55" s="1334"/>
      <c r="N55" s="1334"/>
      <c r="O55" s="1334"/>
      <c r="P55" s="1335"/>
      <c r="Q55" s="1334"/>
      <c r="R55" s="1334"/>
      <c r="S55" s="1334"/>
      <c r="T55" s="1334"/>
      <c r="U55" s="1335"/>
      <c r="V55" s="1334"/>
      <c r="W55" s="1335"/>
      <c r="X55" s="1334"/>
      <c r="Y55" s="1334"/>
      <c r="Z55" s="1336"/>
      <c r="AA55" s="1336"/>
      <c r="AB55" s="1337"/>
    </row>
    <row r="56" spans="1:28">
      <c r="A56" s="1261">
        <v>51</v>
      </c>
      <c r="B56" s="2962"/>
      <c r="C56" s="2989"/>
      <c r="D56" s="2948"/>
      <c r="E56" s="1332"/>
      <c r="F56" s="1333"/>
      <c r="G56" s="1333"/>
      <c r="H56" s="1333"/>
      <c r="I56" s="1333"/>
      <c r="J56" s="1334"/>
      <c r="K56" s="1334"/>
      <c r="L56" s="1334"/>
      <c r="M56" s="1334"/>
      <c r="N56" s="1334"/>
      <c r="O56" s="1334"/>
      <c r="P56" s="1335"/>
      <c r="Q56" s="1334"/>
      <c r="R56" s="1334"/>
      <c r="S56" s="1334"/>
      <c r="T56" s="1334"/>
      <c r="U56" s="1335"/>
      <c r="V56" s="1334"/>
      <c r="W56" s="1335"/>
      <c r="X56" s="1334"/>
      <c r="Y56" s="1334"/>
      <c r="Z56" s="1336"/>
      <c r="AA56" s="1336"/>
      <c r="AB56" s="1337"/>
    </row>
    <row r="57" spans="1:28">
      <c r="A57" s="1261">
        <v>52</v>
      </c>
      <c r="B57" s="2962"/>
      <c r="C57" s="2989"/>
      <c r="D57" s="2948"/>
      <c r="E57" s="1332"/>
      <c r="F57" s="1333"/>
      <c r="G57" s="1333"/>
      <c r="H57" s="1333"/>
      <c r="I57" s="1333"/>
      <c r="J57" s="1334"/>
      <c r="K57" s="1334"/>
      <c r="L57" s="1334"/>
      <c r="M57" s="1334"/>
      <c r="N57" s="1334"/>
      <c r="O57" s="1334"/>
      <c r="P57" s="1335"/>
      <c r="Q57" s="1334"/>
      <c r="R57" s="1334"/>
      <c r="S57" s="1334"/>
      <c r="T57" s="1334"/>
      <c r="U57" s="1335"/>
      <c r="V57" s="1334"/>
      <c r="W57" s="1335"/>
      <c r="X57" s="1334"/>
      <c r="Y57" s="1334"/>
      <c r="Z57" s="1336"/>
      <c r="AA57" s="1336"/>
      <c r="AB57" s="1337"/>
    </row>
    <row r="58" spans="1:28">
      <c r="A58" s="1261">
        <v>53</v>
      </c>
      <c r="B58" s="2962"/>
      <c r="C58" s="2989"/>
      <c r="D58" s="2948"/>
      <c r="E58" s="1332"/>
      <c r="F58" s="1333"/>
      <c r="G58" s="1333"/>
      <c r="H58" s="1333"/>
      <c r="I58" s="1333"/>
      <c r="J58" s="1334"/>
      <c r="K58" s="1334"/>
      <c r="L58" s="1334"/>
      <c r="M58" s="1334"/>
      <c r="N58" s="1334"/>
      <c r="O58" s="1334"/>
      <c r="P58" s="1335"/>
      <c r="Q58" s="1334"/>
      <c r="R58" s="1334"/>
      <c r="S58" s="1334"/>
      <c r="T58" s="1334"/>
      <c r="U58" s="1335"/>
      <c r="V58" s="1334"/>
      <c r="W58" s="1335"/>
      <c r="X58" s="1334"/>
      <c r="Y58" s="1334"/>
      <c r="Z58" s="1336"/>
      <c r="AA58" s="1336"/>
      <c r="AB58" s="1337"/>
    </row>
    <row r="59" spans="1:28">
      <c r="A59" s="1261">
        <v>54</v>
      </c>
      <c r="B59" s="2962"/>
      <c r="C59" s="2989"/>
      <c r="D59" s="2948"/>
      <c r="E59" s="1332"/>
      <c r="F59" s="1333"/>
      <c r="G59" s="1333"/>
      <c r="H59" s="1333"/>
      <c r="I59" s="1333"/>
      <c r="J59" s="1334"/>
      <c r="K59" s="1334"/>
      <c r="L59" s="1334"/>
      <c r="M59" s="1334"/>
      <c r="N59" s="1334"/>
      <c r="O59" s="1334"/>
      <c r="P59" s="1335"/>
      <c r="Q59" s="1334"/>
      <c r="R59" s="1334"/>
      <c r="S59" s="1334"/>
      <c r="T59" s="1334"/>
      <c r="U59" s="1335"/>
      <c r="V59" s="1334"/>
      <c r="W59" s="1335"/>
      <c r="X59" s="1334"/>
      <c r="Y59" s="1334"/>
      <c r="Z59" s="1336"/>
      <c r="AA59" s="1336"/>
      <c r="AB59" s="1337"/>
    </row>
    <row r="60" spans="1:28">
      <c r="A60" s="1261">
        <v>55</v>
      </c>
      <c r="B60" s="2962"/>
      <c r="C60" s="2989"/>
      <c r="D60" s="2948"/>
      <c r="E60" s="1332"/>
      <c r="F60" s="1333"/>
      <c r="G60" s="1333"/>
      <c r="H60" s="1333"/>
      <c r="I60" s="1333"/>
      <c r="J60" s="1334"/>
      <c r="K60" s="1334"/>
      <c r="L60" s="1334"/>
      <c r="M60" s="1334"/>
      <c r="N60" s="1334"/>
      <c r="O60" s="1334"/>
      <c r="P60" s="1335"/>
      <c r="Q60" s="1334"/>
      <c r="R60" s="1334"/>
      <c r="S60" s="1334"/>
      <c r="T60" s="1334"/>
      <c r="U60" s="1335"/>
      <c r="V60" s="1334"/>
      <c r="W60" s="1335"/>
      <c r="X60" s="1334"/>
      <c r="Y60" s="1334"/>
      <c r="Z60" s="1336"/>
      <c r="AA60" s="1336"/>
      <c r="AB60" s="1337"/>
    </row>
    <row r="61" spans="1:28">
      <c r="A61" s="1261">
        <v>56</v>
      </c>
      <c r="B61" s="2962"/>
      <c r="C61" s="2989"/>
      <c r="D61" s="2948"/>
      <c r="E61" s="1332"/>
      <c r="F61" s="1333"/>
      <c r="G61" s="1333"/>
      <c r="H61" s="1333"/>
      <c r="I61" s="1333"/>
      <c r="J61" s="1334"/>
      <c r="K61" s="1334"/>
      <c r="L61" s="1334"/>
      <c r="M61" s="1334"/>
      <c r="N61" s="1334"/>
      <c r="O61" s="1334"/>
      <c r="P61" s="1335"/>
      <c r="Q61" s="1334"/>
      <c r="R61" s="1334"/>
      <c r="S61" s="1334"/>
      <c r="T61" s="1334"/>
      <c r="U61" s="1335"/>
      <c r="V61" s="1334"/>
      <c r="W61" s="1335"/>
      <c r="X61" s="1334"/>
      <c r="Y61" s="1334"/>
      <c r="Z61" s="1336"/>
      <c r="AA61" s="1336"/>
      <c r="AB61" s="1337"/>
    </row>
    <row r="62" spans="1:28">
      <c r="A62" s="1261">
        <v>57</v>
      </c>
      <c r="B62" s="2962"/>
      <c r="C62" s="2989"/>
      <c r="D62" s="2948"/>
      <c r="E62" s="1332"/>
      <c r="F62" s="1333"/>
      <c r="G62" s="1333"/>
      <c r="H62" s="1333"/>
      <c r="I62" s="1333"/>
      <c r="J62" s="1334"/>
      <c r="K62" s="1334"/>
      <c r="L62" s="1334"/>
      <c r="M62" s="1334"/>
      <c r="N62" s="1334"/>
      <c r="O62" s="1334"/>
      <c r="P62" s="1335"/>
      <c r="Q62" s="1334"/>
      <c r="R62" s="1334"/>
      <c r="S62" s="1334"/>
      <c r="T62" s="1334"/>
      <c r="U62" s="1335"/>
      <c r="V62" s="1334"/>
      <c r="W62" s="1335"/>
      <c r="X62" s="1334"/>
      <c r="Y62" s="1334"/>
      <c r="Z62" s="1336"/>
      <c r="AA62" s="1336"/>
      <c r="AB62" s="1337"/>
    </row>
    <row r="63" spans="1:28">
      <c r="A63" s="1261">
        <v>58</v>
      </c>
      <c r="B63" s="2962"/>
      <c r="C63" s="2989"/>
      <c r="D63" s="2948"/>
      <c r="E63" s="1332"/>
      <c r="F63" s="1333"/>
      <c r="G63" s="1333"/>
      <c r="H63" s="1333"/>
      <c r="I63" s="1333"/>
      <c r="J63" s="1334"/>
      <c r="K63" s="1334"/>
      <c r="L63" s="1334"/>
      <c r="M63" s="1334"/>
      <c r="N63" s="1334"/>
      <c r="O63" s="1334"/>
      <c r="P63" s="1335"/>
      <c r="Q63" s="1334"/>
      <c r="R63" s="1334"/>
      <c r="S63" s="1334"/>
      <c r="T63" s="1334"/>
      <c r="U63" s="1335"/>
      <c r="V63" s="1334"/>
      <c r="W63" s="1335"/>
      <c r="X63" s="1334"/>
      <c r="Y63" s="1334"/>
      <c r="Z63" s="1336"/>
      <c r="AA63" s="1336"/>
      <c r="AB63" s="1337"/>
    </row>
    <row r="64" spans="1:28" ht="14.25">
      <c r="A64" s="1261">
        <v>59</v>
      </c>
      <c r="B64" s="2962"/>
      <c r="C64" s="2989"/>
      <c r="D64" s="1279" t="s">
        <v>3514</v>
      </c>
      <c r="E64" s="1340"/>
      <c r="F64" s="1340"/>
      <c r="G64" s="1340"/>
      <c r="H64" s="1340"/>
      <c r="I64" s="1340"/>
      <c r="J64" s="1340"/>
      <c r="K64" s="1340"/>
      <c r="L64" s="1340"/>
      <c r="M64" s="1334">
        <f>SUM(M54:M63)</f>
        <v>0</v>
      </c>
      <c r="N64" s="1334">
        <f>SUM(N54:N63)</f>
        <v>0</v>
      </c>
      <c r="O64" s="1334">
        <f>SUM(O54:O63)</f>
        <v>0</v>
      </c>
      <c r="P64" s="1334">
        <f>SUM(P54:P63)</f>
        <v>0</v>
      </c>
      <c r="Q64" s="1340"/>
      <c r="R64" s="1334">
        <f>SUM(R54:R63)</f>
        <v>0</v>
      </c>
      <c r="S64" s="1340"/>
      <c r="T64" s="1334">
        <f>SUM(T54:T63)</f>
        <v>0</v>
      </c>
      <c r="U64" s="1334">
        <f>SUM(U54:U63)</f>
        <v>0</v>
      </c>
      <c r="V64" s="1334">
        <f>SUM(V54:V63)</f>
        <v>0</v>
      </c>
      <c r="W64" s="1334">
        <f>SUM(W54:W63)</f>
        <v>0</v>
      </c>
      <c r="X64" s="1340"/>
      <c r="Y64" s="1340"/>
      <c r="Z64" s="1340"/>
      <c r="AA64" s="1340"/>
      <c r="AB64" s="1341"/>
    </row>
    <row r="65" spans="1:28" ht="13.9" customHeight="1">
      <c r="A65" s="1261">
        <v>60</v>
      </c>
      <c r="B65" s="2962"/>
      <c r="C65" s="2989"/>
      <c r="D65" s="2948" t="s">
        <v>4256</v>
      </c>
      <c r="E65" s="1332"/>
      <c r="F65" s="1333"/>
      <c r="G65" s="1333"/>
      <c r="H65" s="1333"/>
      <c r="I65" s="1333"/>
      <c r="J65" s="1334"/>
      <c r="K65" s="1334"/>
      <c r="L65" s="1334"/>
      <c r="M65" s="1334"/>
      <c r="N65" s="1334"/>
      <c r="O65" s="1334"/>
      <c r="P65" s="1335"/>
      <c r="Q65" s="1334"/>
      <c r="R65" s="1334"/>
      <c r="S65" s="1334"/>
      <c r="T65" s="1334"/>
      <c r="U65" s="1335"/>
      <c r="V65" s="1334"/>
      <c r="W65" s="1335"/>
      <c r="X65" s="1334"/>
      <c r="Y65" s="1334"/>
      <c r="Z65" s="1336"/>
      <c r="AA65" s="1336"/>
      <c r="AB65" s="1337"/>
    </row>
    <row r="66" spans="1:28">
      <c r="A66" s="1261">
        <v>61</v>
      </c>
      <c r="B66" s="2962"/>
      <c r="C66" s="2989"/>
      <c r="D66" s="2948"/>
      <c r="E66" s="1332"/>
      <c r="F66" s="1333"/>
      <c r="G66" s="1333"/>
      <c r="H66" s="1333"/>
      <c r="I66" s="1333"/>
      <c r="J66" s="1334"/>
      <c r="K66" s="1334"/>
      <c r="L66" s="1334"/>
      <c r="M66" s="1334"/>
      <c r="N66" s="1334"/>
      <c r="O66" s="1334"/>
      <c r="P66" s="1335"/>
      <c r="Q66" s="1335"/>
      <c r="R66" s="1334"/>
      <c r="S66" s="1335"/>
      <c r="T66" s="1334"/>
      <c r="U66" s="1347"/>
      <c r="V66" s="1334"/>
      <c r="W66" s="1347"/>
      <c r="X66" s="1334"/>
      <c r="Y66" s="1334"/>
      <c r="Z66" s="1336"/>
      <c r="AA66" s="1336"/>
      <c r="AB66" s="1337"/>
    </row>
    <row r="67" spans="1:28">
      <c r="A67" s="1261">
        <v>62</v>
      </c>
      <c r="B67" s="2962"/>
      <c r="C67" s="2989"/>
      <c r="D67" s="2948"/>
      <c r="E67" s="1332"/>
      <c r="F67" s="1333"/>
      <c r="G67" s="1333"/>
      <c r="H67" s="1333"/>
      <c r="I67" s="1333"/>
      <c r="J67" s="1334"/>
      <c r="K67" s="1334"/>
      <c r="L67" s="1334"/>
      <c r="M67" s="1334"/>
      <c r="N67" s="1334"/>
      <c r="O67" s="1334"/>
      <c r="P67" s="1335"/>
      <c r="Q67" s="1335"/>
      <c r="R67" s="1334"/>
      <c r="S67" s="1335"/>
      <c r="T67" s="1334"/>
      <c r="U67" s="1347"/>
      <c r="V67" s="1334"/>
      <c r="W67" s="1347"/>
      <c r="X67" s="1334"/>
      <c r="Y67" s="1334"/>
      <c r="Z67" s="1336"/>
      <c r="AA67" s="1336"/>
      <c r="AB67" s="1337"/>
    </row>
    <row r="68" spans="1:28">
      <c r="A68" s="1261">
        <v>63</v>
      </c>
      <c r="B68" s="2962"/>
      <c r="C68" s="2989"/>
      <c r="D68" s="2948"/>
      <c r="E68" s="1332"/>
      <c r="F68" s="1333"/>
      <c r="G68" s="1333"/>
      <c r="H68" s="1333"/>
      <c r="I68" s="1333"/>
      <c r="J68" s="1334"/>
      <c r="K68" s="1334"/>
      <c r="L68" s="1334"/>
      <c r="M68" s="1334"/>
      <c r="N68" s="1334"/>
      <c r="O68" s="1334"/>
      <c r="P68" s="1335"/>
      <c r="Q68" s="1335"/>
      <c r="R68" s="1334"/>
      <c r="S68" s="1335"/>
      <c r="T68" s="1334"/>
      <c r="U68" s="1347"/>
      <c r="V68" s="1334"/>
      <c r="W68" s="1347"/>
      <c r="X68" s="1334"/>
      <c r="Y68" s="1334"/>
      <c r="Z68" s="1336"/>
      <c r="AA68" s="1336"/>
      <c r="AB68" s="1337"/>
    </row>
    <row r="69" spans="1:28">
      <c r="A69" s="1261">
        <v>64</v>
      </c>
      <c r="B69" s="2962"/>
      <c r="C69" s="2989"/>
      <c r="D69" s="2948"/>
      <c r="E69" s="1332"/>
      <c r="F69" s="1333"/>
      <c r="G69" s="1333"/>
      <c r="H69" s="1333"/>
      <c r="I69" s="1333"/>
      <c r="J69" s="1334"/>
      <c r="K69" s="1334"/>
      <c r="L69" s="1334"/>
      <c r="M69" s="1334"/>
      <c r="N69" s="1334"/>
      <c r="O69" s="1334"/>
      <c r="P69" s="1335"/>
      <c r="Q69" s="1335"/>
      <c r="R69" s="1334"/>
      <c r="S69" s="1335"/>
      <c r="T69" s="1334"/>
      <c r="U69" s="1347"/>
      <c r="V69" s="1334"/>
      <c r="W69" s="1347"/>
      <c r="X69" s="1334"/>
      <c r="Y69" s="1334"/>
      <c r="Z69" s="1336"/>
      <c r="AA69" s="1336"/>
      <c r="AB69" s="1337"/>
    </row>
    <row r="70" spans="1:28">
      <c r="A70" s="1261">
        <v>65</v>
      </c>
      <c r="B70" s="2962"/>
      <c r="C70" s="2989"/>
      <c r="D70" s="2948"/>
      <c r="E70" s="1332"/>
      <c r="F70" s="1333"/>
      <c r="G70" s="1333"/>
      <c r="H70" s="1333"/>
      <c r="I70" s="1333"/>
      <c r="J70" s="1334"/>
      <c r="K70" s="1334"/>
      <c r="L70" s="1334"/>
      <c r="M70" s="1334"/>
      <c r="N70" s="1334"/>
      <c r="O70" s="1334"/>
      <c r="P70" s="1335"/>
      <c r="Q70" s="1335"/>
      <c r="R70" s="1334"/>
      <c r="S70" s="1335"/>
      <c r="T70" s="1334"/>
      <c r="U70" s="1347"/>
      <c r="V70" s="1334"/>
      <c r="W70" s="1347"/>
      <c r="X70" s="1334"/>
      <c r="Y70" s="1334"/>
      <c r="Z70" s="1336"/>
      <c r="AA70" s="1336"/>
      <c r="AB70" s="1337"/>
    </row>
    <row r="71" spans="1:28">
      <c r="A71" s="1261">
        <v>66</v>
      </c>
      <c r="B71" s="2962"/>
      <c r="C71" s="2989"/>
      <c r="D71" s="2948"/>
      <c r="E71" s="1332"/>
      <c r="F71" s="1333"/>
      <c r="G71" s="1333"/>
      <c r="H71" s="1333"/>
      <c r="I71" s="1333"/>
      <c r="J71" s="1334"/>
      <c r="K71" s="1334"/>
      <c r="L71" s="1334"/>
      <c r="M71" s="1334"/>
      <c r="N71" s="1334"/>
      <c r="O71" s="1334"/>
      <c r="P71" s="1335"/>
      <c r="Q71" s="1335"/>
      <c r="R71" s="1334"/>
      <c r="S71" s="1335"/>
      <c r="T71" s="1334"/>
      <c r="U71" s="1347"/>
      <c r="V71" s="1334"/>
      <c r="W71" s="1347"/>
      <c r="X71" s="1334"/>
      <c r="Y71" s="1334"/>
      <c r="Z71" s="1336"/>
      <c r="AA71" s="1336"/>
      <c r="AB71" s="1337"/>
    </row>
    <row r="72" spans="1:28">
      <c r="A72" s="1261">
        <v>67</v>
      </c>
      <c r="B72" s="2962"/>
      <c r="C72" s="2989"/>
      <c r="D72" s="2948"/>
      <c r="E72" s="1332"/>
      <c r="F72" s="1333"/>
      <c r="G72" s="1333"/>
      <c r="H72" s="1333"/>
      <c r="I72" s="1333"/>
      <c r="J72" s="1334"/>
      <c r="K72" s="1334"/>
      <c r="L72" s="1334"/>
      <c r="M72" s="1334"/>
      <c r="N72" s="1334"/>
      <c r="O72" s="1334"/>
      <c r="P72" s="1335"/>
      <c r="Q72" s="1335"/>
      <c r="R72" s="1334"/>
      <c r="S72" s="1335"/>
      <c r="T72" s="1334"/>
      <c r="U72" s="1347"/>
      <c r="V72" s="1334"/>
      <c r="W72" s="1347"/>
      <c r="X72" s="1334"/>
      <c r="Y72" s="1334"/>
      <c r="Z72" s="1336"/>
      <c r="AA72" s="1336"/>
      <c r="AB72" s="1337"/>
    </row>
    <row r="73" spans="1:28">
      <c r="A73" s="1261">
        <v>68</v>
      </c>
      <c r="B73" s="2962"/>
      <c r="C73" s="2989"/>
      <c r="D73" s="2948"/>
      <c r="E73" s="1332"/>
      <c r="F73" s="1333"/>
      <c r="G73" s="1333"/>
      <c r="H73" s="1333"/>
      <c r="I73" s="1333"/>
      <c r="J73" s="1334"/>
      <c r="K73" s="1334"/>
      <c r="L73" s="1334"/>
      <c r="M73" s="1334"/>
      <c r="N73" s="1334"/>
      <c r="O73" s="1334"/>
      <c r="P73" s="1335"/>
      <c r="Q73" s="1335"/>
      <c r="R73" s="1334"/>
      <c r="S73" s="1335"/>
      <c r="T73" s="1334"/>
      <c r="U73" s="1347"/>
      <c r="V73" s="1334"/>
      <c r="W73" s="1347"/>
      <c r="X73" s="1334"/>
      <c r="Y73" s="1334"/>
      <c r="Z73" s="1336"/>
      <c r="AA73" s="1336"/>
      <c r="AB73" s="1337"/>
    </row>
    <row r="74" spans="1:28">
      <c r="A74" s="1261">
        <v>69</v>
      </c>
      <c r="B74" s="2962"/>
      <c r="C74" s="2989"/>
      <c r="D74" s="2948"/>
      <c r="E74" s="1332"/>
      <c r="F74" s="1333"/>
      <c r="G74" s="1333"/>
      <c r="H74" s="1333"/>
      <c r="I74" s="1333"/>
      <c r="J74" s="1334"/>
      <c r="K74" s="1334"/>
      <c r="L74" s="1334"/>
      <c r="M74" s="1334"/>
      <c r="N74" s="1334"/>
      <c r="O74" s="1334"/>
      <c r="P74" s="1335"/>
      <c r="Q74" s="1335"/>
      <c r="R74" s="1334"/>
      <c r="S74" s="1335"/>
      <c r="T74" s="1334"/>
      <c r="U74" s="1347"/>
      <c r="V74" s="1334"/>
      <c r="W74" s="1347"/>
      <c r="X74" s="1334"/>
      <c r="Y74" s="1334"/>
      <c r="Z74" s="1336"/>
      <c r="AA74" s="1336"/>
      <c r="AB74" s="1337"/>
    </row>
    <row r="75" spans="1:28" ht="14.25">
      <c r="A75" s="1261">
        <v>70</v>
      </c>
      <c r="B75" s="2962"/>
      <c r="C75" s="2989"/>
      <c r="D75" s="1279" t="s">
        <v>3514</v>
      </c>
      <c r="E75" s="1340"/>
      <c r="F75" s="1340"/>
      <c r="G75" s="1340"/>
      <c r="H75" s="1340"/>
      <c r="I75" s="1340"/>
      <c r="J75" s="1340"/>
      <c r="K75" s="1340"/>
      <c r="L75" s="1340"/>
      <c r="M75" s="1334">
        <f>SUM(M65:M74)</f>
        <v>0</v>
      </c>
      <c r="N75" s="1334">
        <f>SUM(N65:N74)</f>
        <v>0</v>
      </c>
      <c r="O75" s="1334">
        <f>SUM(O65:O74)</f>
        <v>0</v>
      </c>
      <c r="P75" s="1334">
        <f>SUM(P65:P74)</f>
        <v>0</v>
      </c>
      <c r="Q75" s="1340"/>
      <c r="R75" s="1334">
        <f>SUM(R65:R74)</f>
        <v>0</v>
      </c>
      <c r="S75" s="1340"/>
      <c r="T75" s="1334">
        <f>SUM(T65:T74)</f>
        <v>0</v>
      </c>
      <c r="U75" s="1334">
        <f>SUM(U65:U74)</f>
        <v>0</v>
      </c>
      <c r="V75" s="1334">
        <f>SUM(V65:V74)</f>
        <v>0</v>
      </c>
      <c r="W75" s="1334">
        <f>SUM(W65:W74)</f>
        <v>0</v>
      </c>
      <c r="X75" s="1340"/>
      <c r="Y75" s="1340"/>
      <c r="Z75" s="1340"/>
      <c r="AA75" s="1340"/>
      <c r="AB75" s="1341"/>
    </row>
    <row r="76" spans="1:28" ht="13.9" customHeight="1">
      <c r="A76" s="1261">
        <v>71</v>
      </c>
      <c r="B76" s="2962"/>
      <c r="C76" s="2989"/>
      <c r="D76" s="2994" t="s">
        <v>4258</v>
      </c>
      <c r="E76" s="1332"/>
      <c r="F76" s="1333"/>
      <c r="G76" s="1333"/>
      <c r="H76" s="1333"/>
      <c r="I76" s="1333"/>
      <c r="J76" s="1334"/>
      <c r="K76" s="1334"/>
      <c r="L76" s="1334"/>
      <c r="M76" s="1334"/>
      <c r="N76" s="1334"/>
      <c r="O76" s="1334"/>
      <c r="P76" s="1335"/>
      <c r="Q76" s="1335"/>
      <c r="R76" s="1334"/>
      <c r="S76" s="1335"/>
      <c r="T76" s="1334"/>
      <c r="U76" s="1347"/>
      <c r="V76" s="1334"/>
      <c r="W76" s="1347"/>
      <c r="X76" s="1334"/>
      <c r="Y76" s="1334"/>
      <c r="Z76" s="1336"/>
      <c r="AA76" s="1336"/>
      <c r="AB76" s="1337"/>
    </row>
    <row r="77" spans="1:28">
      <c r="A77" s="1261">
        <v>72</v>
      </c>
      <c r="B77" s="2962"/>
      <c r="C77" s="2989"/>
      <c r="D77" s="2994"/>
      <c r="E77" s="1332"/>
      <c r="F77" s="1333"/>
      <c r="G77" s="1333"/>
      <c r="H77" s="1333"/>
      <c r="I77" s="1333"/>
      <c r="J77" s="1334"/>
      <c r="K77" s="1334"/>
      <c r="L77" s="1334"/>
      <c r="M77" s="1334"/>
      <c r="N77" s="1334"/>
      <c r="O77" s="1334"/>
      <c r="P77" s="1335"/>
      <c r="Q77" s="1335"/>
      <c r="R77" s="1334"/>
      <c r="S77" s="1335"/>
      <c r="T77" s="1334"/>
      <c r="U77" s="1347"/>
      <c r="V77" s="1334"/>
      <c r="W77" s="1347"/>
      <c r="X77" s="1334"/>
      <c r="Y77" s="1334"/>
      <c r="Z77" s="1336"/>
      <c r="AA77" s="1336"/>
      <c r="AB77" s="1337"/>
    </row>
    <row r="78" spans="1:28">
      <c r="A78" s="1261">
        <v>73</v>
      </c>
      <c r="B78" s="2962"/>
      <c r="C78" s="2989"/>
      <c r="D78" s="2994"/>
      <c r="E78" s="1332"/>
      <c r="F78" s="1333"/>
      <c r="G78" s="1333"/>
      <c r="H78" s="1333"/>
      <c r="I78" s="1333"/>
      <c r="J78" s="1334"/>
      <c r="K78" s="1334"/>
      <c r="L78" s="1334"/>
      <c r="M78" s="1334"/>
      <c r="N78" s="1334"/>
      <c r="O78" s="1334"/>
      <c r="P78" s="1335"/>
      <c r="Q78" s="1335"/>
      <c r="R78" s="1334"/>
      <c r="S78" s="1335"/>
      <c r="T78" s="1334"/>
      <c r="U78" s="1347"/>
      <c r="V78" s="1334"/>
      <c r="W78" s="1347"/>
      <c r="X78" s="1334"/>
      <c r="Y78" s="1334"/>
      <c r="Z78" s="1336"/>
      <c r="AA78" s="1336"/>
      <c r="AB78" s="1337"/>
    </row>
    <row r="79" spans="1:28">
      <c r="A79" s="1261">
        <v>74</v>
      </c>
      <c r="B79" s="2962"/>
      <c r="C79" s="2989"/>
      <c r="D79" s="2994"/>
      <c r="E79" s="1332"/>
      <c r="F79" s="1333"/>
      <c r="G79" s="1333"/>
      <c r="H79" s="1333"/>
      <c r="I79" s="1333"/>
      <c r="J79" s="1334"/>
      <c r="K79" s="1334"/>
      <c r="L79" s="1334"/>
      <c r="M79" s="1334"/>
      <c r="N79" s="1334"/>
      <c r="O79" s="1334"/>
      <c r="P79" s="1335"/>
      <c r="Q79" s="1335"/>
      <c r="R79" s="1334"/>
      <c r="S79" s="1335"/>
      <c r="T79" s="1334"/>
      <c r="U79" s="1347"/>
      <c r="V79" s="1334"/>
      <c r="W79" s="1347"/>
      <c r="X79" s="1334"/>
      <c r="Y79" s="1334"/>
      <c r="Z79" s="1336"/>
      <c r="AA79" s="1336"/>
      <c r="AB79" s="1337"/>
    </row>
    <row r="80" spans="1:28">
      <c r="A80" s="1261">
        <v>75</v>
      </c>
      <c r="B80" s="2962"/>
      <c r="C80" s="2989"/>
      <c r="D80" s="2994"/>
      <c r="E80" s="1332"/>
      <c r="F80" s="1333"/>
      <c r="G80" s="1333"/>
      <c r="H80" s="1333"/>
      <c r="I80" s="1333"/>
      <c r="J80" s="1334"/>
      <c r="K80" s="1334"/>
      <c r="L80" s="1334"/>
      <c r="M80" s="1334"/>
      <c r="N80" s="1334"/>
      <c r="O80" s="1334"/>
      <c r="P80" s="1335"/>
      <c r="Q80" s="1335"/>
      <c r="R80" s="1334"/>
      <c r="S80" s="1335"/>
      <c r="T80" s="1334"/>
      <c r="U80" s="1347"/>
      <c r="V80" s="1334"/>
      <c r="W80" s="1347"/>
      <c r="X80" s="1334"/>
      <c r="Y80" s="1334"/>
      <c r="Z80" s="1336"/>
      <c r="AA80" s="1336"/>
      <c r="AB80" s="1337"/>
    </row>
    <row r="81" spans="1:28">
      <c r="A81" s="1261">
        <v>76</v>
      </c>
      <c r="B81" s="2962"/>
      <c r="C81" s="2989"/>
      <c r="D81" s="2994"/>
      <c r="E81" s="1332"/>
      <c r="F81" s="1333"/>
      <c r="G81" s="1333"/>
      <c r="H81" s="1333"/>
      <c r="I81" s="1333"/>
      <c r="J81" s="1334"/>
      <c r="K81" s="1334"/>
      <c r="L81" s="1334"/>
      <c r="M81" s="1334"/>
      <c r="N81" s="1334"/>
      <c r="O81" s="1334"/>
      <c r="P81" s="1335"/>
      <c r="Q81" s="1335"/>
      <c r="R81" s="1334"/>
      <c r="S81" s="1335"/>
      <c r="T81" s="1334"/>
      <c r="U81" s="1347"/>
      <c r="V81" s="1334"/>
      <c r="W81" s="1347"/>
      <c r="X81" s="1334"/>
      <c r="Y81" s="1334"/>
      <c r="Z81" s="1336"/>
      <c r="AA81" s="1336"/>
      <c r="AB81" s="1337"/>
    </row>
    <row r="82" spans="1:28">
      <c r="A82" s="1261">
        <v>77</v>
      </c>
      <c r="B82" s="2962"/>
      <c r="C82" s="2989"/>
      <c r="D82" s="2994"/>
      <c r="E82" s="1332"/>
      <c r="F82" s="1333"/>
      <c r="G82" s="1333"/>
      <c r="H82" s="1333"/>
      <c r="I82" s="1333"/>
      <c r="J82" s="1334"/>
      <c r="K82" s="1334"/>
      <c r="L82" s="1334"/>
      <c r="M82" s="1334"/>
      <c r="N82" s="1334"/>
      <c r="O82" s="1334"/>
      <c r="P82" s="1335"/>
      <c r="Q82" s="1334"/>
      <c r="R82" s="1334"/>
      <c r="S82" s="1334"/>
      <c r="T82" s="1334"/>
      <c r="U82" s="1335"/>
      <c r="V82" s="1334"/>
      <c r="W82" s="1335"/>
      <c r="X82" s="1334"/>
      <c r="Y82" s="1334"/>
      <c r="Z82" s="1336"/>
      <c r="AA82" s="1336"/>
      <c r="AB82" s="1337"/>
    </row>
    <row r="83" spans="1:28">
      <c r="A83" s="1261">
        <v>78</v>
      </c>
      <c r="B83" s="2962"/>
      <c r="C83" s="2989"/>
      <c r="D83" s="2994"/>
      <c r="E83" s="1332"/>
      <c r="F83" s="1333"/>
      <c r="G83" s="1333"/>
      <c r="H83" s="1333"/>
      <c r="I83" s="1333"/>
      <c r="J83" s="1334"/>
      <c r="K83" s="1334"/>
      <c r="L83" s="1334"/>
      <c r="M83" s="1334"/>
      <c r="N83" s="1334"/>
      <c r="O83" s="1334"/>
      <c r="P83" s="1335"/>
      <c r="Q83" s="1334"/>
      <c r="R83" s="1334"/>
      <c r="S83" s="1334"/>
      <c r="T83" s="1334"/>
      <c r="U83" s="1335"/>
      <c r="V83" s="1334"/>
      <c r="W83" s="1335"/>
      <c r="X83" s="1334"/>
      <c r="Y83" s="1334"/>
      <c r="Z83" s="1336"/>
      <c r="AA83" s="1336"/>
      <c r="AB83" s="1337"/>
    </row>
    <row r="84" spans="1:28">
      <c r="A84" s="1261">
        <v>79</v>
      </c>
      <c r="B84" s="2962"/>
      <c r="C84" s="2989"/>
      <c r="D84" s="2994"/>
      <c r="E84" s="1332"/>
      <c r="F84" s="1333"/>
      <c r="G84" s="1333"/>
      <c r="H84" s="1333"/>
      <c r="I84" s="1333"/>
      <c r="J84" s="1334"/>
      <c r="K84" s="1334"/>
      <c r="L84" s="1334"/>
      <c r="M84" s="1334"/>
      <c r="N84" s="1334"/>
      <c r="O84" s="1334"/>
      <c r="P84" s="1335"/>
      <c r="Q84" s="1334"/>
      <c r="R84" s="1334"/>
      <c r="S84" s="1334"/>
      <c r="T84" s="1334"/>
      <c r="U84" s="1335"/>
      <c r="V84" s="1334"/>
      <c r="W84" s="1335"/>
      <c r="X84" s="1334"/>
      <c r="Y84" s="1334"/>
      <c r="Z84" s="1336"/>
      <c r="AA84" s="1336"/>
      <c r="AB84" s="1337"/>
    </row>
    <row r="85" spans="1:28">
      <c r="A85" s="1261">
        <v>80</v>
      </c>
      <c r="B85" s="2962"/>
      <c r="C85" s="2989"/>
      <c r="D85" s="2994"/>
      <c r="E85" s="1332"/>
      <c r="F85" s="1333"/>
      <c r="G85" s="1333"/>
      <c r="H85" s="1333"/>
      <c r="I85" s="1333"/>
      <c r="J85" s="1334"/>
      <c r="K85" s="1334"/>
      <c r="L85" s="1334"/>
      <c r="M85" s="1334"/>
      <c r="N85" s="1334"/>
      <c r="O85" s="1334"/>
      <c r="P85" s="1335"/>
      <c r="Q85" s="1334"/>
      <c r="R85" s="1334"/>
      <c r="S85" s="1334"/>
      <c r="T85" s="1334"/>
      <c r="U85" s="1335"/>
      <c r="V85" s="1334"/>
      <c r="W85" s="1335"/>
      <c r="X85" s="1334"/>
      <c r="Y85" s="1334"/>
      <c r="Z85" s="1336"/>
      <c r="AA85" s="1336"/>
      <c r="AB85" s="1337"/>
    </row>
    <row r="86" spans="1:28" ht="15" thickBot="1">
      <c r="A86" s="1261">
        <v>81</v>
      </c>
      <c r="B86" s="2962"/>
      <c r="C86" s="2990"/>
      <c r="D86" s="1273" t="s">
        <v>3514</v>
      </c>
      <c r="E86" s="1343"/>
      <c r="F86" s="1343"/>
      <c r="G86" s="1343"/>
      <c r="H86" s="1343"/>
      <c r="I86" s="1343"/>
      <c r="J86" s="1343"/>
      <c r="K86" s="1343"/>
      <c r="L86" s="1343"/>
      <c r="M86" s="1344">
        <f>SUM(M76:M85)</f>
        <v>0</v>
      </c>
      <c r="N86" s="1344">
        <f>SUM(N76:N85)</f>
        <v>0</v>
      </c>
      <c r="O86" s="1344">
        <f>SUM(O76:O85)</f>
        <v>0</v>
      </c>
      <c r="P86" s="1344">
        <f>SUM(P76:P85)</f>
        <v>0</v>
      </c>
      <c r="Q86" s="1343"/>
      <c r="R86" s="1344">
        <f>SUM(R76:R85)</f>
        <v>0</v>
      </c>
      <c r="S86" s="1340"/>
      <c r="T86" s="1344">
        <f>SUM(T76:T85)</f>
        <v>0</v>
      </c>
      <c r="U86" s="1344">
        <f>SUM(U76:U85)</f>
        <v>0</v>
      </c>
      <c r="V86" s="1344">
        <f>SUM(V76:V85)</f>
        <v>0</v>
      </c>
      <c r="W86" s="1344">
        <f>SUM(W76:W85)</f>
        <v>0</v>
      </c>
      <c r="X86" s="1343"/>
      <c r="Y86" s="1343"/>
      <c r="Z86" s="1343"/>
      <c r="AA86" s="1343"/>
      <c r="AB86" s="1341"/>
    </row>
    <row r="87" spans="1:28" ht="16.5" customHeight="1">
      <c r="A87" s="1261">
        <v>82</v>
      </c>
      <c r="B87" s="2962"/>
      <c r="C87" s="2964" t="s">
        <v>4261</v>
      </c>
      <c r="D87" s="2991" t="s">
        <v>4262</v>
      </c>
      <c r="E87" s="1345"/>
      <c r="F87" s="1327"/>
      <c r="G87" s="1327"/>
      <c r="H87" s="1327"/>
      <c r="I87" s="1327"/>
      <c r="J87" s="1328"/>
      <c r="K87" s="1328"/>
      <c r="L87" s="1328"/>
      <c r="M87" s="1328"/>
      <c r="N87" s="1328"/>
      <c r="O87" s="1328"/>
      <c r="P87" s="1329"/>
      <c r="Q87" s="1328"/>
      <c r="R87" s="1328"/>
      <c r="S87" s="1328"/>
      <c r="T87" s="1348"/>
      <c r="U87" s="1329"/>
      <c r="V87" s="1348"/>
      <c r="W87" s="1329"/>
      <c r="X87" s="1328"/>
      <c r="Y87" s="1328"/>
      <c r="Z87" s="1330"/>
      <c r="AA87" s="1330"/>
      <c r="AB87" s="1346"/>
    </row>
    <row r="88" spans="1:28">
      <c r="A88" s="1261">
        <v>83</v>
      </c>
      <c r="B88" s="2962"/>
      <c r="C88" s="2965"/>
      <c r="D88" s="2994"/>
      <c r="E88" s="1332"/>
      <c r="F88" s="1333"/>
      <c r="G88" s="1333"/>
      <c r="H88" s="1333"/>
      <c r="I88" s="1333"/>
      <c r="J88" s="1334"/>
      <c r="K88" s="1334"/>
      <c r="L88" s="1334"/>
      <c r="M88" s="1334"/>
      <c r="N88" s="1334"/>
      <c r="O88" s="1334"/>
      <c r="P88" s="1335"/>
      <c r="Q88" s="1334"/>
      <c r="R88" s="1334"/>
      <c r="S88" s="1334"/>
      <c r="T88" s="1347"/>
      <c r="U88" s="1335"/>
      <c r="V88" s="1347"/>
      <c r="W88" s="1335"/>
      <c r="X88" s="1334"/>
      <c r="Y88" s="1334"/>
      <c r="Z88" s="1336"/>
      <c r="AA88" s="1336"/>
      <c r="AB88" s="1337"/>
    </row>
    <row r="89" spans="1:28">
      <c r="A89" s="1261">
        <v>84</v>
      </c>
      <c r="B89" s="2962"/>
      <c r="C89" s="2965"/>
      <c r="D89" s="2994"/>
      <c r="E89" s="1332"/>
      <c r="F89" s="1333"/>
      <c r="G89" s="1333"/>
      <c r="H89" s="1333"/>
      <c r="I89" s="1333"/>
      <c r="J89" s="1334"/>
      <c r="K89" s="1334"/>
      <c r="L89" s="1334"/>
      <c r="M89" s="1334"/>
      <c r="N89" s="1334"/>
      <c r="O89" s="1334"/>
      <c r="P89" s="1335"/>
      <c r="Q89" s="1334"/>
      <c r="R89" s="1334"/>
      <c r="S89" s="1334"/>
      <c r="T89" s="1347"/>
      <c r="U89" s="1335"/>
      <c r="V89" s="1347"/>
      <c r="W89" s="1335"/>
      <c r="X89" s="1334"/>
      <c r="Y89" s="1334"/>
      <c r="Z89" s="1336"/>
      <c r="AA89" s="1336"/>
      <c r="AB89" s="1337"/>
    </row>
    <row r="90" spans="1:28">
      <c r="A90" s="1261">
        <v>85</v>
      </c>
      <c r="B90" s="2962"/>
      <c r="C90" s="2965"/>
      <c r="D90" s="2994"/>
      <c r="E90" s="1332"/>
      <c r="F90" s="1333"/>
      <c r="G90" s="1333"/>
      <c r="H90" s="1333"/>
      <c r="I90" s="1333"/>
      <c r="J90" s="1334"/>
      <c r="K90" s="1334"/>
      <c r="L90" s="1334"/>
      <c r="M90" s="1334"/>
      <c r="N90" s="1334"/>
      <c r="O90" s="1334"/>
      <c r="P90" s="1335"/>
      <c r="Q90" s="1334"/>
      <c r="R90" s="1334"/>
      <c r="S90" s="1334"/>
      <c r="T90" s="1347"/>
      <c r="U90" s="1335"/>
      <c r="V90" s="1347"/>
      <c r="W90" s="1335"/>
      <c r="X90" s="1334"/>
      <c r="Y90" s="1334"/>
      <c r="Z90" s="1336"/>
      <c r="AA90" s="1336"/>
      <c r="AB90" s="1337"/>
    </row>
    <row r="91" spans="1:28">
      <c r="A91" s="1261">
        <v>86</v>
      </c>
      <c r="B91" s="2962"/>
      <c r="C91" s="2965"/>
      <c r="D91" s="2994"/>
      <c r="E91" s="1332"/>
      <c r="F91" s="1333"/>
      <c r="G91" s="1333"/>
      <c r="H91" s="1333"/>
      <c r="I91" s="1333"/>
      <c r="J91" s="1334"/>
      <c r="K91" s="1334"/>
      <c r="L91" s="1334"/>
      <c r="M91" s="1334"/>
      <c r="N91" s="1334"/>
      <c r="O91" s="1334"/>
      <c r="P91" s="1335"/>
      <c r="Q91" s="1334"/>
      <c r="R91" s="1334"/>
      <c r="S91" s="1334"/>
      <c r="T91" s="1347"/>
      <c r="U91" s="1335"/>
      <c r="V91" s="1347"/>
      <c r="W91" s="1335"/>
      <c r="X91" s="1334"/>
      <c r="Y91" s="1334"/>
      <c r="Z91" s="1336"/>
      <c r="AA91" s="1336"/>
      <c r="AB91" s="1337"/>
    </row>
    <row r="92" spans="1:28">
      <c r="A92" s="1261">
        <v>87</v>
      </c>
      <c r="B92" s="2962"/>
      <c r="C92" s="2965"/>
      <c r="D92" s="2994"/>
      <c r="E92" s="1332"/>
      <c r="F92" s="1333"/>
      <c r="G92" s="1333"/>
      <c r="H92" s="1333"/>
      <c r="I92" s="1333"/>
      <c r="J92" s="1334"/>
      <c r="K92" s="1334"/>
      <c r="L92" s="1334"/>
      <c r="M92" s="1334"/>
      <c r="N92" s="1334"/>
      <c r="O92" s="1334"/>
      <c r="P92" s="1335"/>
      <c r="Q92" s="1334"/>
      <c r="R92" s="1334"/>
      <c r="S92" s="1334"/>
      <c r="T92" s="1347"/>
      <c r="U92" s="1335"/>
      <c r="V92" s="1347"/>
      <c r="W92" s="1335"/>
      <c r="X92" s="1334"/>
      <c r="Y92" s="1334"/>
      <c r="Z92" s="1336"/>
      <c r="AA92" s="1336"/>
      <c r="AB92" s="1337"/>
    </row>
    <row r="93" spans="1:28" ht="14.25">
      <c r="A93" s="1261">
        <v>88</v>
      </c>
      <c r="B93" s="2962"/>
      <c r="C93" s="2965"/>
      <c r="D93" s="1279" t="s">
        <v>3514</v>
      </c>
      <c r="E93" s="1340"/>
      <c r="F93" s="1340"/>
      <c r="G93" s="1340"/>
      <c r="H93" s="1340"/>
      <c r="I93" s="1340"/>
      <c r="J93" s="1340"/>
      <c r="K93" s="1340"/>
      <c r="L93" s="1340"/>
      <c r="M93" s="1334">
        <f>SUM(M87:M92)</f>
        <v>0</v>
      </c>
      <c r="N93" s="1334">
        <f>SUM(N87:N92)</f>
        <v>0</v>
      </c>
      <c r="O93" s="1334">
        <f>SUM(O87:O92)</f>
        <v>0</v>
      </c>
      <c r="P93" s="1334">
        <f>SUM(P87:P92)</f>
        <v>0</v>
      </c>
      <c r="Q93" s="1340"/>
      <c r="R93" s="1334">
        <f>SUM(R87:R92)</f>
        <v>0</v>
      </c>
      <c r="S93" s="1340"/>
      <c r="T93" s="1334">
        <f>SUM(T87:T92)</f>
        <v>0</v>
      </c>
      <c r="U93" s="1334">
        <f>SUM(U87:U92)</f>
        <v>0</v>
      </c>
      <c r="V93" s="1334">
        <f>SUM(V87:V92)</f>
        <v>0</v>
      </c>
      <c r="W93" s="1334">
        <f>SUM(W87:W92)</f>
        <v>0</v>
      </c>
      <c r="X93" s="1340"/>
      <c r="Y93" s="1340"/>
      <c r="Z93" s="1340"/>
      <c r="AA93" s="1340"/>
      <c r="AB93" s="1341"/>
    </row>
    <row r="94" spans="1:28" ht="13.9" customHeight="1">
      <c r="A94" s="1261">
        <v>89</v>
      </c>
      <c r="B94" s="2962"/>
      <c r="C94" s="2965"/>
      <c r="D94" s="2994" t="s">
        <v>4256</v>
      </c>
      <c r="E94" s="1332"/>
      <c r="F94" s="1333"/>
      <c r="G94" s="1333"/>
      <c r="H94" s="1333"/>
      <c r="I94" s="1333"/>
      <c r="J94" s="1334"/>
      <c r="K94" s="1334"/>
      <c r="L94" s="1334"/>
      <c r="M94" s="1334"/>
      <c r="N94" s="1334"/>
      <c r="O94" s="1334"/>
      <c r="P94" s="1335"/>
      <c r="Q94" s="1334"/>
      <c r="R94" s="1334"/>
      <c r="S94" s="1334"/>
      <c r="T94" s="1347"/>
      <c r="U94" s="1335"/>
      <c r="V94" s="1347"/>
      <c r="W94" s="1335"/>
      <c r="X94" s="1334"/>
      <c r="Y94" s="1334"/>
      <c r="Z94" s="1336"/>
      <c r="AA94" s="1336"/>
      <c r="AB94" s="1337"/>
    </row>
    <row r="95" spans="1:28">
      <c r="A95" s="1261">
        <v>90</v>
      </c>
      <c r="B95" s="2962"/>
      <c r="C95" s="2965"/>
      <c r="D95" s="2994"/>
      <c r="E95" s="1332"/>
      <c r="F95" s="1333"/>
      <c r="G95" s="1333"/>
      <c r="H95" s="1333"/>
      <c r="I95" s="1333"/>
      <c r="J95" s="1334"/>
      <c r="K95" s="1334"/>
      <c r="L95" s="1334"/>
      <c r="M95" s="1334"/>
      <c r="N95" s="1334"/>
      <c r="O95" s="1334"/>
      <c r="P95" s="1335"/>
      <c r="Q95" s="1334"/>
      <c r="R95" s="1334"/>
      <c r="S95" s="1334"/>
      <c r="T95" s="1347"/>
      <c r="U95" s="1335"/>
      <c r="V95" s="1347"/>
      <c r="W95" s="1335"/>
      <c r="X95" s="1334"/>
      <c r="Y95" s="1334"/>
      <c r="Z95" s="1336"/>
      <c r="AA95" s="1336"/>
      <c r="AB95" s="1337"/>
    </row>
    <row r="96" spans="1:28">
      <c r="A96" s="1261">
        <v>91</v>
      </c>
      <c r="B96" s="2962"/>
      <c r="C96" s="2965"/>
      <c r="D96" s="2994"/>
      <c r="E96" s="1332"/>
      <c r="F96" s="1333"/>
      <c r="G96" s="1333"/>
      <c r="H96" s="1333"/>
      <c r="I96" s="1333"/>
      <c r="J96" s="1334"/>
      <c r="K96" s="1334"/>
      <c r="L96" s="1334"/>
      <c r="M96" s="1334"/>
      <c r="N96" s="1334"/>
      <c r="O96" s="1334"/>
      <c r="P96" s="1335"/>
      <c r="Q96" s="1334"/>
      <c r="R96" s="1334"/>
      <c r="S96" s="1334"/>
      <c r="T96" s="1347"/>
      <c r="U96" s="1335"/>
      <c r="V96" s="1347"/>
      <c r="W96" s="1335"/>
      <c r="X96" s="1334"/>
      <c r="Y96" s="1334"/>
      <c r="Z96" s="1336"/>
      <c r="AA96" s="1336"/>
      <c r="AB96" s="1337"/>
    </row>
    <row r="97" spans="1:28">
      <c r="A97" s="1261">
        <v>92</v>
      </c>
      <c r="B97" s="2962"/>
      <c r="C97" s="2965"/>
      <c r="D97" s="2994"/>
      <c r="E97" s="1332"/>
      <c r="F97" s="1333"/>
      <c r="G97" s="1333"/>
      <c r="H97" s="1333"/>
      <c r="I97" s="1333"/>
      <c r="J97" s="1334"/>
      <c r="K97" s="1334"/>
      <c r="L97" s="1334"/>
      <c r="M97" s="1334"/>
      <c r="N97" s="1334"/>
      <c r="O97" s="1334"/>
      <c r="P97" s="1335"/>
      <c r="Q97" s="1334"/>
      <c r="R97" s="1334"/>
      <c r="S97" s="1334"/>
      <c r="T97" s="1347"/>
      <c r="U97" s="1335"/>
      <c r="V97" s="1347"/>
      <c r="W97" s="1335"/>
      <c r="X97" s="1334"/>
      <c r="Y97" s="1334"/>
      <c r="Z97" s="1336"/>
      <c r="AA97" s="1336"/>
      <c r="AB97" s="1337"/>
    </row>
    <row r="98" spans="1:28" ht="16.5" customHeight="1">
      <c r="A98" s="1261">
        <v>93</v>
      </c>
      <c r="B98" s="2962"/>
      <c r="C98" s="2965"/>
      <c r="D98" s="2994"/>
      <c r="E98" s="1332"/>
      <c r="F98" s="1333"/>
      <c r="G98" s="1333"/>
      <c r="H98" s="1333"/>
      <c r="I98" s="1333"/>
      <c r="J98" s="1334"/>
      <c r="K98" s="1334"/>
      <c r="L98" s="1334"/>
      <c r="M98" s="1334"/>
      <c r="N98" s="1334"/>
      <c r="O98" s="1334"/>
      <c r="P98" s="1335"/>
      <c r="Q98" s="1334"/>
      <c r="R98" s="1334"/>
      <c r="S98" s="1334"/>
      <c r="T98" s="1347"/>
      <c r="U98" s="1335"/>
      <c r="V98" s="1347"/>
      <c r="W98" s="1335"/>
      <c r="X98" s="1334"/>
      <c r="Y98" s="1334"/>
      <c r="Z98" s="1336"/>
      <c r="AA98" s="1336"/>
      <c r="AB98" s="1337"/>
    </row>
    <row r="99" spans="1:28" ht="16.5" customHeight="1">
      <c r="A99" s="1261">
        <v>94</v>
      </c>
      <c r="B99" s="2962"/>
      <c r="C99" s="2965"/>
      <c r="D99" s="2994"/>
      <c r="E99" s="1332"/>
      <c r="F99" s="1333"/>
      <c r="G99" s="1333"/>
      <c r="H99" s="1333"/>
      <c r="I99" s="1333"/>
      <c r="J99" s="1334"/>
      <c r="K99" s="1334"/>
      <c r="L99" s="1334"/>
      <c r="M99" s="1334"/>
      <c r="N99" s="1334"/>
      <c r="O99" s="1334"/>
      <c r="P99" s="1335"/>
      <c r="Q99" s="1334"/>
      <c r="R99" s="1334"/>
      <c r="S99" s="1334"/>
      <c r="T99" s="1347"/>
      <c r="U99" s="1335"/>
      <c r="V99" s="1347"/>
      <c r="W99" s="1335"/>
      <c r="X99" s="1334"/>
      <c r="Y99" s="1334"/>
      <c r="Z99" s="1336"/>
      <c r="AA99" s="1336"/>
      <c r="AB99" s="1337"/>
    </row>
    <row r="100" spans="1:28" ht="14.25">
      <c r="A100" s="1261">
        <v>95</v>
      </c>
      <c r="B100" s="2962"/>
      <c r="C100" s="2965"/>
      <c r="D100" s="1279" t="s">
        <v>3514</v>
      </c>
      <c r="E100" s="1340"/>
      <c r="F100" s="1340"/>
      <c r="G100" s="1340"/>
      <c r="H100" s="1340"/>
      <c r="I100" s="1340"/>
      <c r="J100" s="1340"/>
      <c r="K100" s="1340"/>
      <c r="L100" s="1340"/>
      <c r="M100" s="1334">
        <f>SUM(M94:M99)</f>
        <v>0</v>
      </c>
      <c r="N100" s="1334">
        <f>SUM(N94:N99)</f>
        <v>0</v>
      </c>
      <c r="O100" s="1334">
        <f>SUM(O94:O99)</f>
        <v>0</v>
      </c>
      <c r="P100" s="1334">
        <f>SUM(P94:P99)</f>
        <v>0</v>
      </c>
      <c r="Q100" s="1340"/>
      <c r="R100" s="1334">
        <f>SUM(R94:R99)</f>
        <v>0</v>
      </c>
      <c r="S100" s="1340"/>
      <c r="T100" s="1334">
        <f>SUM(T94:T99)</f>
        <v>0</v>
      </c>
      <c r="U100" s="1334">
        <f>SUM(U94:U99)</f>
        <v>0</v>
      </c>
      <c r="V100" s="1334">
        <f>SUM(V94:V99)</f>
        <v>0</v>
      </c>
      <c r="W100" s="1334">
        <f>SUM(W94:W99)</f>
        <v>0</v>
      </c>
      <c r="X100" s="1340"/>
      <c r="Y100" s="1340"/>
      <c r="Z100" s="1340"/>
      <c r="AA100" s="1340"/>
      <c r="AB100" s="1341"/>
    </row>
    <row r="101" spans="1:28" ht="13.9" customHeight="1">
      <c r="A101" s="1261">
        <v>96</v>
      </c>
      <c r="B101" s="2962"/>
      <c r="C101" s="2965"/>
      <c r="D101" s="2994" t="s">
        <v>4258</v>
      </c>
      <c r="E101" s="1332"/>
      <c r="F101" s="1333"/>
      <c r="G101" s="1333"/>
      <c r="H101" s="1333"/>
      <c r="I101" s="1333"/>
      <c r="J101" s="1334"/>
      <c r="K101" s="1334"/>
      <c r="L101" s="1334"/>
      <c r="M101" s="1334"/>
      <c r="N101" s="1334"/>
      <c r="O101" s="1334"/>
      <c r="P101" s="1335"/>
      <c r="Q101" s="1334"/>
      <c r="R101" s="1334"/>
      <c r="S101" s="1334"/>
      <c r="T101" s="1347"/>
      <c r="U101" s="1335"/>
      <c r="V101" s="1347"/>
      <c r="W101" s="1335"/>
      <c r="X101" s="1334"/>
      <c r="Y101" s="1334"/>
      <c r="Z101" s="1336"/>
      <c r="AA101" s="1336"/>
      <c r="AB101" s="1337"/>
    </row>
    <row r="102" spans="1:28">
      <c r="A102" s="1261">
        <v>97</v>
      </c>
      <c r="B102" s="2962"/>
      <c r="C102" s="2965"/>
      <c r="D102" s="2994"/>
      <c r="E102" s="1332"/>
      <c r="F102" s="1333"/>
      <c r="G102" s="1333"/>
      <c r="H102" s="1333"/>
      <c r="I102" s="1333"/>
      <c r="J102" s="1334"/>
      <c r="K102" s="1334"/>
      <c r="L102" s="1334"/>
      <c r="M102" s="1334"/>
      <c r="N102" s="1334"/>
      <c r="O102" s="1334"/>
      <c r="P102" s="1335"/>
      <c r="Q102" s="1334"/>
      <c r="R102" s="1334"/>
      <c r="S102" s="1334"/>
      <c r="T102" s="1347"/>
      <c r="U102" s="1335"/>
      <c r="V102" s="1347"/>
      <c r="W102" s="1335"/>
      <c r="X102" s="1334"/>
      <c r="Y102" s="1334"/>
      <c r="Z102" s="1336"/>
      <c r="AA102" s="1336"/>
      <c r="AB102" s="1337"/>
    </row>
    <row r="103" spans="1:28">
      <c r="A103" s="1261">
        <v>98</v>
      </c>
      <c r="B103" s="2962"/>
      <c r="C103" s="2965"/>
      <c r="D103" s="2994"/>
      <c r="E103" s="1332"/>
      <c r="F103" s="1333"/>
      <c r="G103" s="1333"/>
      <c r="H103" s="1333"/>
      <c r="I103" s="1333"/>
      <c r="J103" s="1334"/>
      <c r="K103" s="1334"/>
      <c r="L103" s="1334"/>
      <c r="M103" s="1334"/>
      <c r="N103" s="1334"/>
      <c r="O103" s="1334"/>
      <c r="P103" s="1335"/>
      <c r="Q103" s="1334"/>
      <c r="R103" s="1334"/>
      <c r="S103" s="1334"/>
      <c r="T103" s="1347"/>
      <c r="U103" s="1335"/>
      <c r="V103" s="1347"/>
      <c r="W103" s="1335"/>
      <c r="X103" s="1334"/>
      <c r="Y103" s="1334"/>
      <c r="Z103" s="1336"/>
      <c r="AA103" s="1336"/>
      <c r="AB103" s="1337"/>
    </row>
    <row r="104" spans="1:28">
      <c r="A104" s="1261">
        <v>99</v>
      </c>
      <c r="B104" s="2962"/>
      <c r="C104" s="2965"/>
      <c r="D104" s="2994"/>
      <c r="E104" s="1332"/>
      <c r="F104" s="1333"/>
      <c r="G104" s="1333"/>
      <c r="H104" s="1333"/>
      <c r="I104" s="1333"/>
      <c r="J104" s="1334"/>
      <c r="K104" s="1334"/>
      <c r="L104" s="1334"/>
      <c r="M104" s="1334"/>
      <c r="N104" s="1334"/>
      <c r="O104" s="1334"/>
      <c r="P104" s="1335"/>
      <c r="Q104" s="1334"/>
      <c r="R104" s="1334"/>
      <c r="S104" s="1334"/>
      <c r="T104" s="1347"/>
      <c r="U104" s="1335"/>
      <c r="V104" s="1347"/>
      <c r="W104" s="1335"/>
      <c r="X104" s="1334"/>
      <c r="Y104" s="1334"/>
      <c r="Z104" s="1336"/>
      <c r="AA104" s="1336"/>
      <c r="AB104" s="1337"/>
    </row>
    <row r="105" spans="1:28">
      <c r="A105" s="1261">
        <v>100</v>
      </c>
      <c r="B105" s="2962"/>
      <c r="C105" s="2965"/>
      <c r="D105" s="2994"/>
      <c r="E105" s="1332"/>
      <c r="F105" s="1333"/>
      <c r="G105" s="1333"/>
      <c r="H105" s="1333"/>
      <c r="I105" s="1333"/>
      <c r="J105" s="1334"/>
      <c r="K105" s="1334"/>
      <c r="L105" s="1334"/>
      <c r="M105" s="1334"/>
      <c r="N105" s="1334"/>
      <c r="O105" s="1334"/>
      <c r="P105" s="1335"/>
      <c r="Q105" s="1334"/>
      <c r="R105" s="1334"/>
      <c r="S105" s="1334"/>
      <c r="T105" s="1347"/>
      <c r="U105" s="1335"/>
      <c r="V105" s="1347"/>
      <c r="W105" s="1335"/>
      <c r="X105" s="1334"/>
      <c r="Y105" s="1334"/>
      <c r="Z105" s="1336"/>
      <c r="AA105" s="1336"/>
      <c r="AB105" s="1337"/>
    </row>
    <row r="106" spans="1:28">
      <c r="A106" s="1261">
        <v>101</v>
      </c>
      <c r="B106" s="2962"/>
      <c r="C106" s="2965"/>
      <c r="D106" s="2994"/>
      <c r="E106" s="1332"/>
      <c r="F106" s="1333"/>
      <c r="G106" s="1333"/>
      <c r="H106" s="1333"/>
      <c r="I106" s="1333"/>
      <c r="J106" s="1334"/>
      <c r="K106" s="1334"/>
      <c r="L106" s="1334"/>
      <c r="M106" s="1334"/>
      <c r="N106" s="1334"/>
      <c r="O106" s="1334"/>
      <c r="P106" s="1335"/>
      <c r="Q106" s="1334"/>
      <c r="R106" s="1334"/>
      <c r="S106" s="1334"/>
      <c r="T106" s="1347"/>
      <c r="U106" s="1335"/>
      <c r="V106" s="1347"/>
      <c r="W106" s="1335"/>
      <c r="X106" s="1334"/>
      <c r="Y106" s="1334"/>
      <c r="Z106" s="1336"/>
      <c r="AA106" s="1336"/>
      <c r="AB106" s="1337"/>
    </row>
    <row r="107" spans="1:28" ht="15" thickBot="1">
      <c r="A107" s="1261">
        <v>102</v>
      </c>
      <c r="B107" s="2962"/>
      <c r="C107" s="2966"/>
      <c r="D107" s="1273" t="s">
        <v>3514</v>
      </c>
      <c r="E107" s="1342"/>
      <c r="F107" s="1349"/>
      <c r="G107" s="1349"/>
      <c r="H107" s="1349"/>
      <c r="I107" s="1349"/>
      <c r="J107" s="1343"/>
      <c r="K107" s="1343"/>
      <c r="L107" s="1343"/>
      <c r="M107" s="1344">
        <f>SUM(M101:M106)</f>
        <v>0</v>
      </c>
      <c r="N107" s="1344">
        <f>SUM(N101:N106)</f>
        <v>0</v>
      </c>
      <c r="O107" s="1344">
        <f>SUM(O101:O106)</f>
        <v>0</v>
      </c>
      <c r="P107" s="1344">
        <f>SUM(P101:P106)</f>
        <v>0</v>
      </c>
      <c r="Q107" s="1343"/>
      <c r="R107" s="1344">
        <f>SUM(R101:R106)</f>
        <v>0</v>
      </c>
      <c r="S107" s="1340"/>
      <c r="T107" s="1344">
        <f>SUM(T101:T106)</f>
        <v>0</v>
      </c>
      <c r="U107" s="1344">
        <f>SUM(U101:U106)</f>
        <v>0</v>
      </c>
      <c r="V107" s="1344">
        <f>SUM(V101:V106)</f>
        <v>0</v>
      </c>
      <c r="W107" s="1344">
        <f>SUM(W101:W106)</f>
        <v>0</v>
      </c>
      <c r="X107" s="1343"/>
      <c r="Y107" s="1343"/>
      <c r="Z107" s="1343"/>
      <c r="AA107" s="1343"/>
      <c r="AB107" s="1341"/>
    </row>
    <row r="108" spans="1:28" ht="15" thickBot="1">
      <c r="A108" s="1350">
        <v>103</v>
      </c>
      <c r="B108" s="3003" t="s">
        <v>4263</v>
      </c>
      <c r="C108" s="2996"/>
      <c r="D108" s="1351"/>
      <c r="E108" s="1352"/>
      <c r="F108" s="1353"/>
      <c r="G108" s="1353"/>
      <c r="H108" s="1353"/>
      <c r="I108" s="1353"/>
      <c r="J108" s="1354"/>
      <c r="K108" s="1354"/>
      <c r="L108" s="1354"/>
      <c r="M108" s="1355">
        <f>M107+M100+M93+M86+M75+M64+M53+M42+M31+M18</f>
        <v>0</v>
      </c>
      <c r="N108" s="1355">
        <f>N107+N100+N93+N86+N75+N64+N53+N42+N31+N18</f>
        <v>0</v>
      </c>
      <c r="O108" s="1355">
        <f>O107+O100+O93+O86+O75+O64+O53+O42+O31+O18</f>
        <v>0</v>
      </c>
      <c r="P108" s="1355">
        <f>P107+P100+P93+P86+P75+P64+P53+P42+P31+P18</f>
        <v>0</v>
      </c>
      <c r="Q108" s="1354"/>
      <c r="R108" s="1355">
        <f>R107+R100+R93+R86+R75+R64+R53+R42+R31+R18</f>
        <v>0</v>
      </c>
      <c r="S108" s="1340"/>
      <c r="T108" s="1355">
        <f>T107+T100+T93+T86+T75+T64+T53+T42+T31+T18</f>
        <v>0</v>
      </c>
      <c r="U108" s="1355">
        <f>U107+U100+U93+U86+U75+U64+U53+U42+U31+U18</f>
        <v>0</v>
      </c>
      <c r="V108" s="1355">
        <f>V107+V100+V93+V86+V75+V64+V53+V42+V31+V18</f>
        <v>0</v>
      </c>
      <c r="W108" s="1355">
        <f>W107+W100+W93+W86+W75+W64+W53+W42+W31+W18</f>
        <v>0</v>
      </c>
      <c r="X108" s="1354"/>
      <c r="Y108" s="1354"/>
      <c r="Z108" s="1356"/>
      <c r="AA108" s="1356"/>
      <c r="AB108" s="1357"/>
    </row>
    <row r="109" spans="1:28" ht="16.5" customHeight="1">
      <c r="A109" s="1358">
        <v>104</v>
      </c>
      <c r="B109" s="3009" t="s">
        <v>4290</v>
      </c>
      <c r="C109" s="2964" t="s">
        <v>4265</v>
      </c>
      <c r="D109" s="2991" t="s">
        <v>4266</v>
      </c>
      <c r="E109" s="1345"/>
      <c r="F109" s="1327"/>
      <c r="G109" s="1327"/>
      <c r="H109" s="1327"/>
      <c r="I109" s="1327"/>
      <c r="J109" s="1328"/>
      <c r="K109" s="1328"/>
      <c r="L109" s="1328"/>
      <c r="M109" s="1328"/>
      <c r="N109" s="1328"/>
      <c r="O109" s="1328"/>
      <c r="P109" s="1329"/>
      <c r="Q109" s="1328"/>
      <c r="R109" s="1328"/>
      <c r="S109" s="1328"/>
      <c r="T109" s="1330"/>
      <c r="U109" s="1330"/>
      <c r="V109" s="1330"/>
      <c r="W109" s="1330"/>
      <c r="X109" s="1359"/>
      <c r="Y109" s="1360"/>
      <c r="Z109" s="1330"/>
      <c r="AA109" s="1330"/>
      <c r="AB109" s="1331"/>
    </row>
    <row r="110" spans="1:28" ht="16.5" customHeight="1">
      <c r="A110" s="1361">
        <v>105</v>
      </c>
      <c r="B110" s="3010"/>
      <c r="C110" s="2965"/>
      <c r="D110" s="2994"/>
      <c r="E110" s="1332"/>
      <c r="F110" s="1333"/>
      <c r="G110" s="1333"/>
      <c r="H110" s="1333"/>
      <c r="I110" s="1333"/>
      <c r="J110" s="1334"/>
      <c r="K110" s="1334"/>
      <c r="L110" s="1334"/>
      <c r="M110" s="1334"/>
      <c r="N110" s="1334"/>
      <c r="O110" s="1334"/>
      <c r="P110" s="1335"/>
      <c r="Q110" s="1334"/>
      <c r="R110" s="1334"/>
      <c r="S110" s="1334"/>
      <c r="T110" s="1336"/>
      <c r="U110" s="1336"/>
      <c r="V110" s="1336"/>
      <c r="W110" s="1336"/>
      <c r="X110" s="1340"/>
      <c r="Y110" s="1362"/>
      <c r="Z110" s="1336"/>
      <c r="AA110" s="1336"/>
      <c r="AB110" s="1337"/>
    </row>
    <row r="111" spans="1:28" ht="16.5" customHeight="1">
      <c r="A111" s="1361">
        <v>106</v>
      </c>
      <c r="B111" s="3010"/>
      <c r="C111" s="2965"/>
      <c r="D111" s="2994"/>
      <c r="E111" s="1332"/>
      <c r="F111" s="1333"/>
      <c r="G111" s="1333"/>
      <c r="H111" s="1333"/>
      <c r="I111" s="1333"/>
      <c r="J111" s="1334"/>
      <c r="K111" s="1334"/>
      <c r="L111" s="1334"/>
      <c r="M111" s="1334"/>
      <c r="N111" s="1334"/>
      <c r="O111" s="1334"/>
      <c r="P111" s="1335"/>
      <c r="Q111" s="1334"/>
      <c r="R111" s="1334"/>
      <c r="S111" s="1334"/>
      <c r="T111" s="1336"/>
      <c r="U111" s="1336"/>
      <c r="V111" s="1336"/>
      <c r="W111" s="1336"/>
      <c r="X111" s="1340"/>
      <c r="Y111" s="1362"/>
      <c r="Z111" s="1336"/>
      <c r="AA111" s="1336"/>
      <c r="AB111" s="1337"/>
    </row>
    <row r="112" spans="1:28" ht="16.5" customHeight="1">
      <c r="A112" s="1361">
        <v>107</v>
      </c>
      <c r="B112" s="3010"/>
      <c r="C112" s="2965"/>
      <c r="D112" s="2994"/>
      <c r="E112" s="1332"/>
      <c r="F112" s="1333"/>
      <c r="G112" s="1333"/>
      <c r="H112" s="1333"/>
      <c r="I112" s="1333"/>
      <c r="J112" s="1334"/>
      <c r="K112" s="1334"/>
      <c r="L112" s="1334"/>
      <c r="M112" s="1334"/>
      <c r="N112" s="1334"/>
      <c r="O112" s="1334"/>
      <c r="P112" s="1335"/>
      <c r="Q112" s="1334"/>
      <c r="R112" s="1334"/>
      <c r="S112" s="1334"/>
      <c r="T112" s="1336"/>
      <c r="U112" s="1336"/>
      <c r="V112" s="1336"/>
      <c r="W112" s="1336"/>
      <c r="X112" s="1340"/>
      <c r="Y112" s="1362"/>
      <c r="Z112" s="1336"/>
      <c r="AA112" s="1336"/>
      <c r="AB112" s="1337"/>
    </row>
    <row r="113" spans="1:28" ht="16.5" customHeight="1">
      <c r="A113" s="1361">
        <v>108</v>
      </c>
      <c r="B113" s="3010"/>
      <c r="C113" s="2965"/>
      <c r="D113" s="2994"/>
      <c r="E113" s="1332"/>
      <c r="F113" s="1333"/>
      <c r="G113" s="1333"/>
      <c r="H113" s="1333"/>
      <c r="I113" s="1333"/>
      <c r="J113" s="1334"/>
      <c r="K113" s="1334"/>
      <c r="L113" s="1334"/>
      <c r="M113" s="1334"/>
      <c r="N113" s="1334"/>
      <c r="O113" s="1334"/>
      <c r="P113" s="1335"/>
      <c r="Q113" s="1334"/>
      <c r="R113" s="1334"/>
      <c r="S113" s="1334"/>
      <c r="T113" s="1336"/>
      <c r="U113" s="1336"/>
      <c r="V113" s="1336"/>
      <c r="W113" s="1336"/>
      <c r="X113" s="1340"/>
      <c r="Y113" s="1362"/>
      <c r="Z113" s="1336"/>
      <c r="AA113" s="1336"/>
      <c r="AB113" s="1337"/>
    </row>
    <row r="114" spans="1:28" ht="16.5" customHeight="1">
      <c r="A114" s="1361">
        <v>109</v>
      </c>
      <c r="B114" s="3010"/>
      <c r="C114" s="2965"/>
      <c r="D114" s="2994"/>
      <c r="E114" s="1332"/>
      <c r="F114" s="1333"/>
      <c r="G114" s="1333"/>
      <c r="H114" s="1333"/>
      <c r="I114" s="1333"/>
      <c r="J114" s="1334"/>
      <c r="K114" s="1334"/>
      <c r="L114" s="1334"/>
      <c r="M114" s="1334"/>
      <c r="N114" s="1334"/>
      <c r="O114" s="1334"/>
      <c r="P114" s="1335"/>
      <c r="Q114" s="1334"/>
      <c r="R114" s="1334"/>
      <c r="S114" s="1334"/>
      <c r="T114" s="1336"/>
      <c r="U114" s="1336"/>
      <c r="V114" s="1336"/>
      <c r="W114" s="1336"/>
      <c r="X114" s="1340"/>
      <c r="Y114" s="1362"/>
      <c r="Z114" s="1336"/>
      <c r="AA114" s="1336"/>
      <c r="AB114" s="1337"/>
    </row>
    <row r="115" spans="1:28" ht="16.5" customHeight="1">
      <c r="A115" s="1361">
        <v>110</v>
      </c>
      <c r="B115" s="3010"/>
      <c r="C115" s="2965"/>
      <c r="D115" s="1297" t="s">
        <v>3514</v>
      </c>
      <c r="E115" s="1340"/>
      <c r="F115" s="1340"/>
      <c r="G115" s="1340"/>
      <c r="H115" s="1340"/>
      <c r="I115" s="1340"/>
      <c r="J115" s="1340"/>
      <c r="K115" s="1340"/>
      <c r="L115" s="1340"/>
      <c r="M115" s="1334">
        <f>SUM(M109:M114)</f>
        <v>0</v>
      </c>
      <c r="N115" s="1334">
        <f>SUM(N109:N114)</f>
        <v>0</v>
      </c>
      <c r="O115" s="1334">
        <f>SUM(O109:O114)</f>
        <v>0</v>
      </c>
      <c r="P115" s="1334">
        <f>SUM(P109:P114)</f>
        <v>0</v>
      </c>
      <c r="Q115" s="1340"/>
      <c r="R115" s="1334">
        <f>SUM(R109:R114)</f>
        <v>0</v>
      </c>
      <c r="S115" s="1340"/>
      <c r="T115" s="1334">
        <f>SUM(T109:T114)</f>
        <v>0</v>
      </c>
      <c r="U115" s="1334">
        <f>SUM(U109:U114)</f>
        <v>0</v>
      </c>
      <c r="V115" s="1334">
        <f>SUM(V109:V114)</f>
        <v>0</v>
      </c>
      <c r="W115" s="1334">
        <f>SUM(W109:W114)</f>
        <v>0</v>
      </c>
      <c r="X115" s="1340"/>
      <c r="Y115" s="1362"/>
      <c r="Z115" s="1362"/>
      <c r="AA115" s="1362"/>
      <c r="AB115" s="1341"/>
    </row>
    <row r="116" spans="1:28" ht="16.5" customHeight="1">
      <c r="A116" s="1361">
        <v>111</v>
      </c>
      <c r="B116" s="3010"/>
      <c r="C116" s="2965"/>
      <c r="D116" s="2994" t="s">
        <v>4267</v>
      </c>
      <c r="E116" s="1332"/>
      <c r="F116" s="1333"/>
      <c r="G116" s="1333"/>
      <c r="H116" s="1333"/>
      <c r="I116" s="1333"/>
      <c r="J116" s="1334"/>
      <c r="K116" s="1334"/>
      <c r="L116" s="1334"/>
      <c r="M116" s="1334"/>
      <c r="N116" s="1334"/>
      <c r="O116" s="1334"/>
      <c r="P116" s="1335"/>
      <c r="Q116" s="1334"/>
      <c r="R116" s="1334"/>
      <c r="S116" s="1334"/>
      <c r="T116" s="1336"/>
      <c r="U116" s="1336"/>
      <c r="V116" s="1336"/>
      <c r="W116" s="1336"/>
      <c r="X116" s="1340"/>
      <c r="Y116" s="1362"/>
      <c r="Z116" s="1336"/>
      <c r="AA116" s="1336"/>
      <c r="AB116" s="1337"/>
    </row>
    <row r="117" spans="1:28" ht="16.5" customHeight="1">
      <c r="A117" s="1361">
        <v>112</v>
      </c>
      <c r="B117" s="3010"/>
      <c r="C117" s="2965"/>
      <c r="D117" s="2994"/>
      <c r="E117" s="1332"/>
      <c r="F117" s="1333"/>
      <c r="G117" s="1333"/>
      <c r="H117" s="1333"/>
      <c r="I117" s="1333"/>
      <c r="J117" s="1334"/>
      <c r="K117" s="1334"/>
      <c r="L117" s="1334"/>
      <c r="M117" s="1334"/>
      <c r="N117" s="1334"/>
      <c r="O117" s="1334"/>
      <c r="P117" s="1335"/>
      <c r="Q117" s="1334"/>
      <c r="R117" s="1334"/>
      <c r="S117" s="1334"/>
      <c r="T117" s="1336"/>
      <c r="U117" s="1336"/>
      <c r="V117" s="1336"/>
      <c r="W117" s="1336"/>
      <c r="X117" s="1340"/>
      <c r="Y117" s="1362"/>
      <c r="Z117" s="1336"/>
      <c r="AA117" s="1336"/>
      <c r="AB117" s="1337"/>
    </row>
    <row r="118" spans="1:28" ht="16.5" customHeight="1">
      <c r="A118" s="1361">
        <v>113</v>
      </c>
      <c r="B118" s="3010"/>
      <c r="C118" s="2965"/>
      <c r="D118" s="2994"/>
      <c r="E118" s="1332"/>
      <c r="F118" s="1333"/>
      <c r="G118" s="1333"/>
      <c r="H118" s="1333"/>
      <c r="I118" s="1333"/>
      <c r="J118" s="1334"/>
      <c r="K118" s="1334"/>
      <c r="L118" s="1334"/>
      <c r="M118" s="1334"/>
      <c r="N118" s="1334"/>
      <c r="O118" s="1334"/>
      <c r="P118" s="1335"/>
      <c r="Q118" s="1334"/>
      <c r="R118" s="1334"/>
      <c r="S118" s="1334"/>
      <c r="T118" s="1336"/>
      <c r="U118" s="1336"/>
      <c r="V118" s="1336"/>
      <c r="W118" s="1336"/>
      <c r="X118" s="1340"/>
      <c r="Y118" s="1362"/>
      <c r="Z118" s="1336"/>
      <c r="AA118" s="1336"/>
      <c r="AB118" s="1337"/>
    </row>
    <row r="119" spans="1:28" ht="16.5" customHeight="1">
      <c r="A119" s="1361">
        <v>114</v>
      </c>
      <c r="B119" s="3010"/>
      <c r="C119" s="2965"/>
      <c r="D119" s="2994"/>
      <c r="E119" s="1332"/>
      <c r="F119" s="1333"/>
      <c r="G119" s="1333"/>
      <c r="H119" s="1333"/>
      <c r="I119" s="1333"/>
      <c r="J119" s="1334"/>
      <c r="K119" s="1334"/>
      <c r="L119" s="1334"/>
      <c r="M119" s="1334"/>
      <c r="N119" s="1334"/>
      <c r="O119" s="1334"/>
      <c r="P119" s="1335"/>
      <c r="Q119" s="1334"/>
      <c r="R119" s="1334"/>
      <c r="S119" s="1334"/>
      <c r="T119" s="1336"/>
      <c r="U119" s="1336"/>
      <c r="V119" s="1336"/>
      <c r="W119" s="1336"/>
      <c r="X119" s="1340"/>
      <c r="Y119" s="1362"/>
      <c r="Z119" s="1336"/>
      <c r="AA119" s="1336"/>
      <c r="AB119" s="1337"/>
    </row>
    <row r="120" spans="1:28">
      <c r="A120" s="1361">
        <v>115</v>
      </c>
      <c r="B120" s="3010"/>
      <c r="C120" s="2965"/>
      <c r="D120" s="2994"/>
      <c r="E120" s="1332"/>
      <c r="F120" s="1333"/>
      <c r="G120" s="1333"/>
      <c r="H120" s="1333"/>
      <c r="I120" s="1333"/>
      <c r="J120" s="1334"/>
      <c r="K120" s="1334"/>
      <c r="L120" s="1334"/>
      <c r="M120" s="1334"/>
      <c r="N120" s="1334"/>
      <c r="O120" s="1334"/>
      <c r="P120" s="1335"/>
      <c r="Q120" s="1334"/>
      <c r="R120" s="1334"/>
      <c r="S120" s="1334"/>
      <c r="T120" s="1336"/>
      <c r="U120" s="1336"/>
      <c r="V120" s="1336"/>
      <c r="W120" s="1336"/>
      <c r="X120" s="1340"/>
      <c r="Y120" s="1362"/>
      <c r="Z120" s="1336"/>
      <c r="AA120" s="1336"/>
      <c r="AB120" s="1337"/>
    </row>
    <row r="121" spans="1:28">
      <c r="A121" s="1361">
        <v>116</v>
      </c>
      <c r="B121" s="3010"/>
      <c r="C121" s="2965"/>
      <c r="D121" s="2994"/>
      <c r="E121" s="1332"/>
      <c r="F121" s="1333"/>
      <c r="G121" s="1333"/>
      <c r="H121" s="1333"/>
      <c r="I121" s="1333"/>
      <c r="J121" s="1334"/>
      <c r="K121" s="1334"/>
      <c r="L121" s="1334"/>
      <c r="M121" s="1334"/>
      <c r="N121" s="1334"/>
      <c r="O121" s="1334"/>
      <c r="P121" s="1335"/>
      <c r="Q121" s="1334"/>
      <c r="R121" s="1334"/>
      <c r="S121" s="1334"/>
      <c r="T121" s="1336"/>
      <c r="U121" s="1336"/>
      <c r="V121" s="1336"/>
      <c r="W121" s="1336"/>
      <c r="X121" s="1340"/>
      <c r="Y121" s="1362"/>
      <c r="Z121" s="1336"/>
      <c r="AA121" s="1336"/>
      <c r="AB121" s="1337"/>
    </row>
    <row r="122" spans="1:28" ht="15" thickBot="1">
      <c r="A122" s="1361">
        <v>117</v>
      </c>
      <c r="B122" s="3010"/>
      <c r="C122" s="2966"/>
      <c r="D122" s="1363" t="s">
        <v>3514</v>
      </c>
      <c r="E122" s="1343"/>
      <c r="F122" s="1343"/>
      <c r="G122" s="1343"/>
      <c r="H122" s="1343"/>
      <c r="I122" s="1343"/>
      <c r="J122" s="1343"/>
      <c r="K122" s="1343"/>
      <c r="L122" s="1343"/>
      <c r="M122" s="1344">
        <f>SUM(M116:M121)</f>
        <v>0</v>
      </c>
      <c r="N122" s="1344">
        <f>SUM(N116:N121)</f>
        <v>0</v>
      </c>
      <c r="O122" s="1344">
        <f>SUM(O116:O121)</f>
        <v>0</v>
      </c>
      <c r="P122" s="1344">
        <f>SUM(P116:P121)</f>
        <v>0</v>
      </c>
      <c r="Q122" s="1343"/>
      <c r="R122" s="1344">
        <f>SUM(R116:R121)</f>
        <v>0</v>
      </c>
      <c r="S122" s="1340"/>
      <c r="T122" s="1344">
        <f>SUM(T116:T121)</f>
        <v>0</v>
      </c>
      <c r="U122" s="1344">
        <f>SUM(U116:U121)</f>
        <v>0</v>
      </c>
      <c r="V122" s="1344">
        <f>SUM(V116:V121)</f>
        <v>0</v>
      </c>
      <c r="W122" s="1344">
        <f>SUM(W116:W121)</f>
        <v>0</v>
      </c>
      <c r="X122" s="1343"/>
      <c r="Y122" s="1364"/>
      <c r="Z122" s="1364"/>
      <c r="AA122" s="1364"/>
      <c r="AB122" s="1341"/>
    </row>
    <row r="123" spans="1:28" ht="16.5" customHeight="1">
      <c r="A123" s="1361">
        <v>118</v>
      </c>
      <c r="B123" s="3010"/>
      <c r="C123" s="2988" t="s">
        <v>4260</v>
      </c>
      <c r="D123" s="2991" t="s">
        <v>4268</v>
      </c>
      <c r="E123" s="1345"/>
      <c r="F123" s="1327"/>
      <c r="G123" s="1327"/>
      <c r="H123" s="1327"/>
      <c r="I123" s="1327"/>
      <c r="J123" s="1328"/>
      <c r="K123" s="1328"/>
      <c r="L123" s="1328"/>
      <c r="M123" s="1328"/>
      <c r="N123" s="1328"/>
      <c r="O123" s="1328"/>
      <c r="P123" s="1329"/>
      <c r="Q123" s="1328"/>
      <c r="R123" s="1328"/>
      <c r="S123" s="1328"/>
      <c r="T123" s="1330"/>
      <c r="U123" s="1330"/>
      <c r="V123" s="1330"/>
      <c r="W123" s="1330"/>
      <c r="X123" s="1365"/>
      <c r="Y123" s="1360"/>
      <c r="Z123" s="1330"/>
      <c r="AA123" s="1330"/>
      <c r="AB123" s="1346"/>
    </row>
    <row r="124" spans="1:28">
      <c r="A124" s="1361">
        <v>119</v>
      </c>
      <c r="B124" s="3010"/>
      <c r="C124" s="2989"/>
      <c r="D124" s="2992"/>
      <c r="E124" s="1332"/>
      <c r="F124" s="1333"/>
      <c r="G124" s="1333"/>
      <c r="H124" s="1333"/>
      <c r="I124" s="1333"/>
      <c r="J124" s="1334"/>
      <c r="K124" s="1334"/>
      <c r="L124" s="1334"/>
      <c r="M124" s="1334"/>
      <c r="N124" s="1334"/>
      <c r="O124" s="1334"/>
      <c r="P124" s="1335"/>
      <c r="Q124" s="1335"/>
      <c r="R124" s="1334"/>
      <c r="S124" s="1335"/>
      <c r="T124" s="1336"/>
      <c r="U124" s="1336"/>
      <c r="V124" s="1336"/>
      <c r="W124" s="1336"/>
      <c r="X124" s="1340"/>
      <c r="Y124" s="1366"/>
      <c r="Z124" s="1336"/>
      <c r="AA124" s="1336"/>
      <c r="AB124" s="1337"/>
    </row>
    <row r="125" spans="1:28">
      <c r="A125" s="1361">
        <v>120</v>
      </c>
      <c r="B125" s="3010"/>
      <c r="C125" s="2989"/>
      <c r="D125" s="2992"/>
      <c r="E125" s="1332"/>
      <c r="F125" s="1333"/>
      <c r="G125" s="1333"/>
      <c r="H125" s="1333"/>
      <c r="I125" s="1333"/>
      <c r="J125" s="1334"/>
      <c r="K125" s="1334"/>
      <c r="L125" s="1334"/>
      <c r="M125" s="1334"/>
      <c r="N125" s="1334"/>
      <c r="O125" s="1334"/>
      <c r="P125" s="1335"/>
      <c r="Q125" s="1335"/>
      <c r="R125" s="1334"/>
      <c r="S125" s="1335"/>
      <c r="T125" s="1336"/>
      <c r="U125" s="1336"/>
      <c r="V125" s="1336"/>
      <c r="W125" s="1336"/>
      <c r="X125" s="1340"/>
      <c r="Y125" s="1366"/>
      <c r="Z125" s="1336"/>
      <c r="AA125" s="1336"/>
      <c r="AB125" s="1337"/>
    </row>
    <row r="126" spans="1:28">
      <c r="A126" s="1361">
        <v>121</v>
      </c>
      <c r="B126" s="3010"/>
      <c r="C126" s="2989"/>
      <c r="D126" s="2992"/>
      <c r="E126" s="1332"/>
      <c r="F126" s="1333"/>
      <c r="G126" s="1333"/>
      <c r="H126" s="1333"/>
      <c r="I126" s="1333"/>
      <c r="J126" s="1334"/>
      <c r="K126" s="1334"/>
      <c r="L126" s="1334"/>
      <c r="M126" s="1334"/>
      <c r="N126" s="1334"/>
      <c r="O126" s="1334"/>
      <c r="P126" s="1335"/>
      <c r="Q126" s="1335"/>
      <c r="R126" s="1334"/>
      <c r="S126" s="1335"/>
      <c r="T126" s="1336"/>
      <c r="U126" s="1336"/>
      <c r="V126" s="1336"/>
      <c r="W126" s="1336"/>
      <c r="X126" s="1340"/>
      <c r="Y126" s="1366"/>
      <c r="Z126" s="1336"/>
      <c r="AA126" s="1336"/>
      <c r="AB126" s="1337"/>
    </row>
    <row r="127" spans="1:28">
      <c r="A127" s="1361">
        <v>122</v>
      </c>
      <c r="B127" s="3010"/>
      <c r="C127" s="2989"/>
      <c r="D127" s="2992"/>
      <c r="E127" s="1332"/>
      <c r="F127" s="1333"/>
      <c r="G127" s="1333"/>
      <c r="H127" s="1333"/>
      <c r="I127" s="1333"/>
      <c r="J127" s="1334"/>
      <c r="K127" s="1334"/>
      <c r="L127" s="1334"/>
      <c r="M127" s="1334"/>
      <c r="N127" s="1334"/>
      <c r="O127" s="1334"/>
      <c r="P127" s="1335"/>
      <c r="Q127" s="1335"/>
      <c r="R127" s="1334"/>
      <c r="S127" s="1335"/>
      <c r="T127" s="1336"/>
      <c r="U127" s="1336"/>
      <c r="V127" s="1336"/>
      <c r="W127" s="1336"/>
      <c r="X127" s="1340"/>
      <c r="Y127" s="1366"/>
      <c r="Z127" s="1336"/>
      <c r="AA127" s="1336"/>
      <c r="AB127" s="1337"/>
    </row>
    <row r="128" spans="1:28">
      <c r="A128" s="1361">
        <v>123</v>
      </c>
      <c r="B128" s="3010"/>
      <c r="C128" s="2989"/>
      <c r="D128" s="2992"/>
      <c r="E128" s="1332"/>
      <c r="F128" s="1333"/>
      <c r="G128" s="1333"/>
      <c r="H128" s="1333"/>
      <c r="I128" s="1333"/>
      <c r="J128" s="1334"/>
      <c r="K128" s="1334"/>
      <c r="L128" s="1334"/>
      <c r="M128" s="1334"/>
      <c r="N128" s="1334"/>
      <c r="O128" s="1334"/>
      <c r="P128" s="1335"/>
      <c r="Q128" s="1335"/>
      <c r="R128" s="1334"/>
      <c r="S128" s="1335"/>
      <c r="T128" s="1336"/>
      <c r="U128" s="1336"/>
      <c r="V128" s="1336"/>
      <c r="W128" s="1336"/>
      <c r="X128" s="1340"/>
      <c r="Y128" s="1366"/>
      <c r="Z128" s="1336"/>
      <c r="AA128" s="1336"/>
      <c r="AB128" s="1337"/>
    </row>
    <row r="129" spans="1:28" ht="14.25">
      <c r="A129" s="1361">
        <v>124</v>
      </c>
      <c r="B129" s="3010"/>
      <c r="C129" s="2989"/>
      <c r="D129" s="1297" t="s">
        <v>3514</v>
      </c>
      <c r="E129" s="1340"/>
      <c r="F129" s="1340"/>
      <c r="G129" s="1340"/>
      <c r="H129" s="1340"/>
      <c r="I129" s="1340"/>
      <c r="J129" s="1340"/>
      <c r="K129" s="1340"/>
      <c r="L129" s="1340"/>
      <c r="M129" s="1334">
        <f>SUM(M123:M128)</f>
        <v>0</v>
      </c>
      <c r="N129" s="1334">
        <f>SUM(N123:N128)</f>
        <v>0</v>
      </c>
      <c r="O129" s="1334">
        <f>SUM(O123:O128)</f>
        <v>0</v>
      </c>
      <c r="P129" s="1334">
        <f>SUM(P123:P128)</f>
        <v>0</v>
      </c>
      <c r="Q129" s="1340"/>
      <c r="R129" s="1334">
        <f>SUM(R123:R128)</f>
        <v>0</v>
      </c>
      <c r="S129" s="1340"/>
      <c r="T129" s="1334">
        <f>SUM(T123:T128)</f>
        <v>0</v>
      </c>
      <c r="U129" s="1334">
        <f>SUM(U123:U128)</f>
        <v>0</v>
      </c>
      <c r="V129" s="1334">
        <f>SUM(V123:V128)</f>
        <v>0</v>
      </c>
      <c r="W129" s="1334">
        <f>SUM(W123:W128)</f>
        <v>0</v>
      </c>
      <c r="X129" s="1340"/>
      <c r="Y129" s="1366"/>
      <c r="Z129" s="1366"/>
      <c r="AA129" s="1366"/>
      <c r="AB129" s="1341"/>
    </row>
    <row r="130" spans="1:28" ht="17.649999999999999" customHeight="1">
      <c r="A130" s="1361">
        <v>125</v>
      </c>
      <c r="B130" s="3010"/>
      <c r="C130" s="2989"/>
      <c r="D130" s="2948" t="s">
        <v>4266</v>
      </c>
      <c r="E130" s="1332"/>
      <c r="F130" s="1333"/>
      <c r="G130" s="1333"/>
      <c r="H130" s="1333"/>
      <c r="I130" s="1333"/>
      <c r="J130" s="1334"/>
      <c r="K130" s="1334"/>
      <c r="L130" s="1334"/>
      <c r="M130" s="1334"/>
      <c r="N130" s="1334"/>
      <c r="O130" s="1334"/>
      <c r="P130" s="1335"/>
      <c r="Q130" s="1335"/>
      <c r="R130" s="1334"/>
      <c r="S130" s="1335"/>
      <c r="T130" s="1336"/>
      <c r="U130" s="1336"/>
      <c r="V130" s="1336"/>
      <c r="W130" s="1336"/>
      <c r="X130" s="1340"/>
      <c r="Y130" s="1366"/>
      <c r="Z130" s="1336"/>
      <c r="AA130" s="1336"/>
      <c r="AB130" s="1337"/>
    </row>
    <row r="131" spans="1:28">
      <c r="A131" s="1361">
        <v>126</v>
      </c>
      <c r="B131" s="3010"/>
      <c r="C131" s="2989"/>
      <c r="D131" s="2948"/>
      <c r="E131" s="1332"/>
      <c r="F131" s="1333"/>
      <c r="G131" s="1333"/>
      <c r="H131" s="1333"/>
      <c r="I131" s="1333"/>
      <c r="J131" s="1334"/>
      <c r="K131" s="1334"/>
      <c r="L131" s="1334"/>
      <c r="M131" s="1334"/>
      <c r="N131" s="1334"/>
      <c r="O131" s="1334"/>
      <c r="P131" s="1335"/>
      <c r="Q131" s="1335"/>
      <c r="R131" s="1334"/>
      <c r="S131" s="1335"/>
      <c r="T131" s="1336"/>
      <c r="U131" s="1336"/>
      <c r="V131" s="1336"/>
      <c r="W131" s="1336"/>
      <c r="X131" s="1340"/>
      <c r="Y131" s="1366"/>
      <c r="Z131" s="1336"/>
      <c r="AA131" s="1336"/>
      <c r="AB131" s="1337"/>
    </row>
    <row r="132" spans="1:28">
      <c r="A132" s="1361">
        <v>127</v>
      </c>
      <c r="B132" s="3010"/>
      <c r="C132" s="2989"/>
      <c r="D132" s="2948"/>
      <c r="E132" s="1332"/>
      <c r="F132" s="1333"/>
      <c r="G132" s="1333"/>
      <c r="H132" s="1333"/>
      <c r="I132" s="1333"/>
      <c r="J132" s="1334"/>
      <c r="K132" s="1334"/>
      <c r="L132" s="1334"/>
      <c r="M132" s="1334"/>
      <c r="N132" s="1334"/>
      <c r="O132" s="1334"/>
      <c r="P132" s="1335"/>
      <c r="Q132" s="1335"/>
      <c r="R132" s="1334"/>
      <c r="S132" s="1335"/>
      <c r="T132" s="1336"/>
      <c r="U132" s="1336"/>
      <c r="V132" s="1336"/>
      <c r="W132" s="1336"/>
      <c r="X132" s="1340"/>
      <c r="Y132" s="1366"/>
      <c r="Z132" s="1336"/>
      <c r="AA132" s="1336"/>
      <c r="AB132" s="1337"/>
    </row>
    <row r="133" spans="1:28">
      <c r="A133" s="1361">
        <v>128</v>
      </c>
      <c r="B133" s="3010"/>
      <c r="C133" s="2989"/>
      <c r="D133" s="2948"/>
      <c r="E133" s="1332"/>
      <c r="F133" s="1333"/>
      <c r="G133" s="1333"/>
      <c r="H133" s="1333"/>
      <c r="I133" s="1333"/>
      <c r="J133" s="1334"/>
      <c r="K133" s="1334"/>
      <c r="L133" s="1334"/>
      <c r="M133" s="1334"/>
      <c r="N133" s="1334"/>
      <c r="O133" s="1334"/>
      <c r="P133" s="1335"/>
      <c r="Q133" s="1335"/>
      <c r="R133" s="1334"/>
      <c r="S133" s="1335"/>
      <c r="T133" s="1336"/>
      <c r="U133" s="1336"/>
      <c r="V133" s="1336"/>
      <c r="W133" s="1336"/>
      <c r="X133" s="1340"/>
      <c r="Y133" s="1366"/>
      <c r="Z133" s="1336"/>
      <c r="AA133" s="1336"/>
      <c r="AB133" s="1337"/>
    </row>
    <row r="134" spans="1:28">
      <c r="A134" s="1361">
        <v>129</v>
      </c>
      <c r="B134" s="3010"/>
      <c r="C134" s="2989"/>
      <c r="D134" s="2948"/>
      <c r="E134" s="1332"/>
      <c r="F134" s="1333"/>
      <c r="G134" s="1333"/>
      <c r="H134" s="1333"/>
      <c r="I134" s="1333"/>
      <c r="J134" s="1334"/>
      <c r="K134" s="1334"/>
      <c r="L134" s="1334"/>
      <c r="M134" s="1334"/>
      <c r="N134" s="1334"/>
      <c r="O134" s="1334"/>
      <c r="P134" s="1335"/>
      <c r="Q134" s="1335"/>
      <c r="R134" s="1334"/>
      <c r="S134" s="1335"/>
      <c r="T134" s="1336"/>
      <c r="U134" s="1336"/>
      <c r="V134" s="1336"/>
      <c r="W134" s="1336"/>
      <c r="X134" s="1340"/>
      <c r="Y134" s="1366"/>
      <c r="Z134" s="1336"/>
      <c r="AA134" s="1336"/>
      <c r="AB134" s="1337"/>
    </row>
    <row r="135" spans="1:28">
      <c r="A135" s="1361">
        <v>130</v>
      </c>
      <c r="B135" s="3010"/>
      <c r="C135" s="2989"/>
      <c r="D135" s="2948"/>
      <c r="E135" s="1332"/>
      <c r="F135" s="1333"/>
      <c r="G135" s="1333"/>
      <c r="H135" s="1333"/>
      <c r="I135" s="1333"/>
      <c r="J135" s="1334"/>
      <c r="K135" s="1334"/>
      <c r="L135" s="1334"/>
      <c r="M135" s="1334"/>
      <c r="N135" s="1334"/>
      <c r="O135" s="1334"/>
      <c r="P135" s="1335"/>
      <c r="Q135" s="1335"/>
      <c r="R135" s="1334"/>
      <c r="S135" s="1335"/>
      <c r="T135" s="1336"/>
      <c r="U135" s="1336"/>
      <c r="V135" s="1336"/>
      <c r="W135" s="1336"/>
      <c r="X135" s="1340"/>
      <c r="Y135" s="1366"/>
      <c r="Z135" s="1336"/>
      <c r="AA135" s="1336"/>
      <c r="AB135" s="1337"/>
    </row>
    <row r="136" spans="1:28" ht="14.25">
      <c r="A136" s="1361">
        <v>131</v>
      </c>
      <c r="B136" s="3010"/>
      <c r="C136" s="2989"/>
      <c r="D136" s="1297" t="s">
        <v>3514</v>
      </c>
      <c r="E136" s="1340"/>
      <c r="F136" s="1340"/>
      <c r="G136" s="1340"/>
      <c r="H136" s="1340"/>
      <c r="I136" s="1340"/>
      <c r="J136" s="1340"/>
      <c r="K136" s="1340"/>
      <c r="L136" s="1340"/>
      <c r="M136" s="1334">
        <f>SUM(M130:M135)</f>
        <v>0</v>
      </c>
      <c r="N136" s="1334">
        <f>SUM(N130:N135)</f>
        <v>0</v>
      </c>
      <c r="O136" s="1334">
        <f>SUM(O130:O135)</f>
        <v>0</v>
      </c>
      <c r="P136" s="1334">
        <f>SUM(P130:P135)</f>
        <v>0</v>
      </c>
      <c r="Q136" s="1340"/>
      <c r="R136" s="1334">
        <f>SUM(R130:R135)</f>
        <v>0</v>
      </c>
      <c r="S136" s="1340"/>
      <c r="T136" s="1334">
        <f>SUM(T130:T135)</f>
        <v>0</v>
      </c>
      <c r="U136" s="1334">
        <f>SUM(U130:U135)</f>
        <v>0</v>
      </c>
      <c r="V136" s="1334">
        <f>SUM(V130:V135)</f>
        <v>0</v>
      </c>
      <c r="W136" s="1334">
        <f>SUM(W130:W135)</f>
        <v>0</v>
      </c>
      <c r="X136" s="1340"/>
      <c r="Y136" s="1366"/>
      <c r="Z136" s="1366"/>
      <c r="AA136" s="1366"/>
      <c r="AB136" s="1341"/>
    </row>
    <row r="137" spans="1:28" ht="16.5" customHeight="1">
      <c r="A137" s="1361">
        <v>132</v>
      </c>
      <c r="B137" s="3010"/>
      <c r="C137" s="2989"/>
      <c r="D137" s="2948" t="s">
        <v>4267</v>
      </c>
      <c r="E137" s="1332"/>
      <c r="F137" s="1333"/>
      <c r="G137" s="1333"/>
      <c r="H137" s="1333"/>
      <c r="I137" s="1333"/>
      <c r="J137" s="1334"/>
      <c r="K137" s="1334"/>
      <c r="L137" s="1334"/>
      <c r="M137" s="1334"/>
      <c r="N137" s="1334"/>
      <c r="O137" s="1334"/>
      <c r="P137" s="1335"/>
      <c r="Q137" s="1335"/>
      <c r="R137" s="1334"/>
      <c r="S137" s="1335"/>
      <c r="T137" s="1336"/>
      <c r="U137" s="1336"/>
      <c r="V137" s="1336"/>
      <c r="W137" s="1336"/>
      <c r="X137" s="1340"/>
      <c r="Y137" s="1366"/>
      <c r="Z137" s="1336"/>
      <c r="AA137" s="1336"/>
      <c r="AB137" s="1337"/>
    </row>
    <row r="138" spans="1:28" ht="15.75" customHeight="1">
      <c r="A138" s="1361">
        <v>133</v>
      </c>
      <c r="B138" s="3010"/>
      <c r="C138" s="2989"/>
      <c r="D138" s="2948"/>
      <c r="E138" s="1332"/>
      <c r="F138" s="1333"/>
      <c r="G138" s="1333"/>
      <c r="H138" s="1333"/>
      <c r="I138" s="1333"/>
      <c r="J138" s="1334"/>
      <c r="K138" s="1334"/>
      <c r="L138" s="1334"/>
      <c r="M138" s="1334"/>
      <c r="N138" s="1334"/>
      <c r="O138" s="1334"/>
      <c r="P138" s="1335"/>
      <c r="Q138" s="1334"/>
      <c r="R138" s="1334"/>
      <c r="S138" s="1334"/>
      <c r="T138" s="1336"/>
      <c r="U138" s="1336"/>
      <c r="V138" s="1336"/>
      <c r="W138" s="1336"/>
      <c r="X138" s="1340"/>
      <c r="Y138" s="1362"/>
      <c r="Z138" s="1336"/>
      <c r="AA138" s="1336"/>
      <c r="AB138" s="1337"/>
    </row>
    <row r="139" spans="1:28" ht="15.75" customHeight="1">
      <c r="A139" s="1361">
        <v>134</v>
      </c>
      <c r="B139" s="3010"/>
      <c r="C139" s="2989"/>
      <c r="D139" s="2948"/>
      <c r="E139" s="1332"/>
      <c r="F139" s="1333"/>
      <c r="G139" s="1333"/>
      <c r="H139" s="1333"/>
      <c r="I139" s="1333"/>
      <c r="J139" s="1334"/>
      <c r="K139" s="1334"/>
      <c r="L139" s="1334"/>
      <c r="M139" s="1334"/>
      <c r="N139" s="1334"/>
      <c r="O139" s="1334"/>
      <c r="P139" s="1335"/>
      <c r="Q139" s="1334"/>
      <c r="R139" s="1334"/>
      <c r="S139" s="1334"/>
      <c r="T139" s="1336"/>
      <c r="U139" s="1336"/>
      <c r="V139" s="1336"/>
      <c r="W139" s="1336"/>
      <c r="X139" s="1340"/>
      <c r="Y139" s="1362"/>
      <c r="Z139" s="1336"/>
      <c r="AA139" s="1336"/>
      <c r="AB139" s="1337"/>
    </row>
    <row r="140" spans="1:28" ht="16.5" customHeight="1">
      <c r="A140" s="1361">
        <v>135</v>
      </c>
      <c r="B140" s="3010"/>
      <c r="C140" s="2989"/>
      <c r="D140" s="2948"/>
      <c r="E140" s="1332"/>
      <c r="F140" s="1333"/>
      <c r="G140" s="1333"/>
      <c r="H140" s="1333"/>
      <c r="I140" s="1333"/>
      <c r="J140" s="1334"/>
      <c r="K140" s="1334"/>
      <c r="L140" s="1334"/>
      <c r="M140" s="1334"/>
      <c r="N140" s="1334"/>
      <c r="O140" s="1334"/>
      <c r="P140" s="1335"/>
      <c r="Q140" s="1334"/>
      <c r="R140" s="1334"/>
      <c r="S140" s="1334"/>
      <c r="T140" s="1336"/>
      <c r="U140" s="1336"/>
      <c r="V140" s="1336"/>
      <c r="W140" s="1336"/>
      <c r="X140" s="1340"/>
      <c r="Y140" s="1362"/>
      <c r="Z140" s="1336"/>
      <c r="AA140" s="1336"/>
      <c r="AB140" s="1337"/>
    </row>
    <row r="141" spans="1:28">
      <c r="A141" s="1361">
        <v>136</v>
      </c>
      <c r="B141" s="3010"/>
      <c r="C141" s="2989"/>
      <c r="D141" s="2948"/>
      <c r="E141" s="1332"/>
      <c r="F141" s="1333"/>
      <c r="G141" s="1333"/>
      <c r="H141" s="1333"/>
      <c r="I141" s="1333"/>
      <c r="J141" s="1334"/>
      <c r="K141" s="1334"/>
      <c r="L141" s="1334"/>
      <c r="M141" s="1334"/>
      <c r="N141" s="1334"/>
      <c r="O141" s="1334"/>
      <c r="P141" s="1335"/>
      <c r="Q141" s="1334"/>
      <c r="R141" s="1334"/>
      <c r="S141" s="1334"/>
      <c r="T141" s="1336"/>
      <c r="U141" s="1336"/>
      <c r="V141" s="1336"/>
      <c r="W141" s="1336"/>
      <c r="X141" s="1340"/>
      <c r="Y141" s="1362"/>
      <c r="Z141" s="1336"/>
      <c r="AA141" s="1336"/>
      <c r="AB141" s="1337"/>
    </row>
    <row r="142" spans="1:28">
      <c r="A142" s="1361">
        <v>137</v>
      </c>
      <c r="B142" s="3010"/>
      <c r="C142" s="2989"/>
      <c r="D142" s="2948"/>
      <c r="E142" s="1332"/>
      <c r="F142" s="1333"/>
      <c r="G142" s="1333"/>
      <c r="H142" s="1333"/>
      <c r="I142" s="1333"/>
      <c r="J142" s="1334"/>
      <c r="K142" s="1334"/>
      <c r="L142" s="1334"/>
      <c r="M142" s="1334"/>
      <c r="N142" s="1334"/>
      <c r="O142" s="1334"/>
      <c r="P142" s="1335"/>
      <c r="Q142" s="1334"/>
      <c r="R142" s="1334"/>
      <c r="S142" s="1334"/>
      <c r="T142" s="1336"/>
      <c r="U142" s="1336"/>
      <c r="V142" s="1336"/>
      <c r="W142" s="1336"/>
      <c r="X142" s="1340"/>
      <c r="Y142" s="1362"/>
      <c r="Z142" s="1336"/>
      <c r="AA142" s="1336"/>
      <c r="AB142" s="1337"/>
    </row>
    <row r="143" spans="1:28" ht="15" thickBot="1">
      <c r="A143" s="1361">
        <v>138</v>
      </c>
      <c r="B143" s="3010"/>
      <c r="C143" s="2990"/>
      <c r="D143" s="1363" t="s">
        <v>3514</v>
      </c>
      <c r="E143" s="1343"/>
      <c r="F143" s="1343"/>
      <c r="G143" s="1343"/>
      <c r="H143" s="1343"/>
      <c r="I143" s="1343"/>
      <c r="J143" s="1343"/>
      <c r="K143" s="1343"/>
      <c r="L143" s="1343"/>
      <c r="M143" s="1344">
        <f>SUM(M137:M142)</f>
        <v>0</v>
      </c>
      <c r="N143" s="1344">
        <f>SUM(N137:N142)</f>
        <v>0</v>
      </c>
      <c r="O143" s="1344">
        <f>SUM(O137:O142)</f>
        <v>0</v>
      </c>
      <c r="P143" s="1344">
        <f>SUM(P137:P142)</f>
        <v>0</v>
      </c>
      <c r="Q143" s="1343"/>
      <c r="R143" s="1344">
        <f>SUM(R137:R142)</f>
        <v>0</v>
      </c>
      <c r="S143" s="1340"/>
      <c r="T143" s="1344">
        <f>SUM(T137:T142)</f>
        <v>0</v>
      </c>
      <c r="U143" s="1344">
        <f>SUM(U137:U142)</f>
        <v>0</v>
      </c>
      <c r="V143" s="1344">
        <f>SUM(V137:V142)</f>
        <v>0</v>
      </c>
      <c r="W143" s="1344">
        <f>SUM(W137:W142)</f>
        <v>0</v>
      </c>
      <c r="X143" s="1343"/>
      <c r="Y143" s="1364"/>
      <c r="Z143" s="1364"/>
      <c r="AA143" s="1364"/>
      <c r="AB143" s="1341"/>
    </row>
    <row r="144" spans="1:28" ht="16.5" customHeight="1">
      <c r="A144" s="1361">
        <v>139</v>
      </c>
      <c r="B144" s="3010"/>
      <c r="C144" s="2964" t="s">
        <v>4261</v>
      </c>
      <c r="D144" s="2947" t="s">
        <v>4269</v>
      </c>
      <c r="E144" s="1345"/>
      <c r="F144" s="1327"/>
      <c r="G144" s="1327"/>
      <c r="H144" s="1327"/>
      <c r="I144" s="1327"/>
      <c r="J144" s="1328"/>
      <c r="K144" s="1328"/>
      <c r="L144" s="1328"/>
      <c r="M144" s="1328"/>
      <c r="N144" s="1328"/>
      <c r="O144" s="1328"/>
      <c r="P144" s="1329"/>
      <c r="Q144" s="1328"/>
      <c r="R144" s="1328"/>
      <c r="S144" s="1328"/>
      <c r="T144" s="1330"/>
      <c r="U144" s="1330"/>
      <c r="V144" s="1330"/>
      <c r="W144" s="1330"/>
      <c r="X144" s="1359"/>
      <c r="Y144" s="1360"/>
      <c r="Z144" s="1330"/>
      <c r="AA144" s="1330"/>
      <c r="AB144" s="1346"/>
    </row>
    <row r="145" spans="1:28">
      <c r="A145" s="1361">
        <v>140</v>
      </c>
      <c r="B145" s="3010"/>
      <c r="C145" s="2965"/>
      <c r="D145" s="2948"/>
      <c r="E145" s="1332"/>
      <c r="F145" s="1333"/>
      <c r="G145" s="1333"/>
      <c r="H145" s="1333"/>
      <c r="I145" s="1333"/>
      <c r="J145" s="1334"/>
      <c r="K145" s="1334"/>
      <c r="L145" s="1334"/>
      <c r="M145" s="1334"/>
      <c r="N145" s="1334"/>
      <c r="O145" s="1334"/>
      <c r="P145" s="1335"/>
      <c r="Q145" s="1334"/>
      <c r="R145" s="1334"/>
      <c r="S145" s="1334"/>
      <c r="T145" s="1336"/>
      <c r="U145" s="1336"/>
      <c r="V145" s="1336"/>
      <c r="W145" s="1336"/>
      <c r="X145" s="1366"/>
      <c r="Y145" s="1362"/>
      <c r="Z145" s="1336"/>
      <c r="AA145" s="1336"/>
      <c r="AB145" s="1337"/>
    </row>
    <row r="146" spans="1:28">
      <c r="A146" s="1361">
        <v>141</v>
      </c>
      <c r="B146" s="3010"/>
      <c r="C146" s="2965"/>
      <c r="D146" s="2948"/>
      <c r="E146" s="1332"/>
      <c r="F146" s="1333"/>
      <c r="G146" s="1333"/>
      <c r="H146" s="1333"/>
      <c r="I146" s="1333"/>
      <c r="J146" s="1334"/>
      <c r="K146" s="1334"/>
      <c r="L146" s="1334"/>
      <c r="M146" s="1334"/>
      <c r="N146" s="1334"/>
      <c r="O146" s="1334"/>
      <c r="P146" s="1335"/>
      <c r="Q146" s="1334"/>
      <c r="R146" s="1334"/>
      <c r="S146" s="1334"/>
      <c r="T146" s="1336"/>
      <c r="U146" s="1336"/>
      <c r="V146" s="1336"/>
      <c r="W146" s="1336"/>
      <c r="X146" s="1366"/>
      <c r="Y146" s="1362"/>
      <c r="Z146" s="1336"/>
      <c r="AA146" s="1336"/>
      <c r="AB146" s="1337"/>
    </row>
    <row r="147" spans="1:28">
      <c r="A147" s="1361">
        <v>142</v>
      </c>
      <c r="B147" s="3010"/>
      <c r="C147" s="2965"/>
      <c r="D147" s="2948"/>
      <c r="E147" s="1332"/>
      <c r="F147" s="1333"/>
      <c r="G147" s="1333"/>
      <c r="H147" s="1333"/>
      <c r="I147" s="1333"/>
      <c r="J147" s="1334"/>
      <c r="K147" s="1334"/>
      <c r="L147" s="1334"/>
      <c r="M147" s="1334"/>
      <c r="N147" s="1334"/>
      <c r="O147" s="1334"/>
      <c r="P147" s="1335"/>
      <c r="Q147" s="1334"/>
      <c r="R147" s="1334"/>
      <c r="S147" s="1334"/>
      <c r="T147" s="1336"/>
      <c r="U147" s="1336"/>
      <c r="V147" s="1336"/>
      <c r="W147" s="1336"/>
      <c r="X147" s="1366"/>
      <c r="Y147" s="1362"/>
      <c r="Z147" s="1336"/>
      <c r="AA147" s="1336"/>
      <c r="AB147" s="1337"/>
    </row>
    <row r="148" spans="1:28">
      <c r="A148" s="1361">
        <v>143</v>
      </c>
      <c r="B148" s="3010"/>
      <c r="C148" s="2965"/>
      <c r="D148" s="2948"/>
      <c r="E148" s="1332"/>
      <c r="F148" s="1333"/>
      <c r="G148" s="1333"/>
      <c r="H148" s="1333"/>
      <c r="I148" s="1333"/>
      <c r="J148" s="1334"/>
      <c r="K148" s="1334"/>
      <c r="L148" s="1334"/>
      <c r="M148" s="1334"/>
      <c r="N148" s="1334"/>
      <c r="O148" s="1334"/>
      <c r="P148" s="1335"/>
      <c r="Q148" s="1334"/>
      <c r="R148" s="1334"/>
      <c r="S148" s="1334"/>
      <c r="T148" s="1336"/>
      <c r="U148" s="1336"/>
      <c r="V148" s="1336"/>
      <c r="W148" s="1336"/>
      <c r="X148" s="1366"/>
      <c r="Y148" s="1362"/>
      <c r="Z148" s="1336"/>
      <c r="AA148" s="1336"/>
      <c r="AB148" s="1337"/>
    </row>
    <row r="149" spans="1:28">
      <c r="A149" s="1361">
        <v>144</v>
      </c>
      <c r="B149" s="3010"/>
      <c r="C149" s="2965"/>
      <c r="D149" s="2948"/>
      <c r="E149" s="1332"/>
      <c r="F149" s="1333"/>
      <c r="G149" s="1333"/>
      <c r="H149" s="1333"/>
      <c r="I149" s="1333"/>
      <c r="J149" s="1334"/>
      <c r="K149" s="1334"/>
      <c r="L149" s="1334"/>
      <c r="M149" s="1334"/>
      <c r="N149" s="1334"/>
      <c r="O149" s="1334"/>
      <c r="P149" s="1335"/>
      <c r="Q149" s="1334"/>
      <c r="R149" s="1334"/>
      <c r="S149" s="1334"/>
      <c r="T149" s="1336"/>
      <c r="U149" s="1336"/>
      <c r="V149" s="1336"/>
      <c r="W149" s="1336"/>
      <c r="X149" s="1366"/>
      <c r="Y149" s="1362"/>
      <c r="Z149" s="1336"/>
      <c r="AA149" s="1336"/>
      <c r="AB149" s="1337"/>
    </row>
    <row r="150" spans="1:28" ht="14.25">
      <c r="A150" s="1361">
        <v>145</v>
      </c>
      <c r="B150" s="3010"/>
      <c r="C150" s="2965"/>
      <c r="D150" s="1279" t="s">
        <v>3514</v>
      </c>
      <c r="E150" s="1340"/>
      <c r="F150" s="1340"/>
      <c r="G150" s="1340"/>
      <c r="H150" s="1340"/>
      <c r="I150" s="1340"/>
      <c r="J150" s="1340"/>
      <c r="K150" s="1340"/>
      <c r="L150" s="1340"/>
      <c r="M150" s="1334">
        <f>SUM(M144:M149)</f>
        <v>0</v>
      </c>
      <c r="N150" s="1334">
        <f>SUM(N144:N149)</f>
        <v>0</v>
      </c>
      <c r="O150" s="1334">
        <f>SUM(O144:O149)</f>
        <v>0</v>
      </c>
      <c r="P150" s="1334">
        <f>SUM(P144:P149)</f>
        <v>0</v>
      </c>
      <c r="Q150" s="1340"/>
      <c r="R150" s="1334">
        <f>SUM(R144:R149)</f>
        <v>0</v>
      </c>
      <c r="S150" s="1340"/>
      <c r="T150" s="1334">
        <f>SUM(T144:T149)</f>
        <v>0</v>
      </c>
      <c r="U150" s="1334">
        <f>SUM(U144:U149)</f>
        <v>0</v>
      </c>
      <c r="V150" s="1334">
        <f>SUM(V144:V149)</f>
        <v>0</v>
      </c>
      <c r="W150" s="1334">
        <f>SUM(W144:W149)</f>
        <v>0</v>
      </c>
      <c r="X150" s="1366"/>
      <c r="Y150" s="1362"/>
      <c r="Z150" s="1362"/>
      <c r="AA150" s="1362"/>
      <c r="AB150" s="1341"/>
    </row>
    <row r="151" spans="1:28" ht="16.5" customHeight="1">
      <c r="A151" s="1361">
        <v>146</v>
      </c>
      <c r="B151" s="3010"/>
      <c r="C151" s="2965"/>
      <c r="D151" s="2948" t="s">
        <v>4266</v>
      </c>
      <c r="E151" s="1332"/>
      <c r="F151" s="1333"/>
      <c r="G151" s="1333"/>
      <c r="H151" s="1333"/>
      <c r="I151" s="1333"/>
      <c r="J151" s="1334"/>
      <c r="K151" s="1334"/>
      <c r="L151" s="1334"/>
      <c r="M151" s="1334"/>
      <c r="N151" s="1334"/>
      <c r="O151" s="1334"/>
      <c r="P151" s="1335"/>
      <c r="Q151" s="1334"/>
      <c r="R151" s="1334"/>
      <c r="S151" s="1334"/>
      <c r="T151" s="1336"/>
      <c r="U151" s="1336"/>
      <c r="V151" s="1336"/>
      <c r="W151" s="1336"/>
      <c r="X151" s="1366"/>
      <c r="Y151" s="1362"/>
      <c r="Z151" s="1336"/>
      <c r="AA151" s="1336"/>
      <c r="AB151" s="1337"/>
    </row>
    <row r="152" spans="1:28">
      <c r="A152" s="1361">
        <v>147</v>
      </c>
      <c r="B152" s="3010"/>
      <c r="C152" s="2965"/>
      <c r="D152" s="2948"/>
      <c r="E152" s="1332"/>
      <c r="F152" s="1333"/>
      <c r="G152" s="1333"/>
      <c r="H152" s="1333"/>
      <c r="I152" s="1333"/>
      <c r="J152" s="1334"/>
      <c r="K152" s="1334"/>
      <c r="L152" s="1334"/>
      <c r="M152" s="1334"/>
      <c r="N152" s="1334"/>
      <c r="O152" s="1334"/>
      <c r="P152" s="1335"/>
      <c r="Q152" s="1334"/>
      <c r="R152" s="1334"/>
      <c r="S152" s="1334"/>
      <c r="T152" s="1336"/>
      <c r="U152" s="1336"/>
      <c r="V152" s="1336"/>
      <c r="W152" s="1336"/>
      <c r="X152" s="1366"/>
      <c r="Y152" s="1362"/>
      <c r="Z152" s="1336"/>
      <c r="AA152" s="1336"/>
      <c r="AB152" s="1337"/>
    </row>
    <row r="153" spans="1:28">
      <c r="A153" s="1361">
        <v>148</v>
      </c>
      <c r="B153" s="3010"/>
      <c r="C153" s="2965"/>
      <c r="D153" s="2948"/>
      <c r="E153" s="1332"/>
      <c r="F153" s="1333"/>
      <c r="G153" s="1333"/>
      <c r="H153" s="1333"/>
      <c r="I153" s="1333"/>
      <c r="J153" s="1334"/>
      <c r="K153" s="1334"/>
      <c r="L153" s="1334"/>
      <c r="M153" s="1334"/>
      <c r="N153" s="1334"/>
      <c r="O153" s="1334"/>
      <c r="P153" s="1335"/>
      <c r="Q153" s="1334"/>
      <c r="R153" s="1334"/>
      <c r="S153" s="1334"/>
      <c r="T153" s="1336"/>
      <c r="U153" s="1336"/>
      <c r="V153" s="1336"/>
      <c r="W153" s="1336"/>
      <c r="X153" s="1366"/>
      <c r="Y153" s="1362"/>
      <c r="Z153" s="1336"/>
      <c r="AA153" s="1336"/>
      <c r="AB153" s="1337"/>
    </row>
    <row r="154" spans="1:28">
      <c r="A154" s="1361">
        <v>149</v>
      </c>
      <c r="B154" s="3010"/>
      <c r="C154" s="2965"/>
      <c r="D154" s="2948"/>
      <c r="E154" s="1332"/>
      <c r="F154" s="1333"/>
      <c r="G154" s="1333"/>
      <c r="H154" s="1333"/>
      <c r="I154" s="1333"/>
      <c r="J154" s="1334"/>
      <c r="K154" s="1334"/>
      <c r="L154" s="1334"/>
      <c r="M154" s="1334"/>
      <c r="N154" s="1334"/>
      <c r="O154" s="1334"/>
      <c r="P154" s="1335"/>
      <c r="Q154" s="1334"/>
      <c r="R154" s="1334"/>
      <c r="S154" s="1334"/>
      <c r="T154" s="1336"/>
      <c r="U154" s="1336"/>
      <c r="V154" s="1336"/>
      <c r="W154" s="1336"/>
      <c r="X154" s="1366"/>
      <c r="Y154" s="1362"/>
      <c r="Z154" s="1336"/>
      <c r="AA154" s="1336"/>
      <c r="AB154" s="1337"/>
    </row>
    <row r="155" spans="1:28">
      <c r="A155" s="1361">
        <v>150</v>
      </c>
      <c r="B155" s="3010"/>
      <c r="C155" s="2965"/>
      <c r="D155" s="2948"/>
      <c r="E155" s="1332"/>
      <c r="F155" s="1333"/>
      <c r="G155" s="1333"/>
      <c r="H155" s="1333"/>
      <c r="I155" s="1333"/>
      <c r="J155" s="1334"/>
      <c r="K155" s="1334"/>
      <c r="L155" s="1334"/>
      <c r="M155" s="1334"/>
      <c r="N155" s="1334"/>
      <c r="O155" s="1334"/>
      <c r="P155" s="1335"/>
      <c r="Q155" s="1334"/>
      <c r="R155" s="1334"/>
      <c r="S155" s="1334"/>
      <c r="T155" s="1336"/>
      <c r="U155" s="1336"/>
      <c r="V155" s="1336"/>
      <c r="W155" s="1336"/>
      <c r="X155" s="1366"/>
      <c r="Y155" s="1362"/>
      <c r="Z155" s="1336"/>
      <c r="AA155" s="1336"/>
      <c r="AB155" s="1337"/>
    </row>
    <row r="156" spans="1:28">
      <c r="A156" s="1361">
        <v>151</v>
      </c>
      <c r="B156" s="3010"/>
      <c r="C156" s="2965"/>
      <c r="D156" s="2948"/>
      <c r="E156" s="1332"/>
      <c r="F156" s="1333"/>
      <c r="G156" s="1333"/>
      <c r="H156" s="1333"/>
      <c r="I156" s="1333"/>
      <c r="J156" s="1334"/>
      <c r="K156" s="1334"/>
      <c r="L156" s="1334"/>
      <c r="M156" s="1334"/>
      <c r="N156" s="1334"/>
      <c r="O156" s="1334"/>
      <c r="P156" s="1335"/>
      <c r="Q156" s="1334"/>
      <c r="R156" s="1334"/>
      <c r="S156" s="1334"/>
      <c r="T156" s="1336"/>
      <c r="U156" s="1336"/>
      <c r="V156" s="1336"/>
      <c r="W156" s="1336"/>
      <c r="X156" s="1366"/>
      <c r="Y156" s="1362"/>
      <c r="Z156" s="1336"/>
      <c r="AA156" s="1336"/>
      <c r="AB156" s="1337"/>
    </row>
    <row r="157" spans="1:28" ht="14.25">
      <c r="A157" s="1361">
        <v>152</v>
      </c>
      <c r="B157" s="3010"/>
      <c r="C157" s="2965"/>
      <c r="D157" s="1297" t="s">
        <v>3514</v>
      </c>
      <c r="E157" s="1340"/>
      <c r="F157" s="1340"/>
      <c r="G157" s="1340"/>
      <c r="H157" s="1340"/>
      <c r="I157" s="1340"/>
      <c r="J157" s="1340"/>
      <c r="K157" s="1340"/>
      <c r="L157" s="1340"/>
      <c r="M157" s="1334">
        <f>SUM(M151:M156)</f>
        <v>0</v>
      </c>
      <c r="N157" s="1334">
        <f>SUM(N151:N156)</f>
        <v>0</v>
      </c>
      <c r="O157" s="1334">
        <f>SUM(O151:O156)</f>
        <v>0</v>
      </c>
      <c r="P157" s="1334">
        <f>SUM(P151:P156)</f>
        <v>0</v>
      </c>
      <c r="Q157" s="1340"/>
      <c r="R157" s="1334">
        <f>SUM(R151:R156)</f>
        <v>0</v>
      </c>
      <c r="S157" s="1340"/>
      <c r="T157" s="1334">
        <f>SUM(T151:T156)</f>
        <v>0</v>
      </c>
      <c r="U157" s="1334">
        <f>SUM(U151:U156)</f>
        <v>0</v>
      </c>
      <c r="V157" s="1334">
        <f>SUM(V151:V156)</f>
        <v>0</v>
      </c>
      <c r="W157" s="1334">
        <f>SUM(W151:W156)</f>
        <v>0</v>
      </c>
      <c r="X157" s="1366"/>
      <c r="Y157" s="1362"/>
      <c r="Z157" s="1362"/>
      <c r="AA157" s="1362"/>
      <c r="AB157" s="1341"/>
    </row>
    <row r="158" spans="1:28" ht="16.5" customHeight="1">
      <c r="A158" s="1361">
        <v>153</v>
      </c>
      <c r="B158" s="3010"/>
      <c r="C158" s="2965"/>
      <c r="D158" s="2948" t="s">
        <v>4267</v>
      </c>
      <c r="E158" s="1332"/>
      <c r="F158" s="1333"/>
      <c r="G158" s="1333"/>
      <c r="H158" s="1333"/>
      <c r="I158" s="1333"/>
      <c r="J158" s="1334"/>
      <c r="K158" s="1334"/>
      <c r="L158" s="1334"/>
      <c r="M158" s="1334"/>
      <c r="N158" s="1334"/>
      <c r="O158" s="1334"/>
      <c r="P158" s="1335"/>
      <c r="Q158" s="1334"/>
      <c r="R158" s="1334"/>
      <c r="S158" s="1334"/>
      <c r="T158" s="1336"/>
      <c r="U158" s="1336"/>
      <c r="V158" s="1336"/>
      <c r="W158" s="1336"/>
      <c r="X158" s="1366"/>
      <c r="Y158" s="1362"/>
      <c r="Z158" s="1336"/>
      <c r="AA158" s="1336"/>
      <c r="AB158" s="1337"/>
    </row>
    <row r="159" spans="1:28">
      <c r="A159" s="1361">
        <v>154</v>
      </c>
      <c r="B159" s="3010"/>
      <c r="C159" s="2965"/>
      <c r="D159" s="2948"/>
      <c r="E159" s="1332"/>
      <c r="F159" s="1333"/>
      <c r="G159" s="1333"/>
      <c r="H159" s="1333"/>
      <c r="I159" s="1333"/>
      <c r="J159" s="1334"/>
      <c r="K159" s="1334"/>
      <c r="L159" s="1334"/>
      <c r="M159" s="1334"/>
      <c r="N159" s="1334"/>
      <c r="O159" s="1334"/>
      <c r="P159" s="1335"/>
      <c r="Q159" s="1334"/>
      <c r="R159" s="1334"/>
      <c r="S159" s="1334"/>
      <c r="T159" s="1336"/>
      <c r="U159" s="1336"/>
      <c r="V159" s="1336"/>
      <c r="W159" s="1336"/>
      <c r="X159" s="1366"/>
      <c r="Y159" s="1362"/>
      <c r="Z159" s="1336"/>
      <c r="AA159" s="1336"/>
      <c r="AB159" s="1337"/>
    </row>
    <row r="160" spans="1:28">
      <c r="A160" s="1361">
        <v>155</v>
      </c>
      <c r="B160" s="3010"/>
      <c r="C160" s="2965"/>
      <c r="D160" s="2948"/>
      <c r="E160" s="1332"/>
      <c r="F160" s="1333"/>
      <c r="G160" s="1333"/>
      <c r="H160" s="1333"/>
      <c r="I160" s="1333"/>
      <c r="J160" s="1334"/>
      <c r="K160" s="1334"/>
      <c r="L160" s="1334"/>
      <c r="M160" s="1334"/>
      <c r="N160" s="1334"/>
      <c r="O160" s="1334"/>
      <c r="P160" s="1335"/>
      <c r="Q160" s="1334"/>
      <c r="R160" s="1334"/>
      <c r="S160" s="1334"/>
      <c r="T160" s="1336"/>
      <c r="U160" s="1336"/>
      <c r="V160" s="1336"/>
      <c r="W160" s="1336"/>
      <c r="X160" s="1366"/>
      <c r="Y160" s="1362"/>
      <c r="Z160" s="1336"/>
      <c r="AA160" s="1336"/>
      <c r="AB160" s="1337"/>
    </row>
    <row r="161" spans="1:28">
      <c r="A161" s="1361">
        <v>156</v>
      </c>
      <c r="B161" s="3010"/>
      <c r="C161" s="2965"/>
      <c r="D161" s="2948"/>
      <c r="E161" s="1332"/>
      <c r="F161" s="1333"/>
      <c r="G161" s="1333"/>
      <c r="H161" s="1333"/>
      <c r="I161" s="1333"/>
      <c r="J161" s="1334"/>
      <c r="K161" s="1334"/>
      <c r="L161" s="1334"/>
      <c r="M161" s="1334"/>
      <c r="N161" s="1334"/>
      <c r="O161" s="1334"/>
      <c r="P161" s="1335"/>
      <c r="Q161" s="1334"/>
      <c r="R161" s="1334"/>
      <c r="S161" s="1334"/>
      <c r="T161" s="1336"/>
      <c r="U161" s="1336"/>
      <c r="V161" s="1336"/>
      <c r="W161" s="1336"/>
      <c r="X161" s="1366"/>
      <c r="Y161" s="1362"/>
      <c r="Z161" s="1336"/>
      <c r="AA161" s="1336"/>
      <c r="AB161" s="1337"/>
    </row>
    <row r="162" spans="1:28">
      <c r="A162" s="1361">
        <v>157</v>
      </c>
      <c r="B162" s="3010"/>
      <c r="C162" s="2965"/>
      <c r="D162" s="2948"/>
      <c r="E162" s="1332"/>
      <c r="F162" s="1333"/>
      <c r="G162" s="1333"/>
      <c r="H162" s="1333"/>
      <c r="I162" s="1333"/>
      <c r="J162" s="1334"/>
      <c r="K162" s="1334"/>
      <c r="L162" s="1334"/>
      <c r="M162" s="1334"/>
      <c r="N162" s="1334"/>
      <c r="O162" s="1334"/>
      <c r="P162" s="1335"/>
      <c r="Q162" s="1334"/>
      <c r="R162" s="1334"/>
      <c r="S162" s="1334"/>
      <c r="T162" s="1336"/>
      <c r="U162" s="1336"/>
      <c r="V162" s="1336"/>
      <c r="W162" s="1336"/>
      <c r="X162" s="1366"/>
      <c r="Y162" s="1362"/>
      <c r="Z162" s="1336"/>
      <c r="AA162" s="1336"/>
      <c r="AB162" s="1337"/>
    </row>
    <row r="163" spans="1:28">
      <c r="A163" s="1361">
        <v>158</v>
      </c>
      <c r="B163" s="3010"/>
      <c r="C163" s="2965"/>
      <c r="D163" s="2948"/>
      <c r="E163" s="1332"/>
      <c r="F163" s="1333"/>
      <c r="G163" s="1333"/>
      <c r="H163" s="1333"/>
      <c r="I163" s="1333"/>
      <c r="J163" s="1334"/>
      <c r="K163" s="1334"/>
      <c r="L163" s="1334"/>
      <c r="M163" s="1334"/>
      <c r="N163" s="1334"/>
      <c r="O163" s="1334"/>
      <c r="P163" s="1335"/>
      <c r="Q163" s="1334"/>
      <c r="R163" s="1334"/>
      <c r="S163" s="1334"/>
      <c r="T163" s="1336"/>
      <c r="U163" s="1336"/>
      <c r="V163" s="1336"/>
      <c r="W163" s="1336"/>
      <c r="X163" s="1366"/>
      <c r="Y163" s="1362"/>
      <c r="Z163" s="1336"/>
      <c r="AA163" s="1336"/>
      <c r="AB163" s="1337"/>
    </row>
    <row r="164" spans="1:28" ht="15" thickBot="1">
      <c r="A164" s="1361">
        <v>159</v>
      </c>
      <c r="B164" s="3010"/>
      <c r="C164" s="2966"/>
      <c r="D164" s="1273" t="s">
        <v>3514</v>
      </c>
      <c r="E164" s="1343"/>
      <c r="F164" s="1343"/>
      <c r="G164" s="1343"/>
      <c r="H164" s="1343"/>
      <c r="I164" s="1343"/>
      <c r="J164" s="1343"/>
      <c r="K164" s="1343"/>
      <c r="L164" s="1343"/>
      <c r="M164" s="1344">
        <f>SUM(M158:M163)</f>
        <v>0</v>
      </c>
      <c r="N164" s="1344">
        <f>SUM(N158:N163)</f>
        <v>0</v>
      </c>
      <c r="O164" s="1344">
        <f>SUM(O158:O163)</f>
        <v>0</v>
      </c>
      <c r="P164" s="1344">
        <f>SUM(P158:P163)</f>
        <v>0</v>
      </c>
      <c r="Q164" s="1343"/>
      <c r="R164" s="1344">
        <f>SUM(R158:R163)</f>
        <v>0</v>
      </c>
      <c r="S164" s="1340"/>
      <c r="T164" s="1344">
        <f>SUM(T158:T163)</f>
        <v>0</v>
      </c>
      <c r="U164" s="1344">
        <f>SUM(U158:U163)</f>
        <v>0</v>
      </c>
      <c r="V164" s="1344">
        <f>SUM(V158:V163)</f>
        <v>0</v>
      </c>
      <c r="W164" s="1344">
        <f>SUM(W158:W163)</f>
        <v>0</v>
      </c>
      <c r="X164" s="1367"/>
      <c r="Y164" s="1364"/>
      <c r="Z164" s="1364"/>
      <c r="AA164" s="1364"/>
      <c r="AB164" s="1341"/>
    </row>
    <row r="165" spans="1:28" ht="15" thickBot="1">
      <c r="A165" s="1368">
        <v>160</v>
      </c>
      <c r="B165" s="3012" t="s">
        <v>4291</v>
      </c>
      <c r="C165" s="2996"/>
      <c r="D165" s="2996"/>
      <c r="E165" s="1352"/>
      <c r="F165" s="1353"/>
      <c r="G165" s="1353"/>
      <c r="H165" s="1353"/>
      <c r="I165" s="1353"/>
      <c r="J165" s="1354"/>
      <c r="K165" s="1354"/>
      <c r="L165" s="1354"/>
      <c r="M165" s="1369">
        <f>M115+M122+M129+M136+M143+M150+M157+M164</f>
        <v>0</v>
      </c>
      <c r="N165" s="1369">
        <f>N115+N122+N129+N136+N143+N150+N157+N164</f>
        <v>0</v>
      </c>
      <c r="O165" s="1369">
        <f>O115+O122+O129+O136+O143+O150+O157+O164</f>
        <v>0</v>
      </c>
      <c r="P165" s="1369">
        <f>P115+P122+P129+P136+P143+P150+P157+P164</f>
        <v>0</v>
      </c>
      <c r="Q165" s="1354"/>
      <c r="R165" s="1369">
        <f>R115+R122+R129+R136+R143+R150+R157+R164</f>
        <v>0</v>
      </c>
      <c r="S165" s="1343"/>
      <c r="T165" s="1369">
        <f>T115+T122+T129+T136+T143+T150+T157+T164</f>
        <v>0</v>
      </c>
      <c r="U165" s="1369">
        <f>U115+U122+U129+U136+U143+U150+U157+U164</f>
        <v>0</v>
      </c>
      <c r="V165" s="1369">
        <f>V115+V122+V129+V136+V143+V150+V157+V164</f>
        <v>0</v>
      </c>
      <c r="W165" s="1369">
        <f>W115+W122+W129+W136+W143+W150+W157+W164</f>
        <v>0</v>
      </c>
      <c r="X165" s="1370"/>
      <c r="Y165" s="1371"/>
      <c r="Z165" s="1371"/>
      <c r="AA165" s="1371"/>
      <c r="AB165" s="1341"/>
    </row>
    <row r="166" spans="1:28" ht="15" thickBot="1">
      <c r="A166" s="1372">
        <v>161</v>
      </c>
      <c r="B166" s="2995" t="s">
        <v>3515</v>
      </c>
      <c r="C166" s="2996"/>
      <c r="D166" s="2996"/>
      <c r="E166" s="1352"/>
      <c r="F166" s="1353"/>
      <c r="G166" s="1353"/>
      <c r="H166" s="1353"/>
      <c r="I166" s="1353"/>
      <c r="J166" s="1354"/>
      <c r="K166" s="1354"/>
      <c r="L166" s="1354"/>
      <c r="M166" s="1369">
        <f>M165+M108</f>
        <v>0</v>
      </c>
      <c r="N166" s="1369">
        <f>N165+N108</f>
        <v>0</v>
      </c>
      <c r="O166" s="1369">
        <f>O165+O108</f>
        <v>0</v>
      </c>
      <c r="P166" s="1369">
        <f>P165+P108</f>
        <v>0</v>
      </c>
      <c r="Q166" s="1354"/>
      <c r="R166" s="1369">
        <f>R165+R108</f>
        <v>0</v>
      </c>
      <c r="S166" s="1373"/>
      <c r="T166" s="1369">
        <f>T165+T108</f>
        <v>0</v>
      </c>
      <c r="U166" s="1369">
        <f>U165+U108</f>
        <v>0</v>
      </c>
      <c r="V166" s="1369">
        <f>V165+V108</f>
        <v>0</v>
      </c>
      <c r="W166" s="1369">
        <f>W165+W108</f>
        <v>0</v>
      </c>
      <c r="X166" s="1370"/>
      <c r="Y166" s="1371"/>
      <c r="Z166" s="1371"/>
      <c r="AA166" s="1371"/>
      <c r="AB166" s="1341"/>
    </row>
    <row r="169" spans="1:28" ht="14.25">
      <c r="A169" s="1318" t="s">
        <v>4171</v>
      </c>
      <c r="B169" s="1318"/>
      <c r="C169" s="470"/>
      <c r="D169" s="1319"/>
      <c r="E169" s="1319"/>
      <c r="F169" s="1319"/>
      <c r="G169" s="1319"/>
      <c r="H169" s="1319"/>
      <c r="I169" s="1319"/>
      <c r="J169" s="1319"/>
      <c r="K169" s="1319"/>
      <c r="L169" s="1319"/>
      <c r="M169" s="1319"/>
      <c r="N169" s="1319"/>
      <c r="O169" s="1319"/>
    </row>
    <row r="170" spans="1:28" ht="14.25">
      <c r="A170" s="493">
        <v>1</v>
      </c>
      <c r="B170" s="470" t="s">
        <v>4292</v>
      </c>
      <c r="D170" s="1319"/>
      <c r="E170" s="1319"/>
      <c r="F170" s="1319"/>
      <c r="G170" s="1319"/>
      <c r="H170" s="1319"/>
      <c r="I170" s="1319"/>
      <c r="J170" s="1319"/>
      <c r="K170" s="1319"/>
      <c r="L170" s="1319"/>
      <c r="M170" s="1319"/>
      <c r="N170" s="1319"/>
      <c r="O170" s="1319"/>
    </row>
    <row r="171" spans="1:28" ht="14.25">
      <c r="A171" s="1318" t="s">
        <v>478</v>
      </c>
      <c r="B171" s="470" t="s">
        <v>4293</v>
      </c>
      <c r="D171" s="1319"/>
      <c r="E171" s="1319"/>
      <c r="F171" s="1319"/>
      <c r="G171" s="1319"/>
      <c r="H171" s="1319"/>
      <c r="I171" s="1319"/>
      <c r="J171" s="1319"/>
      <c r="K171" s="1319"/>
      <c r="L171" s="1319"/>
      <c r="M171" s="1319"/>
      <c r="N171" s="1319"/>
      <c r="O171" s="1319"/>
    </row>
    <row r="172" spans="1:28" ht="14.25">
      <c r="A172" s="493">
        <v>3</v>
      </c>
      <c r="B172" s="26" t="s">
        <v>4275</v>
      </c>
      <c r="D172" s="26"/>
      <c r="E172" s="26"/>
      <c r="F172" s="26"/>
      <c r="G172" s="26"/>
      <c r="H172" s="26"/>
      <c r="I172" s="26"/>
      <c r="J172" s="26"/>
      <c r="K172" s="26"/>
      <c r="L172" s="26"/>
      <c r="M172" s="26"/>
      <c r="N172" s="26"/>
      <c r="O172" s="26"/>
    </row>
    <row r="173" spans="1:28" ht="14.25">
      <c r="A173" s="493">
        <v>4</v>
      </c>
      <c r="B173" s="26" t="s">
        <v>4276</v>
      </c>
      <c r="D173" s="26"/>
      <c r="E173" s="26"/>
      <c r="F173" s="26"/>
      <c r="G173" s="26"/>
      <c r="H173" s="26"/>
      <c r="I173" s="26"/>
      <c r="J173" s="26"/>
      <c r="K173" s="26"/>
      <c r="L173" s="26"/>
      <c r="M173" s="26"/>
      <c r="N173" s="26"/>
      <c r="O173" s="26"/>
    </row>
    <row r="174" spans="1:28" ht="14.25">
      <c r="A174" s="1318" t="s">
        <v>479</v>
      </c>
      <c r="B174" s="470" t="s">
        <v>4294</v>
      </c>
      <c r="D174" s="1319"/>
      <c r="E174" s="1319"/>
      <c r="F174" s="1319"/>
      <c r="G174" s="1319"/>
      <c r="H174" s="1319"/>
      <c r="I174" s="1319"/>
      <c r="J174" s="1319"/>
      <c r="K174" s="1319"/>
      <c r="L174" s="1319"/>
      <c r="M174" s="1319"/>
      <c r="N174" s="1319"/>
      <c r="O174" s="1319"/>
    </row>
    <row r="175" spans="1:28">
      <c r="A175" s="493"/>
      <c r="B175" s="1318"/>
      <c r="C175" s="470"/>
      <c r="D175" s="1319"/>
      <c r="E175" s="1319"/>
      <c r="F175" s="1319"/>
      <c r="G175" s="1319"/>
      <c r="H175" s="1319"/>
      <c r="I175" s="1319"/>
      <c r="J175" s="1319"/>
      <c r="K175" s="1319"/>
      <c r="L175" s="1319"/>
      <c r="M175" s="1319"/>
      <c r="N175" s="1319"/>
      <c r="O175" s="1319"/>
    </row>
    <row r="176" spans="1:28">
      <c r="A176" s="493"/>
      <c r="B176" s="1318"/>
      <c r="C176" s="470"/>
      <c r="D176" s="1319"/>
      <c r="E176" s="1319"/>
      <c r="F176" s="1319"/>
      <c r="G176" s="1319"/>
      <c r="H176" s="1319"/>
      <c r="I176" s="1319"/>
      <c r="J176" s="1319"/>
      <c r="K176" s="1319"/>
      <c r="L176" s="1319"/>
      <c r="M176" s="1319"/>
      <c r="N176" s="1319"/>
      <c r="O176" s="1319"/>
    </row>
    <row r="177" spans="1:15">
      <c r="A177" s="1318"/>
      <c r="B177" s="1318"/>
      <c r="C177" s="57"/>
      <c r="D177" s="1319"/>
      <c r="E177" s="1319"/>
      <c r="F177" s="1319"/>
      <c r="G177" s="1319"/>
      <c r="H177" s="1319"/>
      <c r="I177" s="1319"/>
      <c r="J177" s="1319"/>
      <c r="K177" s="1319"/>
      <c r="L177" s="1319"/>
      <c r="M177" s="1319"/>
      <c r="N177" s="1319"/>
      <c r="O177" s="1319"/>
    </row>
    <row r="178" spans="1:15">
      <c r="A178" s="493"/>
      <c r="B178" s="1318"/>
      <c r="C178" s="470"/>
      <c r="D178" s="1319"/>
      <c r="E178" s="1319"/>
      <c r="F178" s="1319"/>
      <c r="G178" s="1319"/>
      <c r="H178" s="1319"/>
      <c r="I178" s="1319"/>
      <c r="J178" s="1319"/>
      <c r="K178" s="1319"/>
      <c r="L178" s="1319"/>
      <c r="M178" s="1319"/>
      <c r="N178" s="1319"/>
      <c r="O178" s="1319"/>
    </row>
    <row r="179" spans="1:15">
      <c r="A179" s="493"/>
      <c r="B179" s="1318"/>
      <c r="C179" s="470"/>
      <c r="D179" s="1319"/>
      <c r="E179" s="1319"/>
      <c r="F179" s="1319"/>
      <c r="G179" s="1319"/>
      <c r="H179" s="1319"/>
      <c r="I179" s="1319"/>
      <c r="J179" s="1319"/>
      <c r="K179" s="1319"/>
      <c r="L179" s="1319"/>
      <c r="M179" s="1319"/>
      <c r="N179" s="1319"/>
      <c r="O179" s="1319"/>
    </row>
    <row r="180" spans="1:15">
      <c r="A180" s="493"/>
      <c r="B180" s="1318"/>
      <c r="C180" s="470"/>
      <c r="D180" s="1319"/>
      <c r="E180" s="1319"/>
      <c r="F180" s="1319"/>
      <c r="G180" s="1319"/>
      <c r="H180" s="1319"/>
      <c r="I180" s="1319"/>
      <c r="J180" s="1319"/>
      <c r="K180" s="1319"/>
      <c r="L180" s="1319"/>
      <c r="M180" s="1319"/>
      <c r="N180" s="1319"/>
      <c r="O180" s="1319"/>
    </row>
    <row r="181" spans="1:15">
      <c r="A181" s="1318"/>
      <c r="B181" s="1318"/>
      <c r="C181" s="1319"/>
      <c r="D181" s="1321"/>
      <c r="E181" s="1323"/>
      <c r="F181" s="1321"/>
      <c r="G181" s="1321"/>
      <c r="H181" s="1321"/>
      <c r="I181" s="1321"/>
      <c r="J181" s="1320"/>
      <c r="K181" s="1320"/>
      <c r="L181" s="1321"/>
      <c r="M181" s="1321"/>
      <c r="N181" s="1320"/>
      <c r="O181" s="1320"/>
    </row>
    <row r="182" spans="1:15">
      <c r="A182" s="493"/>
      <c r="B182" s="1318"/>
      <c r="C182" s="470"/>
      <c r="D182" s="1319"/>
      <c r="E182" s="1319"/>
      <c r="F182" s="1319"/>
      <c r="G182" s="1319"/>
      <c r="H182" s="1319"/>
      <c r="I182" s="1319"/>
      <c r="J182" s="1319"/>
      <c r="K182" s="1319"/>
      <c r="L182" s="1319"/>
      <c r="M182" s="1319"/>
      <c r="N182" s="1319"/>
      <c r="O182" s="1319"/>
    </row>
    <row r="183" spans="1:15">
      <c r="A183" s="493"/>
      <c r="B183" s="1318"/>
      <c r="C183" s="470"/>
      <c r="D183" s="1319"/>
      <c r="E183" s="1319"/>
      <c r="F183" s="1319"/>
      <c r="G183" s="1319"/>
      <c r="H183" s="1319"/>
      <c r="I183" s="1319"/>
      <c r="J183" s="1319"/>
      <c r="K183" s="1319"/>
      <c r="L183" s="1319"/>
      <c r="M183" s="1319"/>
      <c r="N183" s="1319"/>
      <c r="O183" s="1319"/>
    </row>
    <row r="184" spans="1:15">
      <c r="A184" s="1318"/>
      <c r="B184" s="1318"/>
      <c r="C184" s="470"/>
      <c r="D184" s="1319"/>
      <c r="E184" s="1319"/>
      <c r="F184" s="1319"/>
      <c r="G184" s="1319"/>
      <c r="H184" s="1319"/>
      <c r="I184" s="1319"/>
      <c r="J184" s="1319"/>
      <c r="K184" s="1319"/>
      <c r="L184" s="1319"/>
      <c r="M184" s="1319"/>
      <c r="N184" s="1319"/>
      <c r="O184" s="1319"/>
    </row>
    <row r="185" spans="1:15">
      <c r="A185" s="493"/>
      <c r="B185" s="1318"/>
      <c r="C185" s="470"/>
      <c r="D185" s="1319"/>
      <c r="E185" s="1319"/>
      <c r="F185" s="1319"/>
      <c r="G185" s="1319"/>
      <c r="H185" s="1319"/>
      <c r="I185" s="1319"/>
      <c r="J185" s="1319"/>
      <c r="K185" s="1319"/>
      <c r="L185" s="1319"/>
      <c r="M185" s="1319"/>
      <c r="N185" s="1319"/>
      <c r="O185" s="1319"/>
    </row>
    <row r="186" spans="1:15">
      <c r="A186" s="1318"/>
      <c r="B186" s="1318"/>
      <c r="C186" s="1319"/>
      <c r="D186" s="1319"/>
      <c r="E186" s="1319"/>
      <c r="F186" s="1319"/>
      <c r="G186" s="1319"/>
      <c r="H186" s="1319"/>
      <c r="I186" s="1319"/>
      <c r="J186" s="1319"/>
      <c r="K186" s="1319"/>
      <c r="L186" s="1322"/>
      <c r="M186" s="1322"/>
      <c r="N186" s="1319"/>
      <c r="O186" s="1319"/>
    </row>
    <row r="187" spans="1:15">
      <c r="A187" s="493"/>
      <c r="B187" s="1318"/>
      <c r="D187" s="1319"/>
      <c r="E187" s="1319"/>
      <c r="F187" s="1319"/>
      <c r="G187" s="1319"/>
      <c r="H187" s="1319"/>
      <c r="I187" s="1319"/>
      <c r="J187" s="1319"/>
      <c r="K187" s="1319"/>
      <c r="L187" s="1322"/>
      <c r="M187" s="1322"/>
      <c r="N187" s="1319"/>
      <c r="O187" s="1319"/>
    </row>
    <row r="188" spans="1:15">
      <c r="A188" s="493"/>
      <c r="B188" s="1318"/>
      <c r="C188" s="1319"/>
      <c r="D188" s="1322"/>
      <c r="E188" s="1322"/>
      <c r="F188" s="1322"/>
      <c r="G188" s="1322"/>
      <c r="H188" s="1322"/>
      <c r="I188" s="1322"/>
      <c r="J188" s="1322"/>
      <c r="K188" s="1322"/>
      <c r="L188" s="1320"/>
      <c r="M188" s="1320"/>
      <c r="N188" s="1322"/>
      <c r="O188" s="1322"/>
    </row>
    <row r="189" spans="1:15">
      <c r="A189" s="1318"/>
      <c r="B189" s="1318"/>
      <c r="C189" s="470"/>
      <c r="D189" s="1322"/>
      <c r="E189" s="1322"/>
      <c r="F189" s="1322"/>
      <c r="G189" s="1322"/>
      <c r="H189" s="1322"/>
      <c r="I189" s="1322"/>
      <c r="J189" s="1322"/>
      <c r="K189" s="1322"/>
      <c r="L189" s="1321"/>
      <c r="M189" s="1321"/>
      <c r="N189" s="1322"/>
      <c r="O189" s="1322"/>
    </row>
    <row r="190" spans="1:15">
      <c r="A190" s="493"/>
      <c r="B190" s="1318"/>
      <c r="C190" s="1319"/>
      <c r="D190" s="1321"/>
      <c r="E190" s="1323"/>
      <c r="F190" s="1321"/>
      <c r="G190" s="1321"/>
      <c r="H190" s="1321"/>
      <c r="I190" s="1321"/>
      <c r="J190" s="1321"/>
      <c r="K190" s="1321"/>
      <c r="L190" s="1321"/>
      <c r="M190" s="1321"/>
      <c r="N190" s="1321"/>
      <c r="O190" s="1321"/>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30"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pane="topRight"/>
      <selection pane="bottomLeft"/>
      <selection pane="bottomRight"/>
    </sheetView>
  </sheetViews>
  <sheetFormatPr defaultColWidth="9" defaultRowHeight="13.5"/>
  <cols>
    <col min="1" max="1" width="5.125" style="1252" customWidth="1"/>
    <col min="2" max="2" width="9" style="1252"/>
    <col min="3" max="3" width="12.25" style="1252" customWidth="1"/>
    <col min="4" max="8" width="9" style="1252"/>
    <col min="9" max="9" width="9.125" style="1252" customWidth="1"/>
    <col min="10" max="10" width="14.875" style="1252" customWidth="1"/>
    <col min="11" max="13" width="9" style="1252"/>
    <col min="14" max="14" width="14.625" style="1252" customWidth="1"/>
    <col min="15" max="16" width="16.875" style="1252" customWidth="1"/>
    <col min="17" max="17" width="13.125" style="1252" customWidth="1"/>
    <col min="18" max="18" width="11.5" style="1252" customWidth="1"/>
    <col min="19" max="19" width="19.75" style="1252" customWidth="1"/>
    <col min="20" max="20" width="16" style="1252" customWidth="1"/>
    <col min="21" max="21" width="12" style="1252" customWidth="1"/>
    <col min="22" max="16384" width="9" style="1252"/>
  </cols>
  <sheetData>
    <row r="1" spans="1:23" ht="16.5">
      <c r="A1" s="2186" t="str">
        <f>+封面!A3&amp;" "&amp;封面!A2</f>
        <v xml:space="preserve"> 中央再保險股份有限公司 年度檢查報表</v>
      </c>
      <c r="B1" s="1249"/>
      <c r="C1" s="58"/>
      <c r="D1" s="58"/>
      <c r="E1" s="58"/>
      <c r="F1" s="1250"/>
      <c r="G1" s="58"/>
      <c r="H1" s="58"/>
      <c r="I1" s="58"/>
      <c r="J1" s="58"/>
      <c r="K1" s="58"/>
      <c r="L1" s="58"/>
      <c r="M1" s="58"/>
      <c r="N1" s="58"/>
      <c r="O1" s="58"/>
      <c r="P1" s="58"/>
      <c r="Q1" s="58"/>
      <c r="R1" s="58"/>
      <c r="S1" s="58"/>
      <c r="T1" s="58"/>
      <c r="U1" s="58"/>
      <c r="V1" s="1251" t="s">
        <v>4176</v>
      </c>
    </row>
    <row r="2" spans="1:23" ht="15" thickBot="1">
      <c r="A2" s="1251" t="s">
        <v>4231</v>
      </c>
      <c r="B2" s="1251"/>
      <c r="C2" s="58"/>
      <c r="D2" s="58"/>
      <c r="E2" s="58"/>
      <c r="F2" s="1250"/>
      <c r="G2" s="58"/>
      <c r="H2" s="58"/>
      <c r="I2" s="58"/>
      <c r="J2" s="58"/>
      <c r="K2" s="58"/>
      <c r="L2" s="58"/>
      <c r="M2" s="58"/>
      <c r="N2" s="58"/>
      <c r="O2" s="58"/>
      <c r="P2" s="58"/>
      <c r="Q2" s="58"/>
      <c r="R2" s="58"/>
      <c r="S2" s="58"/>
      <c r="T2" s="58"/>
      <c r="U2" s="58"/>
      <c r="V2" s="58"/>
    </row>
    <row r="3" spans="1:23" ht="16.5" customHeight="1">
      <c r="A3" s="2942" t="s">
        <v>3625</v>
      </c>
      <c r="B3" s="2945" t="s">
        <v>4232</v>
      </c>
      <c r="C3" s="2947" t="s">
        <v>4233</v>
      </c>
      <c r="D3" s="2947"/>
      <c r="E3" s="2945" t="s">
        <v>4234</v>
      </c>
      <c r="F3" s="2945"/>
      <c r="G3" s="2945"/>
      <c r="H3" s="2945"/>
      <c r="I3" s="2945"/>
      <c r="J3" s="2958" t="s">
        <v>4235</v>
      </c>
      <c r="K3" s="2945" t="s">
        <v>4236</v>
      </c>
      <c r="L3" s="2952" t="s">
        <v>4237</v>
      </c>
      <c r="M3" s="2952" t="s">
        <v>4238</v>
      </c>
      <c r="N3" s="2945" t="s">
        <v>4239</v>
      </c>
      <c r="O3" s="2945" t="s">
        <v>4240</v>
      </c>
      <c r="P3" s="2945" t="s">
        <v>4241</v>
      </c>
      <c r="Q3" s="2945" t="s">
        <v>4242</v>
      </c>
      <c r="R3" s="2947" t="s">
        <v>4243</v>
      </c>
      <c r="S3" s="2945" t="s">
        <v>4244</v>
      </c>
      <c r="T3" s="2956" t="s">
        <v>4245</v>
      </c>
      <c r="U3" s="2945" t="s">
        <v>4246</v>
      </c>
      <c r="V3" s="2945" t="s">
        <v>4247</v>
      </c>
      <c r="W3" s="2950" t="s">
        <v>4248</v>
      </c>
    </row>
    <row r="4" spans="1:23" ht="28.5">
      <c r="A4" s="2943"/>
      <c r="B4" s="2946"/>
      <c r="C4" s="2948"/>
      <c r="D4" s="2948"/>
      <c r="E4" s="1119" t="s">
        <v>4249</v>
      </c>
      <c r="F4" s="1119" t="s">
        <v>4250</v>
      </c>
      <c r="G4" s="1120" t="s">
        <v>4251</v>
      </c>
      <c r="H4" s="1120" t="s">
        <v>4252</v>
      </c>
      <c r="I4" s="1120" t="s">
        <v>4253</v>
      </c>
      <c r="J4" s="2953"/>
      <c r="K4" s="2946"/>
      <c r="L4" s="2953"/>
      <c r="M4" s="2953"/>
      <c r="N4" s="2946"/>
      <c r="O4" s="2946"/>
      <c r="P4" s="2946"/>
      <c r="Q4" s="2946"/>
      <c r="R4" s="2948"/>
      <c r="S4" s="2946"/>
      <c r="T4" s="2957"/>
      <c r="U4" s="2946"/>
      <c r="V4" s="2946"/>
      <c r="W4" s="2951"/>
    </row>
    <row r="5" spans="1:23" ht="14.25" thickBot="1">
      <c r="A5" s="2944"/>
      <c r="B5" s="1123" t="s">
        <v>66</v>
      </c>
      <c r="C5" s="2949" t="s">
        <v>67</v>
      </c>
      <c r="D5" s="2949"/>
      <c r="E5" s="1123" t="s">
        <v>68</v>
      </c>
      <c r="F5" s="1123" t="s">
        <v>69</v>
      </c>
      <c r="G5" s="1123" t="s">
        <v>70</v>
      </c>
      <c r="H5" s="1123" t="s">
        <v>71</v>
      </c>
      <c r="I5" s="1123" t="s">
        <v>72</v>
      </c>
      <c r="J5" s="1123" t="s">
        <v>454</v>
      </c>
      <c r="K5" s="1123" t="s">
        <v>455</v>
      </c>
      <c r="L5" s="1123" t="s">
        <v>456</v>
      </c>
      <c r="M5" s="1123" t="s">
        <v>457</v>
      </c>
      <c r="N5" s="1123" t="s">
        <v>469</v>
      </c>
      <c r="O5" s="1123" t="s">
        <v>458</v>
      </c>
      <c r="P5" s="1123" t="s">
        <v>459</v>
      </c>
      <c r="Q5" s="1123" t="s">
        <v>460</v>
      </c>
      <c r="R5" s="1123" t="s">
        <v>461</v>
      </c>
      <c r="S5" s="1123" t="s">
        <v>462</v>
      </c>
      <c r="T5" s="1123" t="s">
        <v>463</v>
      </c>
      <c r="U5" s="1123" t="s">
        <v>464</v>
      </c>
      <c r="V5" s="1123" t="s">
        <v>465</v>
      </c>
      <c r="W5" s="1125" t="s">
        <v>466</v>
      </c>
    </row>
    <row r="6" spans="1:23" ht="14.25" customHeight="1">
      <c r="A6" s="1253">
        <v>1</v>
      </c>
      <c r="B6" s="3016" t="s">
        <v>4254</v>
      </c>
      <c r="C6" s="2964" t="s">
        <v>4255</v>
      </c>
      <c r="D6" s="3018" t="s">
        <v>4256</v>
      </c>
      <c r="E6" s="1254" t="s">
        <v>4257</v>
      </c>
      <c r="F6" s="1255"/>
      <c r="G6" s="1256"/>
      <c r="H6" s="1256"/>
      <c r="I6" s="1256"/>
      <c r="J6" s="1256"/>
      <c r="K6" s="1257"/>
      <c r="L6" s="1257"/>
      <c r="M6" s="1257"/>
      <c r="N6" s="1257"/>
      <c r="O6" s="1258"/>
      <c r="P6" s="1259"/>
      <c r="Q6" s="1257"/>
      <c r="R6" s="1258"/>
      <c r="S6" s="1257"/>
      <c r="T6" s="1259"/>
      <c r="U6" s="1257"/>
      <c r="V6" s="1257"/>
      <c r="W6" s="1260"/>
    </row>
    <row r="7" spans="1:23" ht="13.9" customHeight="1">
      <c r="A7" s="1261">
        <v>2</v>
      </c>
      <c r="B7" s="3017"/>
      <c r="C7" s="2965"/>
      <c r="D7" s="3019"/>
      <c r="E7" s="1262"/>
      <c r="F7" s="1262"/>
      <c r="G7" s="1263"/>
      <c r="H7" s="1263"/>
      <c r="I7" s="1263"/>
      <c r="J7" s="1263"/>
      <c r="K7" s="1264"/>
      <c r="L7" s="1264"/>
      <c r="M7" s="1264"/>
      <c r="N7" s="1264"/>
      <c r="O7" s="1265"/>
      <c r="P7" s="1266"/>
      <c r="Q7" s="1264"/>
      <c r="R7" s="1265"/>
      <c r="S7" s="1264"/>
      <c r="T7" s="1266"/>
      <c r="U7" s="1264"/>
      <c r="V7" s="1264"/>
      <c r="W7" s="1267"/>
    </row>
    <row r="8" spans="1:23" ht="13.9" customHeight="1">
      <c r="A8" s="1261">
        <v>3</v>
      </c>
      <c r="B8" s="3017"/>
      <c r="C8" s="2965"/>
      <c r="D8" s="3019"/>
      <c r="E8" s="1262"/>
      <c r="F8" s="1262"/>
      <c r="G8" s="1263"/>
      <c r="H8" s="1263"/>
      <c r="I8" s="1263"/>
      <c r="J8" s="1263"/>
      <c r="K8" s="1264"/>
      <c r="L8" s="1264"/>
      <c r="M8" s="1264"/>
      <c r="N8" s="1264"/>
      <c r="O8" s="1265"/>
      <c r="P8" s="1266"/>
      <c r="Q8" s="1264"/>
      <c r="R8" s="1265"/>
      <c r="S8" s="1264"/>
      <c r="T8" s="1266"/>
      <c r="U8" s="1264"/>
      <c r="V8" s="1264"/>
      <c r="W8" s="1267"/>
    </row>
    <row r="9" spans="1:23" ht="13.9" customHeight="1">
      <c r="A9" s="1261">
        <v>4</v>
      </c>
      <c r="B9" s="3017"/>
      <c r="C9" s="2965"/>
      <c r="D9" s="3019"/>
      <c r="E9" s="1262"/>
      <c r="F9" s="1262"/>
      <c r="G9" s="1263"/>
      <c r="H9" s="1263"/>
      <c r="I9" s="1263"/>
      <c r="J9" s="1263"/>
      <c r="K9" s="1264"/>
      <c r="L9" s="1264"/>
      <c r="M9" s="1264"/>
      <c r="N9" s="1264"/>
      <c r="O9" s="1265"/>
      <c r="P9" s="1266"/>
      <c r="Q9" s="1264"/>
      <c r="R9" s="1265"/>
      <c r="S9" s="1264"/>
      <c r="T9" s="1266"/>
      <c r="U9" s="1264"/>
      <c r="V9" s="1264"/>
      <c r="W9" s="1267"/>
    </row>
    <row r="10" spans="1:23" ht="13.9" customHeight="1">
      <c r="A10" s="1261">
        <v>5</v>
      </c>
      <c r="B10" s="3017"/>
      <c r="C10" s="2965"/>
      <c r="D10" s="3019"/>
      <c r="E10" s="1262"/>
      <c r="F10" s="1262"/>
      <c r="G10" s="1263"/>
      <c r="H10" s="1263"/>
      <c r="I10" s="1263"/>
      <c r="J10" s="1263"/>
      <c r="K10" s="1264"/>
      <c r="L10" s="1264"/>
      <c r="M10" s="1264"/>
      <c r="N10" s="1264"/>
      <c r="O10" s="1265"/>
      <c r="P10" s="1266"/>
      <c r="Q10" s="1264"/>
      <c r="R10" s="1265"/>
      <c r="S10" s="1264"/>
      <c r="T10" s="1266"/>
      <c r="U10" s="1264"/>
      <c r="V10" s="1264"/>
      <c r="W10" s="1267"/>
    </row>
    <row r="11" spans="1:23" ht="13.9" customHeight="1">
      <c r="A11" s="1261">
        <v>6</v>
      </c>
      <c r="B11" s="3017"/>
      <c r="C11" s="2965"/>
      <c r="D11" s="3019"/>
      <c r="E11" s="1262"/>
      <c r="F11" s="1262"/>
      <c r="G11" s="1263"/>
      <c r="H11" s="1263"/>
      <c r="I11" s="1263"/>
      <c r="J11" s="1263"/>
      <c r="K11" s="1264"/>
      <c r="L11" s="1264"/>
      <c r="M11" s="1264"/>
      <c r="N11" s="1264"/>
      <c r="O11" s="1265"/>
      <c r="P11" s="1266"/>
      <c r="Q11" s="1264"/>
      <c r="R11" s="1265"/>
      <c r="S11" s="1264"/>
      <c r="T11" s="1266"/>
      <c r="U11" s="1264"/>
      <c r="V11" s="1264"/>
      <c r="W11" s="1267"/>
    </row>
    <row r="12" spans="1:23" ht="13.9" customHeight="1">
      <c r="A12" s="1261">
        <v>7</v>
      </c>
      <c r="B12" s="3017"/>
      <c r="C12" s="2965"/>
      <c r="D12" s="3019"/>
      <c r="E12" s="1262"/>
      <c r="F12" s="1262"/>
      <c r="G12" s="1263"/>
      <c r="H12" s="1263"/>
      <c r="I12" s="1263"/>
      <c r="J12" s="1263"/>
      <c r="K12" s="1264"/>
      <c r="L12" s="1264"/>
      <c r="M12" s="1264"/>
      <c r="N12" s="1264"/>
      <c r="O12" s="1265"/>
      <c r="P12" s="1266"/>
      <c r="Q12" s="1264"/>
      <c r="R12" s="1265"/>
      <c r="S12" s="1264"/>
      <c r="T12" s="1266"/>
      <c r="U12" s="1264"/>
      <c r="V12" s="1264"/>
      <c r="W12" s="1267"/>
    </row>
    <row r="13" spans="1:23" ht="13.9" customHeight="1">
      <c r="A13" s="1261">
        <v>8</v>
      </c>
      <c r="B13" s="3017"/>
      <c r="C13" s="2965"/>
      <c r="D13" s="3019"/>
      <c r="E13" s="1262"/>
      <c r="F13" s="1262"/>
      <c r="G13" s="1263"/>
      <c r="H13" s="1263"/>
      <c r="I13" s="1263"/>
      <c r="J13" s="1263"/>
      <c r="K13" s="1264"/>
      <c r="L13" s="1264"/>
      <c r="M13" s="1264"/>
      <c r="N13" s="1264"/>
      <c r="O13" s="1265"/>
      <c r="P13" s="1266"/>
      <c r="Q13" s="1264"/>
      <c r="R13" s="1265"/>
      <c r="S13" s="1264"/>
      <c r="T13" s="1266"/>
      <c r="U13" s="1264"/>
      <c r="V13" s="1264"/>
      <c r="W13" s="1267"/>
    </row>
    <row r="14" spans="1:23" ht="13.9" customHeight="1">
      <c r="A14" s="1261">
        <v>9</v>
      </c>
      <c r="B14" s="3017"/>
      <c r="C14" s="2965"/>
      <c r="D14" s="3019"/>
      <c r="E14" s="1262"/>
      <c r="F14" s="1262"/>
      <c r="G14" s="1263"/>
      <c r="H14" s="1263"/>
      <c r="I14" s="1263"/>
      <c r="J14" s="1263"/>
      <c r="K14" s="1264"/>
      <c r="L14" s="1264"/>
      <c r="M14" s="1264"/>
      <c r="N14" s="1264"/>
      <c r="O14" s="1265"/>
      <c r="P14" s="1266"/>
      <c r="Q14" s="1264"/>
      <c r="R14" s="1265"/>
      <c r="S14" s="1264"/>
      <c r="T14" s="1266"/>
      <c r="U14" s="1264"/>
      <c r="V14" s="1264"/>
      <c r="W14" s="1267"/>
    </row>
    <row r="15" spans="1:23" ht="13.9" customHeight="1">
      <c r="A15" s="1261">
        <v>10</v>
      </c>
      <c r="B15" s="3017"/>
      <c r="C15" s="2965"/>
      <c r="D15" s="3019"/>
      <c r="E15" s="1262"/>
      <c r="F15" s="1262"/>
      <c r="G15" s="1263"/>
      <c r="H15" s="1263"/>
      <c r="I15" s="1263"/>
      <c r="J15" s="1263"/>
      <c r="K15" s="1264"/>
      <c r="L15" s="1264"/>
      <c r="M15" s="1264"/>
      <c r="N15" s="1264"/>
      <c r="O15" s="1265"/>
      <c r="P15" s="1266"/>
      <c r="Q15" s="1264"/>
      <c r="R15" s="1265"/>
      <c r="S15" s="1264"/>
      <c r="T15" s="1266"/>
      <c r="U15" s="1264"/>
      <c r="V15" s="1264"/>
      <c r="W15" s="1267"/>
    </row>
    <row r="16" spans="1:23" ht="13.9" customHeight="1">
      <c r="A16" s="1261">
        <v>11</v>
      </c>
      <c r="B16" s="3017"/>
      <c r="C16" s="2965"/>
      <c r="D16" s="3019"/>
      <c r="E16" s="1262"/>
      <c r="F16" s="1262"/>
      <c r="G16" s="1263"/>
      <c r="H16" s="1263"/>
      <c r="I16" s="1263"/>
      <c r="J16" s="1263"/>
      <c r="K16" s="1264"/>
      <c r="L16" s="1264"/>
      <c r="M16" s="1264"/>
      <c r="N16" s="1264"/>
      <c r="O16" s="1265"/>
      <c r="P16" s="1266"/>
      <c r="Q16" s="1264"/>
      <c r="R16" s="1265"/>
      <c r="S16" s="1264"/>
      <c r="T16" s="1266"/>
      <c r="U16" s="1264"/>
      <c r="V16" s="1264"/>
      <c r="W16" s="1267"/>
    </row>
    <row r="17" spans="1:23" ht="13.9" customHeight="1">
      <c r="A17" s="1261">
        <v>12</v>
      </c>
      <c r="B17" s="3017"/>
      <c r="C17" s="2965"/>
      <c r="D17" s="3019"/>
      <c r="E17" s="1262"/>
      <c r="F17" s="1262"/>
      <c r="G17" s="1263"/>
      <c r="H17" s="1263"/>
      <c r="I17" s="1263"/>
      <c r="J17" s="1263"/>
      <c r="K17" s="1264"/>
      <c r="L17" s="1264"/>
      <c r="M17" s="1264"/>
      <c r="N17" s="1264"/>
      <c r="O17" s="1265"/>
      <c r="P17" s="1266"/>
      <c r="Q17" s="1264"/>
      <c r="R17" s="1265"/>
      <c r="S17" s="1264"/>
      <c r="T17" s="1266"/>
      <c r="U17" s="1264"/>
      <c r="V17" s="1264"/>
      <c r="W17" s="1267"/>
    </row>
    <row r="18" spans="1:23" ht="14.25">
      <c r="A18" s="1261">
        <v>13</v>
      </c>
      <c r="B18" s="3017"/>
      <c r="C18" s="2965"/>
      <c r="D18" s="1268" t="s">
        <v>3514</v>
      </c>
      <c r="E18" s="1269"/>
      <c r="F18" s="1269"/>
      <c r="G18" s="1270"/>
      <c r="H18" s="1270"/>
      <c r="I18" s="1270"/>
      <c r="J18" s="1270"/>
      <c r="K18" s="1271"/>
      <c r="L18" s="1271"/>
      <c r="M18" s="1271"/>
      <c r="N18" s="1264">
        <f>SUM(N6:N17)</f>
        <v>0</v>
      </c>
      <c r="O18" s="1264">
        <f>SUM(O6:O17)</f>
        <v>0</v>
      </c>
      <c r="P18" s="1264">
        <f>SUM(P6:P17)</f>
        <v>0</v>
      </c>
      <c r="Q18" s="1271"/>
      <c r="R18" s="1264">
        <f>SUM(R6:R17)</f>
        <v>0</v>
      </c>
      <c r="S18" s="1271"/>
      <c r="T18" s="1272"/>
      <c r="U18" s="1271"/>
      <c r="V18" s="1271"/>
      <c r="W18" s="1267"/>
    </row>
    <row r="19" spans="1:23" ht="13.9" customHeight="1">
      <c r="A19" s="1261">
        <v>14</v>
      </c>
      <c r="B19" s="3017"/>
      <c r="C19" s="2965"/>
      <c r="D19" s="3020" t="s">
        <v>4258</v>
      </c>
      <c r="E19" s="1262"/>
      <c r="F19" s="1262"/>
      <c r="G19" s="1263"/>
      <c r="H19" s="1263"/>
      <c r="I19" s="1263"/>
      <c r="J19" s="1263"/>
      <c r="K19" s="1264"/>
      <c r="L19" s="1264"/>
      <c r="M19" s="1264"/>
      <c r="N19" s="1264"/>
      <c r="O19" s="1265"/>
      <c r="P19" s="1266"/>
      <c r="Q19" s="1264"/>
      <c r="R19" s="1265"/>
      <c r="S19" s="1264"/>
      <c r="T19" s="1266"/>
      <c r="U19" s="1264"/>
      <c r="V19" s="1264"/>
      <c r="W19" s="1267"/>
    </row>
    <row r="20" spans="1:23" ht="13.9" customHeight="1">
      <c r="A20" s="1261">
        <v>15</v>
      </c>
      <c r="B20" s="3017"/>
      <c r="C20" s="2965"/>
      <c r="D20" s="3019"/>
      <c r="E20" s="1262"/>
      <c r="F20" s="1262"/>
      <c r="G20" s="1263"/>
      <c r="H20" s="1263"/>
      <c r="I20" s="1263"/>
      <c r="J20" s="1263"/>
      <c r="K20" s="1264"/>
      <c r="L20" s="1264"/>
      <c r="M20" s="1264"/>
      <c r="N20" s="1264"/>
      <c r="O20" s="1265"/>
      <c r="P20" s="1266"/>
      <c r="Q20" s="1264"/>
      <c r="R20" s="1265"/>
      <c r="S20" s="1264"/>
      <c r="T20" s="1266"/>
      <c r="U20" s="1264"/>
      <c r="V20" s="1264"/>
      <c r="W20" s="1267"/>
    </row>
    <row r="21" spans="1:23" ht="13.9" customHeight="1">
      <c r="A21" s="1261">
        <v>16</v>
      </c>
      <c r="B21" s="3017"/>
      <c r="C21" s="2965"/>
      <c r="D21" s="3019"/>
      <c r="E21" s="1262"/>
      <c r="F21" s="1262"/>
      <c r="G21" s="1263"/>
      <c r="H21" s="1263"/>
      <c r="I21" s="1263"/>
      <c r="J21" s="1263"/>
      <c r="K21" s="1264"/>
      <c r="L21" s="1264"/>
      <c r="M21" s="1264"/>
      <c r="N21" s="1264"/>
      <c r="O21" s="1265"/>
      <c r="P21" s="1266"/>
      <c r="Q21" s="1264"/>
      <c r="R21" s="1265"/>
      <c r="S21" s="1264"/>
      <c r="T21" s="1266"/>
      <c r="U21" s="1264"/>
      <c r="V21" s="1264"/>
      <c r="W21" s="1267"/>
    </row>
    <row r="22" spans="1:23" ht="13.9" customHeight="1">
      <c r="A22" s="1261">
        <v>17</v>
      </c>
      <c r="B22" s="3017"/>
      <c r="C22" s="2965"/>
      <c r="D22" s="3019"/>
      <c r="E22" s="1262"/>
      <c r="F22" s="1262"/>
      <c r="G22" s="1263"/>
      <c r="H22" s="1263"/>
      <c r="I22" s="1263"/>
      <c r="J22" s="1263"/>
      <c r="K22" s="1264"/>
      <c r="L22" s="1264"/>
      <c r="M22" s="1264"/>
      <c r="N22" s="1264"/>
      <c r="O22" s="1265"/>
      <c r="P22" s="1266"/>
      <c r="Q22" s="1264"/>
      <c r="R22" s="1265"/>
      <c r="S22" s="1264"/>
      <c r="T22" s="1266"/>
      <c r="U22" s="1264"/>
      <c r="V22" s="1264"/>
      <c r="W22" s="1267"/>
    </row>
    <row r="23" spans="1:23" ht="13.9" customHeight="1">
      <c r="A23" s="1261">
        <v>18</v>
      </c>
      <c r="B23" s="3017"/>
      <c r="C23" s="2965"/>
      <c r="D23" s="3019"/>
      <c r="E23" s="1262"/>
      <c r="F23" s="1262"/>
      <c r="G23" s="1263"/>
      <c r="H23" s="1263"/>
      <c r="I23" s="1263"/>
      <c r="J23" s="1263"/>
      <c r="K23" s="1264"/>
      <c r="L23" s="1264"/>
      <c r="M23" s="1264"/>
      <c r="N23" s="1264"/>
      <c r="O23" s="1265"/>
      <c r="P23" s="1266"/>
      <c r="Q23" s="1264"/>
      <c r="R23" s="1265"/>
      <c r="S23" s="1264"/>
      <c r="T23" s="1266"/>
      <c r="U23" s="1264"/>
      <c r="V23" s="1264"/>
      <c r="W23" s="1267"/>
    </row>
    <row r="24" spans="1:23" ht="13.9" customHeight="1">
      <c r="A24" s="1261">
        <v>19</v>
      </c>
      <c r="B24" s="3017"/>
      <c r="C24" s="2965"/>
      <c r="D24" s="3019"/>
      <c r="E24" s="1262"/>
      <c r="F24" s="1262"/>
      <c r="G24" s="1263"/>
      <c r="H24" s="1263"/>
      <c r="I24" s="1263"/>
      <c r="J24" s="1263"/>
      <c r="K24" s="1264"/>
      <c r="L24" s="1264"/>
      <c r="M24" s="1264"/>
      <c r="N24" s="1264"/>
      <c r="O24" s="1265"/>
      <c r="P24" s="1266"/>
      <c r="Q24" s="1264"/>
      <c r="R24" s="1265"/>
      <c r="S24" s="1264"/>
      <c r="T24" s="1266"/>
      <c r="U24" s="1264"/>
      <c r="V24" s="1264"/>
      <c r="W24" s="1267"/>
    </row>
    <row r="25" spans="1:23" ht="13.9" customHeight="1">
      <c r="A25" s="1261">
        <v>20</v>
      </c>
      <c r="B25" s="3017"/>
      <c r="C25" s="2965"/>
      <c r="D25" s="3019"/>
      <c r="E25" s="1262"/>
      <c r="F25" s="1262"/>
      <c r="G25" s="1263"/>
      <c r="H25" s="1263"/>
      <c r="I25" s="1263"/>
      <c r="J25" s="1263"/>
      <c r="K25" s="1264"/>
      <c r="L25" s="1264"/>
      <c r="M25" s="1264"/>
      <c r="N25" s="1264"/>
      <c r="O25" s="1265"/>
      <c r="P25" s="1266"/>
      <c r="Q25" s="1264"/>
      <c r="R25" s="1265"/>
      <c r="S25" s="1264"/>
      <c r="T25" s="1266"/>
      <c r="U25" s="1264"/>
      <c r="V25" s="1264"/>
      <c r="W25" s="1267"/>
    </row>
    <row r="26" spans="1:23" ht="13.9" customHeight="1">
      <c r="A26" s="1261">
        <v>21</v>
      </c>
      <c r="B26" s="3017"/>
      <c r="C26" s="2965"/>
      <c r="D26" s="3019"/>
      <c r="E26" s="1262"/>
      <c r="F26" s="1262"/>
      <c r="G26" s="1263"/>
      <c r="H26" s="1263"/>
      <c r="I26" s="1263"/>
      <c r="J26" s="1263"/>
      <c r="K26" s="1264"/>
      <c r="L26" s="1264"/>
      <c r="M26" s="1264"/>
      <c r="N26" s="1264"/>
      <c r="O26" s="1265"/>
      <c r="P26" s="1266"/>
      <c r="Q26" s="1264"/>
      <c r="R26" s="1265"/>
      <c r="S26" s="1264"/>
      <c r="T26" s="1266"/>
      <c r="U26" s="1264"/>
      <c r="V26" s="1264"/>
      <c r="W26" s="1267"/>
    </row>
    <row r="27" spans="1:23" ht="13.9" customHeight="1">
      <c r="A27" s="1261">
        <v>22</v>
      </c>
      <c r="B27" s="3017"/>
      <c r="C27" s="2965"/>
      <c r="D27" s="3019"/>
      <c r="E27" s="1262"/>
      <c r="F27" s="1262"/>
      <c r="G27" s="1263"/>
      <c r="H27" s="1263"/>
      <c r="I27" s="1263"/>
      <c r="J27" s="1263"/>
      <c r="K27" s="1264"/>
      <c r="L27" s="1264"/>
      <c r="M27" s="1264"/>
      <c r="N27" s="1264"/>
      <c r="O27" s="1265"/>
      <c r="P27" s="1266"/>
      <c r="Q27" s="1264"/>
      <c r="R27" s="1265"/>
      <c r="S27" s="1264"/>
      <c r="T27" s="1266"/>
      <c r="U27" s="1264"/>
      <c r="V27" s="1264"/>
      <c r="W27" s="1267"/>
    </row>
    <row r="28" spans="1:23" ht="13.9" customHeight="1">
      <c r="A28" s="1261">
        <v>23</v>
      </c>
      <c r="B28" s="3017"/>
      <c r="C28" s="2965"/>
      <c r="D28" s="3019"/>
      <c r="E28" s="1262"/>
      <c r="F28" s="1262"/>
      <c r="G28" s="1263"/>
      <c r="H28" s="1263"/>
      <c r="I28" s="1263"/>
      <c r="J28" s="1263"/>
      <c r="K28" s="1264"/>
      <c r="L28" s="1264"/>
      <c r="M28" s="1264"/>
      <c r="N28" s="1264"/>
      <c r="O28" s="1265"/>
      <c r="P28" s="1266"/>
      <c r="Q28" s="1264"/>
      <c r="R28" s="1265"/>
      <c r="S28" s="1264"/>
      <c r="T28" s="1266"/>
      <c r="U28" s="1264"/>
      <c r="V28" s="1264"/>
      <c r="W28" s="1267"/>
    </row>
    <row r="29" spans="1:23" ht="13.9" customHeight="1">
      <c r="A29" s="1261">
        <v>24</v>
      </c>
      <c r="B29" s="3017"/>
      <c r="C29" s="2965"/>
      <c r="D29" s="3019"/>
      <c r="E29" s="1262"/>
      <c r="F29" s="1262"/>
      <c r="G29" s="1263"/>
      <c r="H29" s="1263"/>
      <c r="I29" s="1263"/>
      <c r="J29" s="1263"/>
      <c r="K29" s="1264"/>
      <c r="L29" s="1264"/>
      <c r="M29" s="1264"/>
      <c r="N29" s="1264"/>
      <c r="O29" s="1265"/>
      <c r="P29" s="1266"/>
      <c r="Q29" s="1264"/>
      <c r="R29" s="1265"/>
      <c r="S29" s="1264"/>
      <c r="T29" s="1266"/>
      <c r="U29" s="1264"/>
      <c r="V29" s="1264"/>
      <c r="W29" s="1267"/>
    </row>
    <row r="30" spans="1:23" ht="13.9" customHeight="1">
      <c r="A30" s="1261">
        <v>25</v>
      </c>
      <c r="B30" s="3017"/>
      <c r="C30" s="2965"/>
      <c r="D30" s="3007"/>
      <c r="E30" s="1262"/>
      <c r="F30" s="1262"/>
      <c r="G30" s="1263"/>
      <c r="H30" s="1263"/>
      <c r="I30" s="1263"/>
      <c r="J30" s="1263"/>
      <c r="K30" s="1264"/>
      <c r="L30" s="1264"/>
      <c r="M30" s="1264"/>
      <c r="N30" s="1264"/>
      <c r="O30" s="1265"/>
      <c r="P30" s="1266"/>
      <c r="Q30" s="1264"/>
      <c r="R30" s="1265"/>
      <c r="S30" s="1264"/>
      <c r="T30" s="1266"/>
      <c r="U30" s="1264"/>
      <c r="V30" s="1264"/>
      <c r="W30" s="1267"/>
    </row>
    <row r="31" spans="1:23" ht="15" thickBot="1">
      <c r="A31" s="1261">
        <v>26</v>
      </c>
      <c r="B31" s="3017"/>
      <c r="C31" s="2966"/>
      <c r="D31" s="1273" t="s">
        <v>3514</v>
      </c>
      <c r="E31" s="1274"/>
      <c r="F31" s="1274"/>
      <c r="G31" s="1274"/>
      <c r="H31" s="1274"/>
      <c r="I31" s="1274"/>
      <c r="J31" s="1274"/>
      <c r="K31" s="1274"/>
      <c r="L31" s="1274"/>
      <c r="M31" s="1274"/>
      <c r="N31" s="1275">
        <f>SUM(N19:N30)</f>
        <v>0</v>
      </c>
      <c r="O31" s="1275">
        <f>SUM(O19:O30)</f>
        <v>0</v>
      </c>
      <c r="P31" s="1275">
        <f>SUM(P19:P30)</f>
        <v>0</v>
      </c>
      <c r="Q31" s="1276"/>
      <c r="R31" s="1277">
        <f>SUM(R19:R30)</f>
        <v>0</v>
      </c>
      <c r="S31" s="1276"/>
      <c r="T31" s="1276"/>
      <c r="U31" s="1276"/>
      <c r="V31" s="1276"/>
      <c r="W31" s="1278"/>
    </row>
    <row r="32" spans="1:23" ht="16.5" customHeight="1">
      <c r="A32" s="1261">
        <v>27</v>
      </c>
      <c r="B32" s="3017"/>
      <c r="C32" s="3021" t="s">
        <v>4259</v>
      </c>
      <c r="D32" s="3018" t="s">
        <v>4256</v>
      </c>
      <c r="E32" s="1255"/>
      <c r="F32" s="1255"/>
      <c r="G32" s="1256"/>
      <c r="H32" s="1256"/>
      <c r="I32" s="1256"/>
      <c r="J32" s="1256"/>
      <c r="K32" s="1257"/>
      <c r="L32" s="1257"/>
      <c r="M32" s="1257"/>
      <c r="N32" s="1257"/>
      <c r="O32" s="1258"/>
      <c r="P32" s="1259"/>
      <c r="Q32" s="1257"/>
      <c r="R32" s="1258"/>
      <c r="S32" s="1257"/>
      <c r="T32" s="1259"/>
      <c r="U32" s="1257"/>
      <c r="V32" s="1257"/>
      <c r="W32" s="1260"/>
    </row>
    <row r="33" spans="1:23" ht="13.9" customHeight="1">
      <c r="A33" s="1261">
        <v>28</v>
      </c>
      <c r="B33" s="3017"/>
      <c r="C33" s="3022"/>
      <c r="D33" s="3019"/>
      <c r="E33" s="1262"/>
      <c r="F33" s="1262"/>
      <c r="G33" s="1263"/>
      <c r="H33" s="1263"/>
      <c r="I33" s="1263"/>
      <c r="J33" s="1263"/>
      <c r="K33" s="1264"/>
      <c r="L33" s="1264"/>
      <c r="M33" s="1264"/>
      <c r="N33" s="1264"/>
      <c r="O33" s="1265"/>
      <c r="P33" s="1266"/>
      <c r="Q33" s="1264"/>
      <c r="R33" s="1265"/>
      <c r="S33" s="1264"/>
      <c r="T33" s="1266"/>
      <c r="U33" s="1264"/>
      <c r="V33" s="1264"/>
      <c r="W33" s="1267"/>
    </row>
    <row r="34" spans="1:23" ht="13.9" customHeight="1">
      <c r="A34" s="1261">
        <v>29</v>
      </c>
      <c r="B34" s="3017"/>
      <c r="C34" s="3022"/>
      <c r="D34" s="3019"/>
      <c r="E34" s="1262"/>
      <c r="F34" s="1262"/>
      <c r="G34" s="1263"/>
      <c r="H34" s="1263"/>
      <c r="I34" s="1263"/>
      <c r="J34" s="1263"/>
      <c r="K34" s="1264"/>
      <c r="L34" s="1264"/>
      <c r="M34" s="1264"/>
      <c r="N34" s="1264"/>
      <c r="O34" s="1265"/>
      <c r="P34" s="1266"/>
      <c r="Q34" s="1264"/>
      <c r="R34" s="1265"/>
      <c r="S34" s="1264"/>
      <c r="T34" s="1266"/>
      <c r="U34" s="1264"/>
      <c r="V34" s="1264"/>
      <c r="W34" s="1267"/>
    </row>
    <row r="35" spans="1:23" ht="13.9" customHeight="1">
      <c r="A35" s="1261">
        <v>30</v>
      </c>
      <c r="B35" s="3017"/>
      <c r="C35" s="3022"/>
      <c r="D35" s="3019"/>
      <c r="E35" s="1262"/>
      <c r="F35" s="1262"/>
      <c r="G35" s="1263"/>
      <c r="H35" s="1263"/>
      <c r="I35" s="1263"/>
      <c r="J35" s="1263"/>
      <c r="K35" s="1264"/>
      <c r="L35" s="1264"/>
      <c r="M35" s="1264"/>
      <c r="N35" s="1264"/>
      <c r="O35" s="1265"/>
      <c r="P35" s="1266"/>
      <c r="Q35" s="1264"/>
      <c r="R35" s="1265"/>
      <c r="S35" s="1264"/>
      <c r="T35" s="1266"/>
      <c r="U35" s="1264"/>
      <c r="V35" s="1264"/>
      <c r="W35" s="1267"/>
    </row>
    <row r="36" spans="1:23" ht="13.9" customHeight="1">
      <c r="A36" s="1261">
        <v>31</v>
      </c>
      <c r="B36" s="3017"/>
      <c r="C36" s="3022"/>
      <c r="D36" s="3019"/>
      <c r="E36" s="1262"/>
      <c r="F36" s="1262"/>
      <c r="G36" s="1263"/>
      <c r="H36" s="1263"/>
      <c r="I36" s="1263"/>
      <c r="J36" s="1263"/>
      <c r="K36" s="1264"/>
      <c r="L36" s="1264"/>
      <c r="M36" s="1264"/>
      <c r="N36" s="1264"/>
      <c r="O36" s="1265"/>
      <c r="P36" s="1266"/>
      <c r="Q36" s="1264"/>
      <c r="R36" s="1265"/>
      <c r="S36" s="1264"/>
      <c r="T36" s="1266"/>
      <c r="U36" s="1264"/>
      <c r="V36" s="1264"/>
      <c r="W36" s="1267"/>
    </row>
    <row r="37" spans="1:23" ht="13.9" customHeight="1">
      <c r="A37" s="1261">
        <v>32</v>
      </c>
      <c r="B37" s="3017"/>
      <c r="C37" s="3022"/>
      <c r="D37" s="3019"/>
      <c r="E37" s="1262"/>
      <c r="F37" s="1262"/>
      <c r="G37" s="1263"/>
      <c r="H37" s="1263"/>
      <c r="I37" s="1263"/>
      <c r="J37" s="1263"/>
      <c r="K37" s="1264"/>
      <c r="L37" s="1264"/>
      <c r="M37" s="1264"/>
      <c r="N37" s="1264"/>
      <c r="O37" s="1265"/>
      <c r="P37" s="1266"/>
      <c r="Q37" s="1264"/>
      <c r="R37" s="1265"/>
      <c r="S37" s="1264"/>
      <c r="T37" s="1266"/>
      <c r="U37" s="1264"/>
      <c r="V37" s="1264"/>
      <c r="W37" s="1267"/>
    </row>
    <row r="38" spans="1:23" ht="13.9" customHeight="1">
      <c r="A38" s="1261">
        <v>33</v>
      </c>
      <c r="B38" s="3017"/>
      <c r="C38" s="3022"/>
      <c r="D38" s="3019"/>
      <c r="E38" s="1262"/>
      <c r="F38" s="1262"/>
      <c r="G38" s="1263"/>
      <c r="H38" s="1263"/>
      <c r="I38" s="1263"/>
      <c r="J38" s="1263"/>
      <c r="K38" s="1264"/>
      <c r="L38" s="1264"/>
      <c r="M38" s="1264"/>
      <c r="N38" s="1264"/>
      <c r="O38" s="1265"/>
      <c r="P38" s="1266"/>
      <c r="Q38" s="1264"/>
      <c r="R38" s="1265"/>
      <c r="S38" s="1264"/>
      <c r="T38" s="1266"/>
      <c r="U38" s="1264"/>
      <c r="V38" s="1264"/>
      <c r="W38" s="1267"/>
    </row>
    <row r="39" spans="1:23" ht="13.9" customHeight="1">
      <c r="A39" s="1261">
        <v>34</v>
      </c>
      <c r="B39" s="3017"/>
      <c r="C39" s="3022"/>
      <c r="D39" s="3019"/>
      <c r="E39" s="1262"/>
      <c r="F39" s="1262"/>
      <c r="G39" s="1263"/>
      <c r="H39" s="1263"/>
      <c r="I39" s="1263"/>
      <c r="J39" s="1263"/>
      <c r="K39" s="1264"/>
      <c r="L39" s="1264"/>
      <c r="M39" s="1264"/>
      <c r="N39" s="1264"/>
      <c r="O39" s="1265"/>
      <c r="P39" s="1266"/>
      <c r="Q39" s="1264"/>
      <c r="R39" s="1265"/>
      <c r="S39" s="1264"/>
      <c r="T39" s="1266"/>
      <c r="U39" s="1264"/>
      <c r="V39" s="1264"/>
      <c r="W39" s="1267"/>
    </row>
    <row r="40" spans="1:23" ht="13.9" customHeight="1">
      <c r="A40" s="1261">
        <v>35</v>
      </c>
      <c r="B40" s="3017"/>
      <c r="C40" s="3022"/>
      <c r="D40" s="3019"/>
      <c r="E40" s="1262"/>
      <c r="F40" s="1262"/>
      <c r="G40" s="1263"/>
      <c r="H40" s="1263"/>
      <c r="I40" s="1263"/>
      <c r="J40" s="1263"/>
      <c r="K40" s="1264"/>
      <c r="L40" s="1264"/>
      <c r="M40" s="1264"/>
      <c r="N40" s="1264"/>
      <c r="O40" s="1265"/>
      <c r="P40" s="1266"/>
      <c r="Q40" s="1264"/>
      <c r="R40" s="1265"/>
      <c r="S40" s="1264"/>
      <c r="T40" s="1266"/>
      <c r="U40" s="1264"/>
      <c r="V40" s="1264"/>
      <c r="W40" s="1267"/>
    </row>
    <row r="41" spans="1:23" ht="13.9" customHeight="1">
      <c r="A41" s="1261">
        <v>36</v>
      </c>
      <c r="B41" s="3017"/>
      <c r="C41" s="3022"/>
      <c r="D41" s="3007"/>
      <c r="E41" s="1262"/>
      <c r="F41" s="1262"/>
      <c r="G41" s="1263"/>
      <c r="H41" s="1263"/>
      <c r="I41" s="1263"/>
      <c r="J41" s="1263"/>
      <c r="K41" s="1264"/>
      <c r="L41" s="1264"/>
      <c r="M41" s="1264"/>
      <c r="N41" s="1264"/>
      <c r="O41" s="1265"/>
      <c r="P41" s="1266"/>
      <c r="Q41" s="1264"/>
      <c r="R41" s="1265"/>
      <c r="S41" s="1264"/>
      <c r="T41" s="1266"/>
      <c r="U41" s="1264"/>
      <c r="V41" s="1264"/>
      <c r="W41" s="1267"/>
    </row>
    <row r="42" spans="1:23" ht="14.25">
      <c r="A42" s="1261">
        <v>37</v>
      </c>
      <c r="B42" s="3017"/>
      <c r="C42" s="3022"/>
      <c r="D42" s="1279" t="s">
        <v>3514</v>
      </c>
      <c r="E42" s="1271"/>
      <c r="F42" s="1271"/>
      <c r="G42" s="1271"/>
      <c r="H42" s="1271"/>
      <c r="I42" s="1271"/>
      <c r="J42" s="1271"/>
      <c r="K42" s="1271"/>
      <c r="L42" s="1271"/>
      <c r="M42" s="1271"/>
      <c r="N42" s="1264">
        <f>SUM(N32:N41)</f>
        <v>0</v>
      </c>
      <c r="O42" s="1264">
        <f>SUM(O32:O41)</f>
        <v>0</v>
      </c>
      <c r="P42" s="1264">
        <f>SUM(P32:P41)</f>
        <v>0</v>
      </c>
      <c r="Q42" s="1271"/>
      <c r="R42" s="1264">
        <f>SUM(R32:R41)</f>
        <v>0</v>
      </c>
      <c r="S42" s="1271"/>
      <c r="T42" s="1272"/>
      <c r="U42" s="1271"/>
      <c r="V42" s="1271"/>
      <c r="W42" s="1267"/>
    </row>
    <row r="43" spans="1:23" ht="13.9" customHeight="1">
      <c r="A43" s="1261">
        <v>38</v>
      </c>
      <c r="B43" s="3017"/>
      <c r="C43" s="3022"/>
      <c r="D43" s="3020" t="s">
        <v>4258</v>
      </c>
      <c r="E43" s="1262"/>
      <c r="F43" s="1262"/>
      <c r="G43" s="1263"/>
      <c r="H43" s="1263"/>
      <c r="I43" s="1263"/>
      <c r="J43" s="1263"/>
      <c r="K43" s="1264"/>
      <c r="L43" s="1264"/>
      <c r="M43" s="1264"/>
      <c r="N43" s="1264"/>
      <c r="O43" s="1265"/>
      <c r="P43" s="1266"/>
      <c r="Q43" s="1264"/>
      <c r="R43" s="1265"/>
      <c r="S43" s="1264"/>
      <c r="T43" s="1266"/>
      <c r="U43" s="1264"/>
      <c r="V43" s="1264"/>
      <c r="W43" s="1267"/>
    </row>
    <row r="44" spans="1:23" ht="13.9" customHeight="1">
      <c r="A44" s="1261">
        <v>39</v>
      </c>
      <c r="B44" s="3017"/>
      <c r="C44" s="3022"/>
      <c r="D44" s="3019"/>
      <c r="E44" s="1262"/>
      <c r="F44" s="1262"/>
      <c r="G44" s="1263"/>
      <c r="H44" s="1263"/>
      <c r="I44" s="1263"/>
      <c r="J44" s="1263"/>
      <c r="K44" s="1264"/>
      <c r="L44" s="1264"/>
      <c r="M44" s="1264"/>
      <c r="N44" s="1264"/>
      <c r="O44" s="1265"/>
      <c r="P44" s="1266"/>
      <c r="Q44" s="1264"/>
      <c r="R44" s="1265"/>
      <c r="S44" s="1264"/>
      <c r="T44" s="1266"/>
      <c r="U44" s="1264"/>
      <c r="V44" s="1264"/>
      <c r="W44" s="1267"/>
    </row>
    <row r="45" spans="1:23" ht="13.9" customHeight="1">
      <c r="A45" s="1261">
        <v>40</v>
      </c>
      <c r="B45" s="3017"/>
      <c r="C45" s="3022"/>
      <c r="D45" s="3019"/>
      <c r="E45" s="1262"/>
      <c r="F45" s="1262"/>
      <c r="G45" s="1263"/>
      <c r="H45" s="1263"/>
      <c r="I45" s="1263"/>
      <c r="J45" s="1263"/>
      <c r="K45" s="1264"/>
      <c r="L45" s="1264"/>
      <c r="M45" s="1264"/>
      <c r="N45" s="1264"/>
      <c r="O45" s="1265"/>
      <c r="P45" s="1266"/>
      <c r="Q45" s="1264"/>
      <c r="R45" s="1265"/>
      <c r="S45" s="1264"/>
      <c r="T45" s="1266"/>
      <c r="U45" s="1264"/>
      <c r="V45" s="1264"/>
      <c r="W45" s="1267"/>
    </row>
    <row r="46" spans="1:23" ht="13.9" customHeight="1">
      <c r="A46" s="1261">
        <v>41</v>
      </c>
      <c r="B46" s="3017"/>
      <c r="C46" s="3022"/>
      <c r="D46" s="3019"/>
      <c r="E46" s="1262"/>
      <c r="F46" s="1262"/>
      <c r="G46" s="1263"/>
      <c r="H46" s="1263"/>
      <c r="I46" s="1263"/>
      <c r="J46" s="1263"/>
      <c r="K46" s="1264"/>
      <c r="L46" s="1264"/>
      <c r="M46" s="1264"/>
      <c r="N46" s="1264"/>
      <c r="O46" s="1265"/>
      <c r="P46" s="1266"/>
      <c r="Q46" s="1264"/>
      <c r="R46" s="1265"/>
      <c r="S46" s="1264"/>
      <c r="T46" s="1266"/>
      <c r="U46" s="1264"/>
      <c r="V46" s="1264"/>
      <c r="W46" s="1267"/>
    </row>
    <row r="47" spans="1:23" ht="13.9" customHeight="1">
      <c r="A47" s="1261">
        <v>42</v>
      </c>
      <c r="B47" s="3017"/>
      <c r="C47" s="3022"/>
      <c r="D47" s="3019"/>
      <c r="E47" s="1262"/>
      <c r="F47" s="1262"/>
      <c r="G47" s="1263"/>
      <c r="H47" s="1263"/>
      <c r="I47" s="1263"/>
      <c r="J47" s="1263"/>
      <c r="K47" s="1264"/>
      <c r="L47" s="1264"/>
      <c r="M47" s="1264"/>
      <c r="N47" s="1264"/>
      <c r="O47" s="1265"/>
      <c r="P47" s="1266"/>
      <c r="Q47" s="1264"/>
      <c r="R47" s="1265"/>
      <c r="S47" s="1264"/>
      <c r="T47" s="1266"/>
      <c r="U47" s="1264"/>
      <c r="V47" s="1264"/>
      <c r="W47" s="1267"/>
    </row>
    <row r="48" spans="1:23" ht="13.9" customHeight="1">
      <c r="A48" s="1261">
        <v>43</v>
      </c>
      <c r="B48" s="3017"/>
      <c r="C48" s="3022"/>
      <c r="D48" s="3019"/>
      <c r="E48" s="1262"/>
      <c r="F48" s="1262"/>
      <c r="G48" s="1263"/>
      <c r="H48" s="1263"/>
      <c r="I48" s="1263"/>
      <c r="J48" s="1263"/>
      <c r="K48" s="1264"/>
      <c r="L48" s="1264"/>
      <c r="M48" s="1264"/>
      <c r="N48" s="1264"/>
      <c r="O48" s="1265"/>
      <c r="P48" s="1266"/>
      <c r="Q48" s="1264"/>
      <c r="R48" s="1265"/>
      <c r="S48" s="1264"/>
      <c r="T48" s="1266"/>
      <c r="U48" s="1264"/>
      <c r="V48" s="1264"/>
      <c r="W48" s="1267"/>
    </row>
    <row r="49" spans="1:23" ht="13.9" customHeight="1">
      <c r="A49" s="1261">
        <v>44</v>
      </c>
      <c r="B49" s="3017"/>
      <c r="C49" s="3022"/>
      <c r="D49" s="3019"/>
      <c r="E49" s="1262"/>
      <c r="F49" s="1262"/>
      <c r="G49" s="1263"/>
      <c r="H49" s="1263"/>
      <c r="I49" s="1263"/>
      <c r="J49" s="1263"/>
      <c r="K49" s="1264"/>
      <c r="L49" s="1264"/>
      <c r="M49" s="1264"/>
      <c r="N49" s="1264"/>
      <c r="O49" s="1265"/>
      <c r="P49" s="1266"/>
      <c r="Q49" s="1264"/>
      <c r="R49" s="1265"/>
      <c r="S49" s="1264"/>
      <c r="T49" s="1266"/>
      <c r="U49" s="1264"/>
      <c r="V49" s="1264"/>
      <c r="W49" s="1267"/>
    </row>
    <row r="50" spans="1:23" ht="13.9" customHeight="1">
      <c r="A50" s="1261">
        <v>45</v>
      </c>
      <c r="B50" s="3017"/>
      <c r="C50" s="3022"/>
      <c r="D50" s="3019"/>
      <c r="E50" s="1262"/>
      <c r="F50" s="1262"/>
      <c r="G50" s="1263"/>
      <c r="H50" s="1263"/>
      <c r="I50" s="1263"/>
      <c r="J50" s="1263"/>
      <c r="K50" s="1264"/>
      <c r="L50" s="1264"/>
      <c r="M50" s="1264"/>
      <c r="N50" s="1264"/>
      <c r="O50" s="1265"/>
      <c r="P50" s="1266"/>
      <c r="Q50" s="1264"/>
      <c r="R50" s="1265"/>
      <c r="S50" s="1264"/>
      <c r="T50" s="1266"/>
      <c r="U50" s="1264"/>
      <c r="V50" s="1264"/>
      <c r="W50" s="1267"/>
    </row>
    <row r="51" spans="1:23" ht="13.9" customHeight="1">
      <c r="A51" s="1261">
        <v>46</v>
      </c>
      <c r="B51" s="3017"/>
      <c r="C51" s="3022"/>
      <c r="D51" s="3019"/>
      <c r="E51" s="1262"/>
      <c r="F51" s="1262"/>
      <c r="G51" s="1263"/>
      <c r="H51" s="1263"/>
      <c r="I51" s="1263"/>
      <c r="J51" s="1263"/>
      <c r="K51" s="1264"/>
      <c r="L51" s="1264"/>
      <c r="M51" s="1264"/>
      <c r="N51" s="1264"/>
      <c r="O51" s="1265"/>
      <c r="P51" s="1266"/>
      <c r="Q51" s="1264"/>
      <c r="R51" s="1265"/>
      <c r="S51" s="1264"/>
      <c r="T51" s="1266"/>
      <c r="U51" s="1264"/>
      <c r="V51" s="1264"/>
      <c r="W51" s="1267"/>
    </row>
    <row r="52" spans="1:23" ht="13.9" customHeight="1">
      <c r="A52" s="1261">
        <v>47</v>
      </c>
      <c r="B52" s="3017"/>
      <c r="C52" s="3022"/>
      <c r="D52" s="3019"/>
      <c r="E52" s="1262"/>
      <c r="F52" s="1262"/>
      <c r="G52" s="1263"/>
      <c r="H52" s="1263"/>
      <c r="I52" s="1263"/>
      <c r="J52" s="1263"/>
      <c r="K52" s="1264"/>
      <c r="L52" s="1264"/>
      <c r="M52" s="1264"/>
      <c r="N52" s="1264"/>
      <c r="O52" s="1265"/>
      <c r="P52" s="1266"/>
      <c r="Q52" s="1264"/>
      <c r="R52" s="1265"/>
      <c r="S52" s="1264"/>
      <c r="T52" s="1266"/>
      <c r="U52" s="1264"/>
      <c r="V52" s="1264"/>
      <c r="W52" s="1267"/>
    </row>
    <row r="53" spans="1:23" ht="15" thickBot="1">
      <c r="A53" s="1261">
        <v>48</v>
      </c>
      <c r="B53" s="3017"/>
      <c r="C53" s="3023"/>
      <c r="D53" s="1273" t="s">
        <v>3514</v>
      </c>
      <c r="E53" s="1276"/>
      <c r="F53" s="1276"/>
      <c r="G53" s="1276"/>
      <c r="H53" s="1276"/>
      <c r="I53" s="1276"/>
      <c r="J53" s="1276"/>
      <c r="K53" s="1276"/>
      <c r="L53" s="1276"/>
      <c r="M53" s="1276"/>
      <c r="N53" s="1275">
        <f>SUM(N43:N52)</f>
        <v>0</v>
      </c>
      <c r="O53" s="1275">
        <f>SUM(O43:O52)</f>
        <v>0</v>
      </c>
      <c r="P53" s="1275">
        <f>SUM(P43:P52)</f>
        <v>0</v>
      </c>
      <c r="Q53" s="1276"/>
      <c r="R53" s="1275">
        <f>SUM(R43:R52)</f>
        <v>0</v>
      </c>
      <c r="S53" s="1276"/>
      <c r="T53" s="1276"/>
      <c r="U53" s="1276"/>
      <c r="V53" s="1276"/>
      <c r="W53" s="1278"/>
    </row>
    <row r="54" spans="1:23">
      <c r="A54" s="1261">
        <v>49</v>
      </c>
      <c r="B54" s="3017"/>
      <c r="C54" s="3024" t="s">
        <v>4260</v>
      </c>
      <c r="D54" s="3001" t="s">
        <v>4199</v>
      </c>
      <c r="E54" s="1255"/>
      <c r="F54" s="1255"/>
      <c r="G54" s="1256"/>
      <c r="H54" s="1256"/>
      <c r="I54" s="1256"/>
      <c r="J54" s="1256"/>
      <c r="K54" s="1257"/>
      <c r="L54" s="1257"/>
      <c r="M54" s="1257"/>
      <c r="N54" s="1257"/>
      <c r="O54" s="1258"/>
      <c r="P54" s="1259"/>
      <c r="Q54" s="1257"/>
      <c r="R54" s="1258"/>
      <c r="S54" s="1257"/>
      <c r="T54" s="1259"/>
      <c r="U54" s="1257"/>
      <c r="V54" s="1257"/>
      <c r="W54" s="1260"/>
    </row>
    <row r="55" spans="1:23">
      <c r="A55" s="1261">
        <v>50</v>
      </c>
      <c r="B55" s="3017"/>
      <c r="C55" s="3025"/>
      <c r="D55" s="3002"/>
      <c r="E55" s="1262"/>
      <c r="F55" s="1262"/>
      <c r="G55" s="1263"/>
      <c r="H55" s="1263"/>
      <c r="I55" s="1263"/>
      <c r="J55" s="1263"/>
      <c r="K55" s="1264"/>
      <c r="L55" s="1264"/>
      <c r="M55" s="1264"/>
      <c r="N55" s="1264"/>
      <c r="O55" s="1265"/>
      <c r="P55" s="1266"/>
      <c r="Q55" s="1264"/>
      <c r="R55" s="1265"/>
      <c r="S55" s="1264"/>
      <c r="T55" s="1266"/>
      <c r="U55" s="1264"/>
      <c r="V55" s="1264"/>
      <c r="W55" s="1267"/>
    </row>
    <row r="56" spans="1:23">
      <c r="A56" s="1261">
        <v>51</v>
      </c>
      <c r="B56" s="3017"/>
      <c r="C56" s="3025"/>
      <c r="D56" s="3002"/>
      <c r="E56" s="1262"/>
      <c r="F56" s="1262"/>
      <c r="G56" s="1263"/>
      <c r="H56" s="1263"/>
      <c r="I56" s="1263"/>
      <c r="J56" s="1263"/>
      <c r="K56" s="1264"/>
      <c r="L56" s="1264"/>
      <c r="M56" s="1264"/>
      <c r="N56" s="1264"/>
      <c r="O56" s="1265"/>
      <c r="P56" s="1266"/>
      <c r="Q56" s="1264"/>
      <c r="R56" s="1265"/>
      <c r="S56" s="1264"/>
      <c r="T56" s="1266"/>
      <c r="U56" s="1264"/>
      <c r="V56" s="1264"/>
      <c r="W56" s="1267"/>
    </row>
    <row r="57" spans="1:23">
      <c r="A57" s="1261">
        <v>52</v>
      </c>
      <c r="B57" s="3017"/>
      <c r="C57" s="3025"/>
      <c r="D57" s="3002"/>
      <c r="E57" s="1262"/>
      <c r="F57" s="1262"/>
      <c r="G57" s="1263"/>
      <c r="H57" s="1263"/>
      <c r="I57" s="1263"/>
      <c r="J57" s="1263"/>
      <c r="K57" s="1264"/>
      <c r="L57" s="1264"/>
      <c r="M57" s="1264"/>
      <c r="N57" s="1264"/>
      <c r="O57" s="1265"/>
      <c r="P57" s="1266"/>
      <c r="Q57" s="1264"/>
      <c r="R57" s="1265"/>
      <c r="S57" s="1264"/>
      <c r="T57" s="1266"/>
      <c r="U57" s="1264"/>
      <c r="V57" s="1264"/>
      <c r="W57" s="1267"/>
    </row>
    <row r="58" spans="1:23">
      <c r="A58" s="1261">
        <v>53</v>
      </c>
      <c r="B58" s="3017"/>
      <c r="C58" s="3025"/>
      <c r="D58" s="3002"/>
      <c r="E58" s="1262"/>
      <c r="F58" s="1262"/>
      <c r="G58" s="1263"/>
      <c r="H58" s="1263"/>
      <c r="I58" s="1263"/>
      <c r="J58" s="1263"/>
      <c r="K58" s="1264"/>
      <c r="L58" s="1264"/>
      <c r="M58" s="1264"/>
      <c r="N58" s="1264"/>
      <c r="O58" s="1265"/>
      <c r="P58" s="1266"/>
      <c r="Q58" s="1264"/>
      <c r="R58" s="1265"/>
      <c r="S58" s="1264"/>
      <c r="T58" s="1266"/>
      <c r="U58" s="1264"/>
      <c r="V58" s="1264"/>
      <c r="W58" s="1267"/>
    </row>
    <row r="59" spans="1:23">
      <c r="A59" s="1261">
        <v>54</v>
      </c>
      <c r="B59" s="3017"/>
      <c r="C59" s="3025"/>
      <c r="D59" s="3002"/>
      <c r="E59" s="1262"/>
      <c r="F59" s="1262"/>
      <c r="G59" s="1263"/>
      <c r="H59" s="1263"/>
      <c r="I59" s="1263"/>
      <c r="J59" s="1263"/>
      <c r="K59" s="1264"/>
      <c r="L59" s="1264"/>
      <c r="M59" s="1264"/>
      <c r="N59" s="1264"/>
      <c r="O59" s="1265"/>
      <c r="P59" s="1266"/>
      <c r="Q59" s="1264"/>
      <c r="R59" s="1265"/>
      <c r="S59" s="1264"/>
      <c r="T59" s="1266"/>
      <c r="U59" s="1264"/>
      <c r="V59" s="1264"/>
      <c r="W59" s="1267"/>
    </row>
    <row r="60" spans="1:23">
      <c r="A60" s="1261">
        <v>55</v>
      </c>
      <c r="B60" s="3017"/>
      <c r="C60" s="3025"/>
      <c r="D60" s="3002"/>
      <c r="E60" s="1262"/>
      <c r="F60" s="1262"/>
      <c r="G60" s="1263"/>
      <c r="H60" s="1263"/>
      <c r="I60" s="1263"/>
      <c r="J60" s="1263"/>
      <c r="K60" s="1264"/>
      <c r="L60" s="1264"/>
      <c r="M60" s="1264"/>
      <c r="N60" s="1264"/>
      <c r="O60" s="1265"/>
      <c r="P60" s="1266"/>
      <c r="Q60" s="1264"/>
      <c r="R60" s="1265"/>
      <c r="S60" s="1264"/>
      <c r="T60" s="1266"/>
      <c r="U60" s="1264"/>
      <c r="V60" s="1264"/>
      <c r="W60" s="1267"/>
    </row>
    <row r="61" spans="1:23">
      <c r="A61" s="1261">
        <v>56</v>
      </c>
      <c r="B61" s="3017"/>
      <c r="C61" s="3025"/>
      <c r="D61" s="3002"/>
      <c r="E61" s="1262"/>
      <c r="F61" s="1262"/>
      <c r="G61" s="1263"/>
      <c r="H61" s="1263"/>
      <c r="I61" s="1263"/>
      <c r="J61" s="1263"/>
      <c r="K61" s="1264"/>
      <c r="L61" s="1264"/>
      <c r="M61" s="1264"/>
      <c r="N61" s="1264"/>
      <c r="O61" s="1265"/>
      <c r="P61" s="1266"/>
      <c r="Q61" s="1264"/>
      <c r="R61" s="1265"/>
      <c r="S61" s="1264"/>
      <c r="T61" s="1266"/>
      <c r="U61" s="1264"/>
      <c r="V61" s="1264"/>
      <c r="W61" s="1267"/>
    </row>
    <row r="62" spans="1:23">
      <c r="A62" s="1261">
        <v>57</v>
      </c>
      <c r="B62" s="3017"/>
      <c r="C62" s="3025"/>
      <c r="D62" s="3002"/>
      <c r="E62" s="1262"/>
      <c r="F62" s="1262"/>
      <c r="G62" s="1263"/>
      <c r="H62" s="1263"/>
      <c r="I62" s="1263"/>
      <c r="J62" s="1263"/>
      <c r="K62" s="1264"/>
      <c r="L62" s="1264"/>
      <c r="M62" s="1264"/>
      <c r="N62" s="1264"/>
      <c r="O62" s="1265"/>
      <c r="P62" s="1266"/>
      <c r="Q62" s="1264"/>
      <c r="R62" s="1265"/>
      <c r="S62" s="1264"/>
      <c r="T62" s="1266"/>
      <c r="U62" s="1264"/>
      <c r="V62" s="1264"/>
      <c r="W62" s="1267"/>
    </row>
    <row r="63" spans="1:23">
      <c r="A63" s="1261">
        <v>58</v>
      </c>
      <c r="B63" s="3017"/>
      <c r="C63" s="3025"/>
      <c r="D63" s="2953"/>
      <c r="E63" s="1262"/>
      <c r="F63" s="1262"/>
      <c r="G63" s="1263"/>
      <c r="H63" s="1263"/>
      <c r="I63" s="1263"/>
      <c r="J63" s="1263"/>
      <c r="K63" s="1264"/>
      <c r="L63" s="1264"/>
      <c r="M63" s="1264"/>
      <c r="N63" s="1264"/>
      <c r="O63" s="1265"/>
      <c r="P63" s="1266"/>
      <c r="Q63" s="1264"/>
      <c r="R63" s="1265"/>
      <c r="S63" s="1264"/>
      <c r="T63" s="1266"/>
      <c r="U63" s="1264"/>
      <c r="V63" s="1264"/>
      <c r="W63" s="1267"/>
    </row>
    <row r="64" spans="1:23" ht="14.25">
      <c r="A64" s="1261">
        <v>59</v>
      </c>
      <c r="B64" s="3017"/>
      <c r="C64" s="3025"/>
      <c r="D64" s="1279" t="s">
        <v>3514</v>
      </c>
      <c r="E64" s="1271"/>
      <c r="F64" s="1271"/>
      <c r="G64" s="1271"/>
      <c r="H64" s="1271"/>
      <c r="I64" s="1271"/>
      <c r="J64" s="1271"/>
      <c r="K64" s="1271"/>
      <c r="L64" s="1271"/>
      <c r="M64" s="1271"/>
      <c r="N64" s="1264">
        <f>SUM(N54:N63)</f>
        <v>0</v>
      </c>
      <c r="O64" s="1264">
        <f>SUM(O54:O63)</f>
        <v>0</v>
      </c>
      <c r="P64" s="1264">
        <f>SUM(P54:P63)</f>
        <v>0</v>
      </c>
      <c r="Q64" s="1271"/>
      <c r="R64" s="1264">
        <f>SUM(R54:R63)</f>
        <v>0</v>
      </c>
      <c r="S64" s="1271"/>
      <c r="T64" s="1271"/>
      <c r="U64" s="1271"/>
      <c r="V64" s="1271"/>
      <c r="W64" s="1267"/>
    </row>
    <row r="65" spans="1:23" ht="13.9" customHeight="1">
      <c r="A65" s="1261">
        <v>60</v>
      </c>
      <c r="B65" s="3017"/>
      <c r="C65" s="3025"/>
      <c r="D65" s="3006" t="s">
        <v>4256</v>
      </c>
      <c r="E65" s="1262"/>
      <c r="F65" s="1262"/>
      <c r="G65" s="1263"/>
      <c r="H65" s="1263"/>
      <c r="I65" s="1263"/>
      <c r="J65" s="1263"/>
      <c r="K65" s="1264"/>
      <c r="L65" s="1264"/>
      <c r="M65" s="1264"/>
      <c r="N65" s="1264"/>
      <c r="O65" s="1265"/>
      <c r="P65" s="1266"/>
      <c r="Q65" s="1264"/>
      <c r="R65" s="1265"/>
      <c r="S65" s="1264"/>
      <c r="T65" s="1266"/>
      <c r="U65" s="1264"/>
      <c r="V65" s="1264"/>
      <c r="W65" s="1267"/>
    </row>
    <row r="66" spans="1:23" ht="13.9" customHeight="1">
      <c r="A66" s="1261">
        <v>61</v>
      </c>
      <c r="B66" s="3017"/>
      <c r="C66" s="3025"/>
      <c r="D66" s="3002"/>
      <c r="E66" s="1262"/>
      <c r="F66" s="1262"/>
      <c r="G66" s="1263"/>
      <c r="H66" s="1263"/>
      <c r="I66" s="1263"/>
      <c r="J66" s="1263"/>
      <c r="K66" s="1264"/>
      <c r="L66" s="1264"/>
      <c r="M66" s="1264"/>
      <c r="N66" s="1264"/>
      <c r="O66" s="1265"/>
      <c r="P66" s="1266"/>
      <c r="Q66" s="1266"/>
      <c r="R66" s="1265"/>
      <c r="S66" s="1264"/>
      <c r="T66" s="1280"/>
      <c r="U66" s="1264"/>
      <c r="V66" s="1264"/>
      <c r="W66" s="1267"/>
    </row>
    <row r="67" spans="1:23" ht="13.9" customHeight="1">
      <c r="A67" s="1261">
        <v>62</v>
      </c>
      <c r="B67" s="3017"/>
      <c r="C67" s="3025"/>
      <c r="D67" s="3002"/>
      <c r="E67" s="1262"/>
      <c r="F67" s="1262"/>
      <c r="G67" s="1263"/>
      <c r="H67" s="1263"/>
      <c r="I67" s="1263"/>
      <c r="J67" s="1263"/>
      <c r="K67" s="1264"/>
      <c r="L67" s="1264"/>
      <c r="M67" s="1264"/>
      <c r="N67" s="1264"/>
      <c r="O67" s="1265"/>
      <c r="P67" s="1266"/>
      <c r="Q67" s="1266"/>
      <c r="R67" s="1265"/>
      <c r="S67" s="1264"/>
      <c r="T67" s="1280"/>
      <c r="U67" s="1264"/>
      <c r="V67" s="1264"/>
      <c r="W67" s="1267"/>
    </row>
    <row r="68" spans="1:23" ht="13.9" customHeight="1">
      <c r="A68" s="1261">
        <v>63</v>
      </c>
      <c r="B68" s="3017"/>
      <c r="C68" s="3025"/>
      <c r="D68" s="3002"/>
      <c r="E68" s="1262"/>
      <c r="F68" s="1262"/>
      <c r="G68" s="1263"/>
      <c r="H68" s="1263"/>
      <c r="I68" s="1263"/>
      <c r="J68" s="1263"/>
      <c r="K68" s="1264"/>
      <c r="L68" s="1264"/>
      <c r="M68" s="1264"/>
      <c r="N68" s="1264"/>
      <c r="O68" s="1265"/>
      <c r="P68" s="1266"/>
      <c r="Q68" s="1266"/>
      <c r="R68" s="1265"/>
      <c r="S68" s="1264"/>
      <c r="T68" s="1280"/>
      <c r="U68" s="1264"/>
      <c r="V68" s="1264"/>
      <c r="W68" s="1267"/>
    </row>
    <row r="69" spans="1:23" ht="13.9" customHeight="1">
      <c r="A69" s="1261">
        <v>64</v>
      </c>
      <c r="B69" s="3017"/>
      <c r="C69" s="3025"/>
      <c r="D69" s="3002"/>
      <c r="E69" s="1262"/>
      <c r="F69" s="1262"/>
      <c r="G69" s="1263"/>
      <c r="H69" s="1263"/>
      <c r="I69" s="1263"/>
      <c r="J69" s="1263"/>
      <c r="K69" s="1264"/>
      <c r="L69" s="1264"/>
      <c r="M69" s="1264"/>
      <c r="N69" s="1264"/>
      <c r="O69" s="1265"/>
      <c r="P69" s="1266"/>
      <c r="Q69" s="1266"/>
      <c r="R69" s="1265"/>
      <c r="S69" s="1264"/>
      <c r="T69" s="1280"/>
      <c r="U69" s="1264"/>
      <c r="V69" s="1264"/>
      <c r="W69" s="1267"/>
    </row>
    <row r="70" spans="1:23" ht="13.9" customHeight="1">
      <c r="A70" s="1261">
        <v>65</v>
      </c>
      <c r="B70" s="3017"/>
      <c r="C70" s="3025"/>
      <c r="D70" s="3002"/>
      <c r="E70" s="1262"/>
      <c r="F70" s="1262"/>
      <c r="G70" s="1263"/>
      <c r="H70" s="1263"/>
      <c r="I70" s="1263"/>
      <c r="J70" s="1263"/>
      <c r="K70" s="1264"/>
      <c r="L70" s="1264"/>
      <c r="M70" s="1264"/>
      <c r="N70" s="1264"/>
      <c r="O70" s="1265"/>
      <c r="P70" s="1266"/>
      <c r="Q70" s="1266"/>
      <c r="R70" s="1265"/>
      <c r="S70" s="1264"/>
      <c r="T70" s="1280"/>
      <c r="U70" s="1264"/>
      <c r="V70" s="1264"/>
      <c r="W70" s="1267"/>
    </row>
    <row r="71" spans="1:23" ht="13.9" customHeight="1">
      <c r="A71" s="1261">
        <v>66</v>
      </c>
      <c r="B71" s="3017"/>
      <c r="C71" s="3025"/>
      <c r="D71" s="3002"/>
      <c r="E71" s="1262"/>
      <c r="F71" s="1262"/>
      <c r="G71" s="1263"/>
      <c r="H71" s="1263"/>
      <c r="I71" s="1263"/>
      <c r="J71" s="1263"/>
      <c r="K71" s="1264"/>
      <c r="L71" s="1264"/>
      <c r="M71" s="1264"/>
      <c r="N71" s="1264"/>
      <c r="O71" s="1265"/>
      <c r="P71" s="1266"/>
      <c r="Q71" s="1266"/>
      <c r="R71" s="1265"/>
      <c r="S71" s="1264"/>
      <c r="T71" s="1280"/>
      <c r="U71" s="1264"/>
      <c r="V71" s="1264"/>
      <c r="W71" s="1267"/>
    </row>
    <row r="72" spans="1:23" ht="13.9" customHeight="1">
      <c r="A72" s="1261">
        <v>67</v>
      </c>
      <c r="B72" s="3017"/>
      <c r="C72" s="3025"/>
      <c r="D72" s="3002"/>
      <c r="E72" s="1262"/>
      <c r="F72" s="1262"/>
      <c r="G72" s="1263"/>
      <c r="H72" s="1263"/>
      <c r="I72" s="1263"/>
      <c r="J72" s="1263"/>
      <c r="K72" s="1264"/>
      <c r="L72" s="1264"/>
      <c r="M72" s="1264"/>
      <c r="N72" s="1264"/>
      <c r="O72" s="1265"/>
      <c r="P72" s="1266"/>
      <c r="Q72" s="1266"/>
      <c r="R72" s="1265"/>
      <c r="S72" s="1264"/>
      <c r="T72" s="1280"/>
      <c r="U72" s="1264"/>
      <c r="V72" s="1264"/>
      <c r="W72" s="1267"/>
    </row>
    <row r="73" spans="1:23" ht="13.9" customHeight="1">
      <c r="A73" s="1261">
        <v>68</v>
      </c>
      <c r="B73" s="3017"/>
      <c r="C73" s="3025"/>
      <c r="D73" s="3002"/>
      <c r="E73" s="1262"/>
      <c r="F73" s="1262"/>
      <c r="G73" s="1263"/>
      <c r="H73" s="1263"/>
      <c r="I73" s="1263"/>
      <c r="J73" s="1263"/>
      <c r="K73" s="1264"/>
      <c r="L73" s="1264"/>
      <c r="M73" s="1264"/>
      <c r="N73" s="1264"/>
      <c r="O73" s="1265"/>
      <c r="P73" s="1266"/>
      <c r="Q73" s="1266"/>
      <c r="R73" s="1265"/>
      <c r="S73" s="1264"/>
      <c r="T73" s="1280"/>
      <c r="U73" s="1264"/>
      <c r="V73" s="1264"/>
      <c r="W73" s="1267"/>
    </row>
    <row r="74" spans="1:23" ht="13.9" customHeight="1">
      <c r="A74" s="1261">
        <v>69</v>
      </c>
      <c r="B74" s="3017"/>
      <c r="C74" s="3025"/>
      <c r="D74" s="3002"/>
      <c r="E74" s="1262"/>
      <c r="F74" s="1262"/>
      <c r="G74" s="1263"/>
      <c r="H74" s="1263"/>
      <c r="I74" s="1263"/>
      <c r="J74" s="1263"/>
      <c r="K74" s="1264"/>
      <c r="L74" s="1264"/>
      <c r="M74" s="1264"/>
      <c r="N74" s="1264"/>
      <c r="O74" s="1265"/>
      <c r="P74" s="1266"/>
      <c r="Q74" s="1266"/>
      <c r="R74" s="1265"/>
      <c r="S74" s="1264"/>
      <c r="T74" s="1280"/>
      <c r="U74" s="1264"/>
      <c r="V74" s="1264"/>
      <c r="W74" s="1267"/>
    </row>
    <row r="75" spans="1:23" ht="14.25">
      <c r="A75" s="1261">
        <v>70</v>
      </c>
      <c r="B75" s="3017"/>
      <c r="C75" s="3025"/>
      <c r="D75" s="1279" t="s">
        <v>3514</v>
      </c>
      <c r="E75" s="1271"/>
      <c r="F75" s="1271"/>
      <c r="G75" s="1271"/>
      <c r="H75" s="1271"/>
      <c r="I75" s="1271"/>
      <c r="J75" s="1271"/>
      <c r="K75" s="1271"/>
      <c r="L75" s="1271"/>
      <c r="M75" s="1271"/>
      <c r="N75" s="1264">
        <f>SUM(N65:N74)</f>
        <v>0</v>
      </c>
      <c r="O75" s="1264">
        <f>SUM(O65:O74)</f>
        <v>0</v>
      </c>
      <c r="P75" s="1264">
        <f>SUM(P65:P74)</f>
        <v>0</v>
      </c>
      <c r="Q75" s="1271"/>
      <c r="R75" s="1264">
        <f>SUM(R65:R74)</f>
        <v>0</v>
      </c>
      <c r="S75" s="1271"/>
      <c r="T75" s="1271"/>
      <c r="U75" s="1271"/>
      <c r="V75" s="1271"/>
      <c r="W75" s="1267"/>
    </row>
    <row r="76" spans="1:23" ht="13.9" customHeight="1">
      <c r="A76" s="1261">
        <v>71</v>
      </c>
      <c r="B76" s="3017"/>
      <c r="C76" s="3025"/>
      <c r="D76" s="3020" t="s">
        <v>4258</v>
      </c>
      <c r="E76" s="1262"/>
      <c r="F76" s="1262"/>
      <c r="G76" s="1263"/>
      <c r="H76" s="1263"/>
      <c r="I76" s="1263"/>
      <c r="J76" s="1263"/>
      <c r="K76" s="1264"/>
      <c r="L76" s="1264"/>
      <c r="M76" s="1264"/>
      <c r="N76" s="1264"/>
      <c r="O76" s="1265"/>
      <c r="P76" s="1266"/>
      <c r="Q76" s="1266"/>
      <c r="R76" s="1265"/>
      <c r="S76" s="1264"/>
      <c r="T76" s="1280"/>
      <c r="U76" s="1264"/>
      <c r="V76" s="1264"/>
      <c r="W76" s="1267"/>
    </row>
    <row r="77" spans="1:23" ht="13.9" customHeight="1">
      <c r="A77" s="1261">
        <v>72</v>
      </c>
      <c r="B77" s="3017"/>
      <c r="C77" s="3025"/>
      <c r="D77" s="3019"/>
      <c r="E77" s="1262"/>
      <c r="F77" s="1262"/>
      <c r="G77" s="1263"/>
      <c r="H77" s="1263"/>
      <c r="I77" s="1263"/>
      <c r="J77" s="1263"/>
      <c r="K77" s="1264"/>
      <c r="L77" s="1264"/>
      <c r="M77" s="1264"/>
      <c r="N77" s="1264"/>
      <c r="O77" s="1265"/>
      <c r="P77" s="1266"/>
      <c r="Q77" s="1266"/>
      <c r="R77" s="1265"/>
      <c r="S77" s="1264"/>
      <c r="T77" s="1280"/>
      <c r="U77" s="1264"/>
      <c r="V77" s="1264"/>
      <c r="W77" s="1267"/>
    </row>
    <row r="78" spans="1:23" ht="13.9" customHeight="1">
      <c r="A78" s="1261">
        <v>73</v>
      </c>
      <c r="B78" s="3017"/>
      <c r="C78" s="3025"/>
      <c r="D78" s="3019"/>
      <c r="E78" s="1262"/>
      <c r="F78" s="1262"/>
      <c r="G78" s="1263"/>
      <c r="H78" s="1263"/>
      <c r="I78" s="1263"/>
      <c r="J78" s="1263"/>
      <c r="K78" s="1264"/>
      <c r="L78" s="1264"/>
      <c r="M78" s="1264"/>
      <c r="N78" s="1264"/>
      <c r="O78" s="1265"/>
      <c r="P78" s="1266"/>
      <c r="Q78" s="1266"/>
      <c r="R78" s="1265"/>
      <c r="S78" s="1264"/>
      <c r="T78" s="1280"/>
      <c r="U78" s="1264"/>
      <c r="V78" s="1264"/>
      <c r="W78" s="1267"/>
    </row>
    <row r="79" spans="1:23" ht="13.9" customHeight="1">
      <c r="A79" s="1261">
        <v>74</v>
      </c>
      <c r="B79" s="3017"/>
      <c r="C79" s="3025"/>
      <c r="D79" s="3019"/>
      <c r="E79" s="1262"/>
      <c r="F79" s="1262"/>
      <c r="G79" s="1263"/>
      <c r="H79" s="1263"/>
      <c r="I79" s="1263"/>
      <c r="J79" s="1263"/>
      <c r="K79" s="1264"/>
      <c r="L79" s="1264"/>
      <c r="M79" s="1264"/>
      <c r="N79" s="1264"/>
      <c r="O79" s="1265"/>
      <c r="P79" s="1266"/>
      <c r="Q79" s="1266"/>
      <c r="R79" s="1265"/>
      <c r="S79" s="1264"/>
      <c r="T79" s="1280"/>
      <c r="U79" s="1264"/>
      <c r="V79" s="1264"/>
      <c r="W79" s="1267"/>
    </row>
    <row r="80" spans="1:23" ht="13.9" customHeight="1">
      <c r="A80" s="1261">
        <v>75</v>
      </c>
      <c r="B80" s="3017"/>
      <c r="C80" s="3025"/>
      <c r="D80" s="3019"/>
      <c r="E80" s="1262"/>
      <c r="F80" s="1262"/>
      <c r="G80" s="1263"/>
      <c r="H80" s="1263"/>
      <c r="I80" s="1263"/>
      <c r="J80" s="1263"/>
      <c r="K80" s="1264"/>
      <c r="L80" s="1264"/>
      <c r="M80" s="1264"/>
      <c r="N80" s="1264"/>
      <c r="O80" s="1265"/>
      <c r="P80" s="1266"/>
      <c r="Q80" s="1266"/>
      <c r="R80" s="1265"/>
      <c r="S80" s="1264"/>
      <c r="T80" s="1280"/>
      <c r="U80" s="1264"/>
      <c r="V80" s="1264"/>
      <c r="W80" s="1267"/>
    </row>
    <row r="81" spans="1:23" ht="13.9" customHeight="1">
      <c r="A81" s="1261">
        <v>76</v>
      </c>
      <c r="B81" s="3017"/>
      <c r="C81" s="3025"/>
      <c r="D81" s="3019"/>
      <c r="E81" s="1262"/>
      <c r="F81" s="1262"/>
      <c r="G81" s="1263"/>
      <c r="H81" s="1263"/>
      <c r="I81" s="1263"/>
      <c r="J81" s="1263"/>
      <c r="K81" s="1264"/>
      <c r="L81" s="1264"/>
      <c r="M81" s="1264"/>
      <c r="N81" s="1264"/>
      <c r="O81" s="1265"/>
      <c r="P81" s="1266"/>
      <c r="Q81" s="1266"/>
      <c r="R81" s="1265"/>
      <c r="S81" s="1264"/>
      <c r="T81" s="1280"/>
      <c r="U81" s="1264"/>
      <c r="V81" s="1264"/>
      <c r="W81" s="1267"/>
    </row>
    <row r="82" spans="1:23" ht="13.9" customHeight="1">
      <c r="A82" s="1261">
        <v>77</v>
      </c>
      <c r="B82" s="3017"/>
      <c r="C82" s="3025"/>
      <c r="D82" s="3019"/>
      <c r="E82" s="1262"/>
      <c r="F82" s="1262"/>
      <c r="G82" s="1263"/>
      <c r="H82" s="1263"/>
      <c r="I82" s="1263"/>
      <c r="J82" s="1263"/>
      <c r="K82" s="1264"/>
      <c r="L82" s="1264"/>
      <c r="M82" s="1264"/>
      <c r="N82" s="1264"/>
      <c r="O82" s="1265"/>
      <c r="P82" s="1266"/>
      <c r="Q82" s="1264"/>
      <c r="R82" s="1265"/>
      <c r="S82" s="1264"/>
      <c r="T82" s="1266"/>
      <c r="U82" s="1264"/>
      <c r="V82" s="1264"/>
      <c r="W82" s="1267"/>
    </row>
    <row r="83" spans="1:23" ht="13.9" customHeight="1">
      <c r="A83" s="1261">
        <v>78</v>
      </c>
      <c r="B83" s="3017"/>
      <c r="C83" s="3025"/>
      <c r="D83" s="3019"/>
      <c r="E83" s="1262"/>
      <c r="F83" s="1262"/>
      <c r="G83" s="1263"/>
      <c r="H83" s="1263"/>
      <c r="I83" s="1263"/>
      <c r="J83" s="1263"/>
      <c r="K83" s="1264"/>
      <c r="L83" s="1264"/>
      <c r="M83" s="1264"/>
      <c r="N83" s="1264"/>
      <c r="O83" s="1265"/>
      <c r="P83" s="1266"/>
      <c r="Q83" s="1264"/>
      <c r="R83" s="1265"/>
      <c r="S83" s="1264"/>
      <c r="T83" s="1266"/>
      <c r="U83" s="1264"/>
      <c r="V83" s="1264"/>
      <c r="W83" s="1267"/>
    </row>
    <row r="84" spans="1:23" ht="13.9" customHeight="1">
      <c r="A84" s="1261">
        <v>79</v>
      </c>
      <c r="B84" s="3017"/>
      <c r="C84" s="3025"/>
      <c r="D84" s="3019"/>
      <c r="E84" s="1262"/>
      <c r="F84" s="1262"/>
      <c r="G84" s="1263"/>
      <c r="H84" s="1263"/>
      <c r="I84" s="1263"/>
      <c r="J84" s="1263"/>
      <c r="K84" s="1264"/>
      <c r="L84" s="1264"/>
      <c r="M84" s="1264"/>
      <c r="N84" s="1264"/>
      <c r="O84" s="1265"/>
      <c r="P84" s="1266"/>
      <c r="Q84" s="1264"/>
      <c r="R84" s="1265"/>
      <c r="S84" s="1264"/>
      <c r="T84" s="1266"/>
      <c r="U84" s="1264"/>
      <c r="V84" s="1264"/>
      <c r="W84" s="1267"/>
    </row>
    <row r="85" spans="1:23" ht="13.9" customHeight="1">
      <c r="A85" s="1261">
        <v>80</v>
      </c>
      <c r="B85" s="3017"/>
      <c r="C85" s="3025"/>
      <c r="D85" s="3019"/>
      <c r="E85" s="1262"/>
      <c r="F85" s="1262"/>
      <c r="G85" s="1263"/>
      <c r="H85" s="1263"/>
      <c r="I85" s="1263"/>
      <c r="J85" s="1263"/>
      <c r="K85" s="1264"/>
      <c r="L85" s="1264"/>
      <c r="M85" s="1264"/>
      <c r="N85" s="1264"/>
      <c r="O85" s="1265"/>
      <c r="P85" s="1266"/>
      <c r="Q85" s="1264"/>
      <c r="R85" s="1265"/>
      <c r="S85" s="1264"/>
      <c r="T85" s="1266"/>
      <c r="U85" s="1264"/>
      <c r="V85" s="1264"/>
      <c r="W85" s="1267"/>
    </row>
    <row r="86" spans="1:23" ht="15" thickBot="1">
      <c r="A86" s="1261">
        <v>81</v>
      </c>
      <c r="B86" s="3017"/>
      <c r="C86" s="3026"/>
      <c r="D86" s="1273" t="s">
        <v>3514</v>
      </c>
      <c r="E86" s="1276"/>
      <c r="F86" s="1276"/>
      <c r="G86" s="1276"/>
      <c r="H86" s="1276"/>
      <c r="I86" s="1276"/>
      <c r="J86" s="1276"/>
      <c r="K86" s="1276"/>
      <c r="L86" s="1276"/>
      <c r="M86" s="1276"/>
      <c r="N86" s="1275">
        <f>SUM(N76:N85)</f>
        <v>0</v>
      </c>
      <c r="O86" s="1275">
        <f>SUM(O76:O85)</f>
        <v>0</v>
      </c>
      <c r="P86" s="1275">
        <f>SUM(P76:P85)</f>
        <v>0</v>
      </c>
      <c r="Q86" s="1276"/>
      <c r="R86" s="1275">
        <f>SUM(R76:R85)</f>
        <v>0</v>
      </c>
      <c r="S86" s="1276"/>
      <c r="T86" s="1276"/>
      <c r="U86" s="1276"/>
      <c r="V86" s="1276"/>
      <c r="W86" s="1278"/>
    </row>
    <row r="87" spans="1:23" ht="16.5" customHeight="1">
      <c r="A87" s="1261">
        <v>82</v>
      </c>
      <c r="B87" s="3017"/>
      <c r="C87" s="3021" t="s">
        <v>4261</v>
      </c>
      <c r="D87" s="3018" t="s">
        <v>4262</v>
      </c>
      <c r="E87" s="1255"/>
      <c r="F87" s="1255"/>
      <c r="G87" s="1256"/>
      <c r="H87" s="1256"/>
      <c r="I87" s="1256"/>
      <c r="J87" s="1256"/>
      <c r="K87" s="1257"/>
      <c r="L87" s="1257"/>
      <c r="M87" s="1257"/>
      <c r="N87" s="1257"/>
      <c r="O87" s="1258"/>
      <c r="P87" s="1259"/>
      <c r="Q87" s="1257"/>
      <c r="R87" s="1258"/>
      <c r="S87" s="1281"/>
      <c r="T87" s="1259"/>
      <c r="U87" s="1257"/>
      <c r="V87" s="1257"/>
      <c r="W87" s="1260"/>
    </row>
    <row r="88" spans="1:23">
      <c r="A88" s="1261">
        <v>83</v>
      </c>
      <c r="B88" s="3017"/>
      <c r="C88" s="3022"/>
      <c r="D88" s="3019"/>
      <c r="E88" s="1262"/>
      <c r="F88" s="1262"/>
      <c r="G88" s="1263"/>
      <c r="H88" s="1263"/>
      <c r="I88" s="1263"/>
      <c r="J88" s="1263"/>
      <c r="K88" s="1264"/>
      <c r="L88" s="1264"/>
      <c r="M88" s="1264"/>
      <c r="N88" s="1264"/>
      <c r="O88" s="1265"/>
      <c r="P88" s="1266"/>
      <c r="Q88" s="1264"/>
      <c r="R88" s="1265"/>
      <c r="S88" s="1280"/>
      <c r="T88" s="1266"/>
      <c r="U88" s="1264"/>
      <c r="V88" s="1264"/>
      <c r="W88" s="1267"/>
    </row>
    <row r="89" spans="1:23">
      <c r="A89" s="1261">
        <v>84</v>
      </c>
      <c r="B89" s="3017"/>
      <c r="C89" s="3022"/>
      <c r="D89" s="3019"/>
      <c r="E89" s="1262"/>
      <c r="F89" s="1262"/>
      <c r="G89" s="1263"/>
      <c r="H89" s="1263"/>
      <c r="I89" s="1263"/>
      <c r="J89" s="1263"/>
      <c r="K89" s="1264"/>
      <c r="L89" s="1264"/>
      <c r="M89" s="1264"/>
      <c r="N89" s="1264"/>
      <c r="O89" s="1265"/>
      <c r="P89" s="1266"/>
      <c r="Q89" s="1264"/>
      <c r="R89" s="1265"/>
      <c r="S89" s="1280"/>
      <c r="T89" s="1266"/>
      <c r="U89" s="1264"/>
      <c r="V89" s="1264"/>
      <c r="W89" s="1267"/>
    </row>
    <row r="90" spans="1:23">
      <c r="A90" s="1261">
        <v>85</v>
      </c>
      <c r="B90" s="3017"/>
      <c r="C90" s="3022"/>
      <c r="D90" s="3019"/>
      <c r="E90" s="1262"/>
      <c r="F90" s="1262"/>
      <c r="G90" s="1263"/>
      <c r="H90" s="1263"/>
      <c r="I90" s="1263"/>
      <c r="J90" s="1263"/>
      <c r="K90" s="1264"/>
      <c r="L90" s="1264"/>
      <c r="M90" s="1264"/>
      <c r="N90" s="1264"/>
      <c r="O90" s="1265"/>
      <c r="P90" s="1266"/>
      <c r="Q90" s="1264"/>
      <c r="R90" s="1265"/>
      <c r="S90" s="1280"/>
      <c r="T90" s="1266"/>
      <c r="U90" s="1264"/>
      <c r="V90" s="1264"/>
      <c r="W90" s="1267"/>
    </row>
    <row r="91" spans="1:23">
      <c r="A91" s="1261">
        <v>86</v>
      </c>
      <c r="B91" s="3017"/>
      <c r="C91" s="3022"/>
      <c r="D91" s="3019"/>
      <c r="E91" s="1262"/>
      <c r="F91" s="1262"/>
      <c r="G91" s="1263"/>
      <c r="H91" s="1263"/>
      <c r="I91" s="1263"/>
      <c r="J91" s="1263"/>
      <c r="K91" s="1264"/>
      <c r="L91" s="1264"/>
      <c r="M91" s="1264"/>
      <c r="N91" s="1264"/>
      <c r="O91" s="1265"/>
      <c r="P91" s="1266"/>
      <c r="Q91" s="1264"/>
      <c r="R91" s="1265"/>
      <c r="S91" s="1280"/>
      <c r="T91" s="1266"/>
      <c r="U91" s="1264"/>
      <c r="V91" s="1264"/>
      <c r="W91" s="1267"/>
    </row>
    <row r="92" spans="1:23">
      <c r="A92" s="1261">
        <v>87</v>
      </c>
      <c r="B92" s="3017"/>
      <c r="C92" s="3022"/>
      <c r="D92" s="3019"/>
      <c r="E92" s="1262"/>
      <c r="F92" s="1262"/>
      <c r="G92" s="1263"/>
      <c r="H92" s="1263"/>
      <c r="I92" s="1263"/>
      <c r="J92" s="1263"/>
      <c r="K92" s="1264"/>
      <c r="L92" s="1264"/>
      <c r="M92" s="1264"/>
      <c r="N92" s="1264"/>
      <c r="O92" s="1265"/>
      <c r="P92" s="1266"/>
      <c r="Q92" s="1264"/>
      <c r="R92" s="1265"/>
      <c r="S92" s="1280"/>
      <c r="T92" s="1266"/>
      <c r="U92" s="1264"/>
      <c r="V92" s="1264"/>
      <c r="W92" s="1267"/>
    </row>
    <row r="93" spans="1:23" ht="14.25">
      <c r="A93" s="1261">
        <v>88</v>
      </c>
      <c r="B93" s="3017"/>
      <c r="C93" s="3022"/>
      <c r="D93" s="1279" t="s">
        <v>3514</v>
      </c>
      <c r="E93" s="1271"/>
      <c r="F93" s="1271"/>
      <c r="G93" s="1271"/>
      <c r="H93" s="1271"/>
      <c r="I93" s="1271"/>
      <c r="J93" s="1271"/>
      <c r="K93" s="1271"/>
      <c r="L93" s="1271"/>
      <c r="M93" s="1271"/>
      <c r="N93" s="1264">
        <f>SUM(N87:N92)</f>
        <v>0</v>
      </c>
      <c r="O93" s="1264">
        <f>SUM(O87:O92)</f>
        <v>0</v>
      </c>
      <c r="P93" s="1264">
        <f>SUM(P87:P92)</f>
        <v>0</v>
      </c>
      <c r="Q93" s="1271"/>
      <c r="R93" s="1264">
        <f>SUM(R87:R92)</f>
        <v>0</v>
      </c>
      <c r="S93" s="1271"/>
      <c r="T93" s="1271"/>
      <c r="U93" s="1271"/>
      <c r="V93" s="1271"/>
      <c r="W93" s="1267"/>
    </row>
    <row r="94" spans="1:23" ht="13.9" customHeight="1">
      <c r="A94" s="1261">
        <v>89</v>
      </c>
      <c r="B94" s="3017"/>
      <c r="C94" s="3022"/>
      <c r="D94" s="3020" t="s">
        <v>4256</v>
      </c>
      <c r="E94" s="1262"/>
      <c r="F94" s="1262"/>
      <c r="G94" s="1263"/>
      <c r="H94" s="1263"/>
      <c r="I94" s="1263"/>
      <c r="J94" s="1263"/>
      <c r="K94" s="1264"/>
      <c r="L94" s="1264"/>
      <c r="M94" s="1264"/>
      <c r="N94" s="1264"/>
      <c r="O94" s="1265"/>
      <c r="P94" s="1266"/>
      <c r="Q94" s="1264"/>
      <c r="R94" s="1265"/>
      <c r="S94" s="1280"/>
      <c r="T94" s="1266"/>
      <c r="U94" s="1264"/>
      <c r="V94" s="1264"/>
      <c r="W94" s="1267"/>
    </row>
    <row r="95" spans="1:23" ht="13.9" customHeight="1">
      <c r="A95" s="1261">
        <v>90</v>
      </c>
      <c r="B95" s="3017"/>
      <c r="C95" s="3022"/>
      <c r="D95" s="3019"/>
      <c r="E95" s="1262"/>
      <c r="F95" s="1262"/>
      <c r="G95" s="1263"/>
      <c r="H95" s="1263"/>
      <c r="I95" s="1263"/>
      <c r="J95" s="1263"/>
      <c r="K95" s="1264"/>
      <c r="L95" s="1264"/>
      <c r="M95" s="1264"/>
      <c r="N95" s="1264"/>
      <c r="O95" s="1265"/>
      <c r="P95" s="1266"/>
      <c r="Q95" s="1264"/>
      <c r="R95" s="1265"/>
      <c r="S95" s="1280"/>
      <c r="T95" s="1266"/>
      <c r="U95" s="1264"/>
      <c r="V95" s="1264"/>
      <c r="W95" s="1267"/>
    </row>
    <row r="96" spans="1:23" ht="13.9" customHeight="1">
      <c r="A96" s="1261">
        <v>91</v>
      </c>
      <c r="B96" s="3017"/>
      <c r="C96" s="3022"/>
      <c r="D96" s="3019"/>
      <c r="E96" s="1262"/>
      <c r="F96" s="1262"/>
      <c r="G96" s="1263"/>
      <c r="H96" s="1263"/>
      <c r="I96" s="1263"/>
      <c r="J96" s="1263"/>
      <c r="K96" s="1264"/>
      <c r="L96" s="1264"/>
      <c r="M96" s="1264"/>
      <c r="N96" s="1264"/>
      <c r="O96" s="1265"/>
      <c r="P96" s="1266"/>
      <c r="Q96" s="1264"/>
      <c r="R96" s="1265"/>
      <c r="S96" s="1280"/>
      <c r="T96" s="1266"/>
      <c r="U96" s="1264"/>
      <c r="V96" s="1264"/>
      <c r="W96" s="1267"/>
    </row>
    <row r="97" spans="1:23" ht="13.9" customHeight="1">
      <c r="A97" s="1261">
        <v>92</v>
      </c>
      <c r="B97" s="3017"/>
      <c r="C97" s="3022"/>
      <c r="D97" s="3019"/>
      <c r="E97" s="1262"/>
      <c r="F97" s="1262"/>
      <c r="G97" s="1263"/>
      <c r="H97" s="1263"/>
      <c r="I97" s="1263"/>
      <c r="J97" s="1263"/>
      <c r="K97" s="1264"/>
      <c r="L97" s="1264"/>
      <c r="M97" s="1264"/>
      <c r="N97" s="1264"/>
      <c r="O97" s="1265"/>
      <c r="P97" s="1266"/>
      <c r="Q97" s="1264"/>
      <c r="R97" s="1265"/>
      <c r="S97" s="1280"/>
      <c r="T97" s="1266"/>
      <c r="U97" s="1264"/>
      <c r="V97" s="1264"/>
      <c r="W97" s="1267"/>
    </row>
    <row r="98" spans="1:23" ht="16.5" customHeight="1">
      <c r="A98" s="1261">
        <v>93</v>
      </c>
      <c r="B98" s="3017"/>
      <c r="C98" s="3022"/>
      <c r="D98" s="3019"/>
      <c r="E98" s="1262"/>
      <c r="F98" s="1262"/>
      <c r="G98" s="1263"/>
      <c r="H98" s="1263"/>
      <c r="I98" s="1263"/>
      <c r="J98" s="1263"/>
      <c r="K98" s="1264"/>
      <c r="L98" s="1264"/>
      <c r="M98" s="1264"/>
      <c r="N98" s="1264"/>
      <c r="O98" s="1265"/>
      <c r="P98" s="1266"/>
      <c r="Q98" s="1264"/>
      <c r="R98" s="1265"/>
      <c r="S98" s="1280"/>
      <c r="T98" s="1266"/>
      <c r="U98" s="1264"/>
      <c r="V98" s="1264"/>
      <c r="W98" s="1267"/>
    </row>
    <row r="99" spans="1:23" ht="16.5" customHeight="1">
      <c r="A99" s="1261">
        <v>94</v>
      </c>
      <c r="B99" s="3017"/>
      <c r="C99" s="3022"/>
      <c r="D99" s="3019"/>
      <c r="E99" s="1262"/>
      <c r="F99" s="1262"/>
      <c r="G99" s="1263"/>
      <c r="H99" s="1263"/>
      <c r="I99" s="1263"/>
      <c r="J99" s="1263"/>
      <c r="K99" s="1264"/>
      <c r="L99" s="1264"/>
      <c r="M99" s="1264"/>
      <c r="N99" s="1264"/>
      <c r="O99" s="1265"/>
      <c r="P99" s="1266"/>
      <c r="Q99" s="1264"/>
      <c r="R99" s="1265"/>
      <c r="S99" s="1280"/>
      <c r="T99" s="1266"/>
      <c r="U99" s="1264"/>
      <c r="V99" s="1264"/>
      <c r="W99" s="1267"/>
    </row>
    <row r="100" spans="1:23" ht="14.25">
      <c r="A100" s="1261">
        <v>95</v>
      </c>
      <c r="B100" s="3017"/>
      <c r="C100" s="3022"/>
      <c r="D100" s="1279" t="s">
        <v>3514</v>
      </c>
      <c r="E100" s="1271"/>
      <c r="F100" s="1271"/>
      <c r="G100" s="1271"/>
      <c r="H100" s="1271"/>
      <c r="I100" s="1271"/>
      <c r="J100" s="1271"/>
      <c r="K100" s="1271"/>
      <c r="L100" s="1271"/>
      <c r="M100" s="1271"/>
      <c r="N100" s="1264">
        <f>SUM(N94:N99)</f>
        <v>0</v>
      </c>
      <c r="O100" s="1264">
        <f>SUM(O94:O99)</f>
        <v>0</v>
      </c>
      <c r="P100" s="1264">
        <f>SUM(P94:P99)</f>
        <v>0</v>
      </c>
      <c r="Q100" s="1271"/>
      <c r="R100" s="1264">
        <f>SUM(R94:R99)</f>
        <v>0</v>
      </c>
      <c r="S100" s="1271"/>
      <c r="T100" s="1271"/>
      <c r="U100" s="1271"/>
      <c r="V100" s="1271"/>
      <c r="W100" s="1267"/>
    </row>
    <row r="101" spans="1:23" ht="13.9" customHeight="1">
      <c r="A101" s="1261">
        <v>96</v>
      </c>
      <c r="B101" s="3017"/>
      <c r="C101" s="3022"/>
      <c r="D101" s="3020" t="s">
        <v>4258</v>
      </c>
      <c r="E101" s="1262"/>
      <c r="F101" s="1262"/>
      <c r="G101" s="1263"/>
      <c r="H101" s="1263"/>
      <c r="I101" s="1263"/>
      <c r="J101" s="1263"/>
      <c r="K101" s="1264"/>
      <c r="L101" s="1264"/>
      <c r="M101" s="1264"/>
      <c r="N101" s="1264"/>
      <c r="O101" s="1265"/>
      <c r="P101" s="1266"/>
      <c r="Q101" s="1264"/>
      <c r="R101" s="1265"/>
      <c r="S101" s="1280"/>
      <c r="T101" s="1266"/>
      <c r="U101" s="1264"/>
      <c r="V101" s="1264"/>
      <c r="W101" s="1267"/>
    </row>
    <row r="102" spans="1:23" ht="13.9" customHeight="1">
      <c r="A102" s="1261">
        <v>97</v>
      </c>
      <c r="B102" s="3017"/>
      <c r="C102" s="3022"/>
      <c r="D102" s="3019"/>
      <c r="E102" s="1262"/>
      <c r="F102" s="1262"/>
      <c r="G102" s="1263"/>
      <c r="H102" s="1263"/>
      <c r="I102" s="1263"/>
      <c r="J102" s="1263"/>
      <c r="K102" s="1264"/>
      <c r="L102" s="1264"/>
      <c r="M102" s="1264"/>
      <c r="N102" s="1264"/>
      <c r="O102" s="1265"/>
      <c r="P102" s="1266"/>
      <c r="Q102" s="1264"/>
      <c r="R102" s="1265"/>
      <c r="S102" s="1280"/>
      <c r="T102" s="1266"/>
      <c r="U102" s="1264"/>
      <c r="V102" s="1264"/>
      <c r="W102" s="1267"/>
    </row>
    <row r="103" spans="1:23" ht="13.9" customHeight="1">
      <c r="A103" s="1261">
        <v>98</v>
      </c>
      <c r="B103" s="3017"/>
      <c r="C103" s="3022"/>
      <c r="D103" s="3019"/>
      <c r="E103" s="1262"/>
      <c r="F103" s="1262"/>
      <c r="G103" s="1263"/>
      <c r="H103" s="1263"/>
      <c r="I103" s="1263"/>
      <c r="J103" s="1263"/>
      <c r="K103" s="1264"/>
      <c r="L103" s="1264"/>
      <c r="M103" s="1264"/>
      <c r="N103" s="1264"/>
      <c r="O103" s="1265"/>
      <c r="P103" s="1266"/>
      <c r="Q103" s="1264"/>
      <c r="R103" s="1265"/>
      <c r="S103" s="1280"/>
      <c r="T103" s="1266"/>
      <c r="U103" s="1264"/>
      <c r="V103" s="1264"/>
      <c r="W103" s="1267"/>
    </row>
    <row r="104" spans="1:23" ht="13.9" customHeight="1">
      <c r="A104" s="1261">
        <v>99</v>
      </c>
      <c r="B104" s="3017"/>
      <c r="C104" s="3022"/>
      <c r="D104" s="3019"/>
      <c r="E104" s="1262"/>
      <c r="F104" s="1262"/>
      <c r="G104" s="1263"/>
      <c r="H104" s="1263"/>
      <c r="I104" s="1263"/>
      <c r="J104" s="1263"/>
      <c r="K104" s="1264"/>
      <c r="L104" s="1264"/>
      <c r="M104" s="1264"/>
      <c r="N104" s="1264"/>
      <c r="O104" s="1265"/>
      <c r="P104" s="1266"/>
      <c r="Q104" s="1264"/>
      <c r="R104" s="1265"/>
      <c r="S104" s="1280"/>
      <c r="T104" s="1266"/>
      <c r="U104" s="1264"/>
      <c r="V104" s="1264"/>
      <c r="W104" s="1267"/>
    </row>
    <row r="105" spans="1:23" ht="13.9" customHeight="1">
      <c r="A105" s="1261">
        <v>100</v>
      </c>
      <c r="B105" s="3017"/>
      <c r="C105" s="3022"/>
      <c r="D105" s="3019"/>
      <c r="E105" s="1262"/>
      <c r="F105" s="1262"/>
      <c r="G105" s="1263"/>
      <c r="H105" s="1263"/>
      <c r="I105" s="1263"/>
      <c r="J105" s="1263"/>
      <c r="K105" s="1264"/>
      <c r="L105" s="1264"/>
      <c r="M105" s="1264"/>
      <c r="N105" s="1264"/>
      <c r="O105" s="1265"/>
      <c r="P105" s="1266"/>
      <c r="Q105" s="1264"/>
      <c r="R105" s="1265"/>
      <c r="S105" s="1280"/>
      <c r="T105" s="1266"/>
      <c r="U105" s="1264"/>
      <c r="V105" s="1264"/>
      <c r="W105" s="1267"/>
    </row>
    <row r="106" spans="1:23" ht="13.9" customHeight="1">
      <c r="A106" s="1261">
        <v>101</v>
      </c>
      <c r="B106" s="3017"/>
      <c r="C106" s="3022"/>
      <c r="D106" s="3019"/>
      <c r="E106" s="1262"/>
      <c r="F106" s="1262"/>
      <c r="G106" s="1263"/>
      <c r="H106" s="1263"/>
      <c r="I106" s="1263"/>
      <c r="J106" s="1263"/>
      <c r="K106" s="1264"/>
      <c r="L106" s="1264"/>
      <c r="M106" s="1264"/>
      <c r="N106" s="1264"/>
      <c r="O106" s="1265"/>
      <c r="P106" s="1266"/>
      <c r="Q106" s="1264"/>
      <c r="R106" s="1265"/>
      <c r="S106" s="1280"/>
      <c r="T106" s="1266"/>
      <c r="U106" s="1264"/>
      <c r="V106" s="1264"/>
      <c r="W106" s="1267"/>
    </row>
    <row r="107" spans="1:23" ht="15" thickBot="1">
      <c r="A107" s="1282">
        <v>102</v>
      </c>
      <c r="B107" s="3017"/>
      <c r="C107" s="3022"/>
      <c r="D107" s="1268" t="s">
        <v>3514</v>
      </c>
      <c r="E107" s="1283"/>
      <c r="F107" s="1283"/>
      <c r="G107" s="1284"/>
      <c r="H107" s="1284"/>
      <c r="I107" s="1284"/>
      <c r="J107" s="1284"/>
      <c r="K107" s="1285"/>
      <c r="L107" s="1285"/>
      <c r="M107" s="1285"/>
      <c r="N107" s="1286">
        <f>SUM(N101:N106)</f>
        <v>0</v>
      </c>
      <c r="O107" s="1286">
        <f>SUM(O101:O106)</f>
        <v>0</v>
      </c>
      <c r="P107" s="1286">
        <f>SUM(P101:P106)</f>
        <v>0</v>
      </c>
      <c r="Q107" s="1285"/>
      <c r="R107" s="1286">
        <f>SUM(R101:R106)</f>
        <v>0</v>
      </c>
      <c r="S107" s="1285"/>
      <c r="T107" s="1285"/>
      <c r="U107" s="1285"/>
      <c r="V107" s="1285"/>
      <c r="W107" s="1287"/>
    </row>
    <row r="108" spans="1:23" ht="15" thickBot="1">
      <c r="A108" s="1288">
        <v>103</v>
      </c>
      <c r="B108" s="3013" t="s">
        <v>4263</v>
      </c>
      <c r="C108" s="3014"/>
      <c r="D108" s="3015"/>
      <c r="E108" s="1289"/>
      <c r="F108" s="1289"/>
      <c r="G108" s="1290"/>
      <c r="H108" s="1290"/>
      <c r="I108" s="1290"/>
      <c r="J108" s="1290"/>
      <c r="K108" s="1291"/>
      <c r="L108" s="1291"/>
      <c r="M108" s="1291"/>
      <c r="N108" s="1292">
        <f>N107+N100+N93+N86+N75+N64+N53+N42+N31+N18</f>
        <v>0</v>
      </c>
      <c r="O108" s="1292">
        <f>O107+O100+O93+O86+O75+O64+O53+O42+O31+O18</f>
        <v>0</v>
      </c>
      <c r="P108" s="1292">
        <f>P107+P100+P93+P86+P75+P64+P53+P42+P31+P18</f>
        <v>0</v>
      </c>
      <c r="Q108" s="1291"/>
      <c r="R108" s="1292">
        <f>R107+R100+R93+R86+R75+R64+R53+R42+R31+R18</f>
        <v>0</v>
      </c>
      <c r="S108" s="1291"/>
      <c r="T108" s="1293"/>
      <c r="U108" s="1291"/>
      <c r="V108" s="1291"/>
      <c r="W108" s="1294"/>
    </row>
    <row r="109" spans="1:23" ht="16.5" customHeight="1">
      <c r="A109" s="1253">
        <v>104</v>
      </c>
      <c r="B109" s="3016" t="s">
        <v>4264</v>
      </c>
      <c r="C109" s="3021" t="s">
        <v>4265</v>
      </c>
      <c r="D109" s="3018" t="s">
        <v>4266</v>
      </c>
      <c r="E109" s="1255"/>
      <c r="F109" s="1255"/>
      <c r="G109" s="1256"/>
      <c r="H109" s="1256"/>
      <c r="I109" s="1256"/>
      <c r="J109" s="1256"/>
      <c r="K109" s="1257"/>
      <c r="L109" s="1257"/>
      <c r="M109" s="1257"/>
      <c r="N109" s="1257"/>
      <c r="O109" s="1258"/>
      <c r="P109" s="1259"/>
      <c r="Q109" s="1257"/>
      <c r="R109" s="1258"/>
      <c r="S109" s="1295"/>
      <c r="T109" s="1296"/>
      <c r="U109" s="1257"/>
      <c r="V109" s="1257"/>
      <c r="W109" s="1260"/>
    </row>
    <row r="110" spans="1:23" ht="16.5" customHeight="1">
      <c r="A110" s="1261">
        <v>105</v>
      </c>
      <c r="B110" s="3027"/>
      <c r="C110" s="3022"/>
      <c r="D110" s="3019"/>
      <c r="E110" s="1262"/>
      <c r="F110" s="1262"/>
      <c r="G110" s="1263"/>
      <c r="H110" s="1263"/>
      <c r="I110" s="1263"/>
      <c r="J110" s="1263"/>
      <c r="K110" s="1264"/>
      <c r="L110" s="1264"/>
      <c r="M110" s="1264"/>
      <c r="N110" s="1264"/>
      <c r="O110" s="1265"/>
      <c r="P110" s="1266"/>
      <c r="Q110" s="1264"/>
      <c r="R110" s="1265"/>
      <c r="S110" s="1271"/>
      <c r="T110" s="1272"/>
      <c r="U110" s="1264"/>
      <c r="V110" s="1264"/>
      <c r="W110" s="1267"/>
    </row>
    <row r="111" spans="1:23" ht="16.5" customHeight="1">
      <c r="A111" s="1261">
        <v>106</v>
      </c>
      <c r="B111" s="3027"/>
      <c r="C111" s="3022"/>
      <c r="D111" s="3019"/>
      <c r="E111" s="1262"/>
      <c r="F111" s="1262"/>
      <c r="G111" s="1263"/>
      <c r="H111" s="1263"/>
      <c r="I111" s="1263"/>
      <c r="J111" s="1263"/>
      <c r="K111" s="1264"/>
      <c r="L111" s="1264"/>
      <c r="M111" s="1264"/>
      <c r="N111" s="1264"/>
      <c r="O111" s="1265"/>
      <c r="P111" s="1266"/>
      <c r="Q111" s="1264"/>
      <c r="R111" s="1265"/>
      <c r="S111" s="1271"/>
      <c r="T111" s="1272"/>
      <c r="U111" s="1264"/>
      <c r="V111" s="1264"/>
      <c r="W111" s="1267"/>
    </row>
    <row r="112" spans="1:23" ht="16.5" customHeight="1">
      <c r="A112" s="1261">
        <v>107</v>
      </c>
      <c r="B112" s="3027"/>
      <c r="C112" s="3022"/>
      <c r="D112" s="3019"/>
      <c r="E112" s="1262"/>
      <c r="F112" s="1262"/>
      <c r="G112" s="1263"/>
      <c r="H112" s="1263"/>
      <c r="I112" s="1263"/>
      <c r="J112" s="1263"/>
      <c r="K112" s="1264"/>
      <c r="L112" s="1264"/>
      <c r="M112" s="1264"/>
      <c r="N112" s="1264"/>
      <c r="O112" s="1265"/>
      <c r="P112" s="1266"/>
      <c r="Q112" s="1264"/>
      <c r="R112" s="1265"/>
      <c r="S112" s="1271"/>
      <c r="T112" s="1272"/>
      <c r="U112" s="1264"/>
      <c r="V112" s="1264"/>
      <c r="W112" s="1267"/>
    </row>
    <row r="113" spans="1:23" ht="16.5" customHeight="1">
      <c r="A113" s="1261">
        <v>108</v>
      </c>
      <c r="B113" s="3027"/>
      <c r="C113" s="3022"/>
      <c r="D113" s="3019"/>
      <c r="E113" s="1262"/>
      <c r="F113" s="1262"/>
      <c r="G113" s="1263"/>
      <c r="H113" s="1263"/>
      <c r="I113" s="1263"/>
      <c r="J113" s="1263"/>
      <c r="K113" s="1264"/>
      <c r="L113" s="1264"/>
      <c r="M113" s="1264"/>
      <c r="N113" s="1264"/>
      <c r="O113" s="1265"/>
      <c r="P113" s="1266"/>
      <c r="Q113" s="1264"/>
      <c r="R113" s="1265"/>
      <c r="S113" s="1271"/>
      <c r="T113" s="1272"/>
      <c r="U113" s="1264"/>
      <c r="V113" s="1264"/>
      <c r="W113" s="1267"/>
    </row>
    <row r="114" spans="1:23" ht="16.5" customHeight="1">
      <c r="A114" s="1261">
        <v>109</v>
      </c>
      <c r="B114" s="3027"/>
      <c r="C114" s="3022"/>
      <c r="D114" s="3019"/>
      <c r="E114" s="1262"/>
      <c r="F114" s="1262"/>
      <c r="G114" s="1263"/>
      <c r="H114" s="1263"/>
      <c r="I114" s="1263"/>
      <c r="J114" s="1263"/>
      <c r="K114" s="1264"/>
      <c r="L114" s="1264"/>
      <c r="M114" s="1264"/>
      <c r="N114" s="1264"/>
      <c r="O114" s="1265"/>
      <c r="P114" s="1266"/>
      <c r="Q114" s="1264"/>
      <c r="R114" s="1265"/>
      <c r="S114" s="1271"/>
      <c r="T114" s="1272"/>
      <c r="U114" s="1264"/>
      <c r="V114" s="1264"/>
      <c r="W114" s="1267"/>
    </row>
    <row r="115" spans="1:23" ht="16.5" customHeight="1" thickBot="1">
      <c r="A115" s="1261">
        <v>110</v>
      </c>
      <c r="B115" s="3027"/>
      <c r="C115" s="3022"/>
      <c r="D115" s="1297" t="s">
        <v>3514</v>
      </c>
      <c r="E115" s="1271"/>
      <c r="F115" s="1271"/>
      <c r="G115" s="1271"/>
      <c r="H115" s="1271"/>
      <c r="I115" s="1271"/>
      <c r="J115" s="1271"/>
      <c r="K115" s="1271"/>
      <c r="L115" s="1271"/>
      <c r="M115" s="1271"/>
      <c r="N115" s="1264">
        <f>SUM(N109:N114)</f>
        <v>0</v>
      </c>
      <c r="O115" s="1264">
        <f>SUM(O109:O114)</f>
        <v>0</v>
      </c>
      <c r="P115" s="1264">
        <f>SUM(P109:P114)</f>
        <v>0</v>
      </c>
      <c r="Q115" s="1271"/>
      <c r="R115" s="1264">
        <f>SUM(R109:R114)</f>
        <v>0</v>
      </c>
      <c r="S115" s="1271"/>
      <c r="T115" s="1272"/>
      <c r="U115" s="1276"/>
      <c r="V115" s="1276"/>
      <c r="W115" s="1267"/>
    </row>
    <row r="116" spans="1:23" ht="16.5" customHeight="1">
      <c r="A116" s="1261">
        <v>111</v>
      </c>
      <c r="B116" s="3027"/>
      <c r="C116" s="3022"/>
      <c r="D116" s="3020" t="s">
        <v>4267</v>
      </c>
      <c r="E116" s="1262"/>
      <c r="F116" s="1262"/>
      <c r="G116" s="1263"/>
      <c r="H116" s="1263"/>
      <c r="I116" s="1263"/>
      <c r="J116" s="1263"/>
      <c r="K116" s="1264"/>
      <c r="L116" s="1264"/>
      <c r="M116" s="1264"/>
      <c r="N116" s="1264"/>
      <c r="O116" s="1265"/>
      <c r="P116" s="1266"/>
      <c r="Q116" s="1264"/>
      <c r="R116" s="1265"/>
      <c r="S116" s="1271"/>
      <c r="T116" s="1272"/>
      <c r="U116" s="1264"/>
      <c r="V116" s="1264"/>
      <c r="W116" s="1267"/>
    </row>
    <row r="117" spans="1:23" ht="16.5" customHeight="1">
      <c r="A117" s="1261">
        <v>112</v>
      </c>
      <c r="B117" s="3027"/>
      <c r="C117" s="3022"/>
      <c r="D117" s="3019"/>
      <c r="E117" s="1262"/>
      <c r="F117" s="1262"/>
      <c r="G117" s="1263"/>
      <c r="H117" s="1263"/>
      <c r="I117" s="1263"/>
      <c r="J117" s="1263"/>
      <c r="K117" s="1264"/>
      <c r="L117" s="1264"/>
      <c r="M117" s="1264"/>
      <c r="N117" s="1264"/>
      <c r="O117" s="1265"/>
      <c r="P117" s="1266"/>
      <c r="Q117" s="1264"/>
      <c r="R117" s="1265"/>
      <c r="S117" s="1271"/>
      <c r="T117" s="1272"/>
      <c r="U117" s="1264"/>
      <c r="V117" s="1264"/>
      <c r="W117" s="1267"/>
    </row>
    <row r="118" spans="1:23" ht="16.5" customHeight="1">
      <c r="A118" s="1261">
        <v>113</v>
      </c>
      <c r="B118" s="3027"/>
      <c r="C118" s="3022"/>
      <c r="D118" s="3019"/>
      <c r="E118" s="1262"/>
      <c r="F118" s="1262"/>
      <c r="G118" s="1263"/>
      <c r="H118" s="1263"/>
      <c r="I118" s="1263"/>
      <c r="J118" s="1263"/>
      <c r="K118" s="1264"/>
      <c r="L118" s="1264"/>
      <c r="M118" s="1264"/>
      <c r="N118" s="1264"/>
      <c r="O118" s="1265"/>
      <c r="P118" s="1266"/>
      <c r="Q118" s="1264"/>
      <c r="R118" s="1265"/>
      <c r="S118" s="1271"/>
      <c r="T118" s="1272"/>
      <c r="U118" s="1264"/>
      <c r="V118" s="1264"/>
      <c r="W118" s="1267"/>
    </row>
    <row r="119" spans="1:23" ht="16.5" customHeight="1">
      <c r="A119" s="1261">
        <v>114</v>
      </c>
      <c r="B119" s="3027"/>
      <c r="C119" s="3022"/>
      <c r="D119" s="3019"/>
      <c r="E119" s="1262"/>
      <c r="F119" s="1262"/>
      <c r="G119" s="1263"/>
      <c r="H119" s="1263"/>
      <c r="I119" s="1263"/>
      <c r="J119" s="1263"/>
      <c r="K119" s="1264"/>
      <c r="L119" s="1264"/>
      <c r="M119" s="1264"/>
      <c r="N119" s="1264"/>
      <c r="O119" s="1265"/>
      <c r="P119" s="1266"/>
      <c r="Q119" s="1264"/>
      <c r="R119" s="1265"/>
      <c r="S119" s="1271"/>
      <c r="T119" s="1272"/>
      <c r="U119" s="1264"/>
      <c r="V119" s="1264"/>
      <c r="W119" s="1267"/>
    </row>
    <row r="120" spans="1:23" ht="13.9" customHeight="1">
      <c r="A120" s="1261">
        <v>115</v>
      </c>
      <c r="B120" s="3027"/>
      <c r="C120" s="3022"/>
      <c r="D120" s="3019"/>
      <c r="E120" s="1262"/>
      <c r="F120" s="1262"/>
      <c r="G120" s="1263"/>
      <c r="H120" s="1263"/>
      <c r="I120" s="1263"/>
      <c r="J120" s="1263"/>
      <c r="K120" s="1264"/>
      <c r="L120" s="1264"/>
      <c r="M120" s="1264"/>
      <c r="N120" s="1264"/>
      <c r="O120" s="1265"/>
      <c r="P120" s="1266"/>
      <c r="Q120" s="1264"/>
      <c r="R120" s="1265"/>
      <c r="S120" s="1271"/>
      <c r="T120" s="1272"/>
      <c r="U120" s="1264"/>
      <c r="V120" s="1264"/>
      <c r="W120" s="1267"/>
    </row>
    <row r="121" spans="1:23" ht="13.9" customHeight="1">
      <c r="A121" s="1261">
        <v>116</v>
      </c>
      <c r="B121" s="3027"/>
      <c r="C121" s="3022"/>
      <c r="D121" s="3019"/>
      <c r="E121" s="1262"/>
      <c r="F121" s="1262"/>
      <c r="G121" s="1263"/>
      <c r="H121" s="1263"/>
      <c r="I121" s="1263"/>
      <c r="J121" s="1263"/>
      <c r="K121" s="1264"/>
      <c r="L121" s="1264"/>
      <c r="M121" s="1264"/>
      <c r="N121" s="1264"/>
      <c r="O121" s="1265"/>
      <c r="P121" s="1266"/>
      <c r="Q121" s="1264"/>
      <c r="R121" s="1265"/>
      <c r="S121" s="1271"/>
      <c r="T121" s="1272"/>
      <c r="U121" s="1264"/>
      <c r="V121" s="1264"/>
      <c r="W121" s="1267"/>
    </row>
    <row r="122" spans="1:23" ht="15" thickBot="1">
      <c r="A122" s="1261">
        <v>117</v>
      </c>
      <c r="B122" s="3027"/>
      <c r="C122" s="3023"/>
      <c r="D122" s="1298" t="s">
        <v>3514</v>
      </c>
      <c r="E122" s="1276"/>
      <c r="F122" s="1276"/>
      <c r="G122" s="1276"/>
      <c r="H122" s="1276"/>
      <c r="I122" s="1276"/>
      <c r="J122" s="1276"/>
      <c r="K122" s="1276"/>
      <c r="L122" s="1276"/>
      <c r="M122" s="1276"/>
      <c r="N122" s="1275">
        <f>SUM(N116:N121)</f>
        <v>0</v>
      </c>
      <c r="O122" s="1275">
        <f>SUM(O116:O121)</f>
        <v>0</v>
      </c>
      <c r="P122" s="1275">
        <f>SUM(P116:P121)</f>
        <v>0</v>
      </c>
      <c r="Q122" s="1276"/>
      <c r="R122" s="1275">
        <f>SUM(R116:R121)</f>
        <v>0</v>
      </c>
      <c r="S122" s="1276"/>
      <c r="T122" s="1299"/>
      <c r="U122" s="1276"/>
      <c r="V122" s="1276"/>
      <c r="W122" s="1278"/>
    </row>
    <row r="123" spans="1:23" ht="16.5" customHeight="1">
      <c r="A123" s="1261">
        <v>118</v>
      </c>
      <c r="B123" s="3027"/>
      <c r="C123" s="3024" t="s">
        <v>4260</v>
      </c>
      <c r="D123" s="3018" t="s">
        <v>4268</v>
      </c>
      <c r="E123" s="1255"/>
      <c r="F123" s="1255"/>
      <c r="G123" s="1256"/>
      <c r="H123" s="1256"/>
      <c r="I123" s="1256"/>
      <c r="J123" s="1256"/>
      <c r="K123" s="1257"/>
      <c r="L123" s="1257"/>
      <c r="M123" s="1257"/>
      <c r="N123" s="1257"/>
      <c r="O123" s="1258"/>
      <c r="P123" s="1259"/>
      <c r="Q123" s="1257"/>
      <c r="R123" s="1258"/>
      <c r="S123" s="1300"/>
      <c r="T123" s="1296"/>
      <c r="U123" s="1257"/>
      <c r="V123" s="1257"/>
      <c r="W123" s="1260"/>
    </row>
    <row r="124" spans="1:23">
      <c r="A124" s="1261">
        <v>119</v>
      </c>
      <c r="B124" s="3027"/>
      <c r="C124" s="3025"/>
      <c r="D124" s="3028"/>
      <c r="E124" s="1262"/>
      <c r="F124" s="1262"/>
      <c r="G124" s="1263"/>
      <c r="H124" s="1263"/>
      <c r="I124" s="1263"/>
      <c r="J124" s="1263"/>
      <c r="K124" s="1264"/>
      <c r="L124" s="1264"/>
      <c r="M124" s="1264"/>
      <c r="N124" s="1264"/>
      <c r="O124" s="1265"/>
      <c r="P124" s="1266"/>
      <c r="Q124" s="1266"/>
      <c r="R124" s="1265"/>
      <c r="S124" s="1271"/>
      <c r="T124" s="1301"/>
      <c r="U124" s="1264"/>
      <c r="V124" s="1264"/>
      <c r="W124" s="1267"/>
    </row>
    <row r="125" spans="1:23">
      <c r="A125" s="1261">
        <v>120</v>
      </c>
      <c r="B125" s="3027"/>
      <c r="C125" s="3025"/>
      <c r="D125" s="3028"/>
      <c r="E125" s="1262"/>
      <c r="F125" s="1262"/>
      <c r="G125" s="1263"/>
      <c r="H125" s="1263"/>
      <c r="I125" s="1263"/>
      <c r="J125" s="1263"/>
      <c r="K125" s="1264"/>
      <c r="L125" s="1264"/>
      <c r="M125" s="1264"/>
      <c r="N125" s="1264"/>
      <c r="O125" s="1265"/>
      <c r="P125" s="1266"/>
      <c r="Q125" s="1266"/>
      <c r="R125" s="1265"/>
      <c r="S125" s="1271"/>
      <c r="T125" s="1301"/>
      <c r="U125" s="1264"/>
      <c r="V125" s="1264"/>
      <c r="W125" s="1267"/>
    </row>
    <row r="126" spans="1:23">
      <c r="A126" s="1261">
        <v>121</v>
      </c>
      <c r="B126" s="3027"/>
      <c r="C126" s="3025"/>
      <c r="D126" s="3028"/>
      <c r="E126" s="1262"/>
      <c r="F126" s="1262"/>
      <c r="G126" s="1263"/>
      <c r="H126" s="1263"/>
      <c r="I126" s="1263"/>
      <c r="J126" s="1263"/>
      <c r="K126" s="1264"/>
      <c r="L126" s="1264"/>
      <c r="M126" s="1264"/>
      <c r="N126" s="1264"/>
      <c r="O126" s="1265"/>
      <c r="P126" s="1266"/>
      <c r="Q126" s="1266"/>
      <c r="R126" s="1265"/>
      <c r="S126" s="1271"/>
      <c r="T126" s="1301"/>
      <c r="U126" s="1264"/>
      <c r="V126" s="1264"/>
      <c r="W126" s="1267"/>
    </row>
    <row r="127" spans="1:23">
      <c r="A127" s="1261">
        <v>122</v>
      </c>
      <c r="B127" s="3027"/>
      <c r="C127" s="3025"/>
      <c r="D127" s="3028"/>
      <c r="E127" s="1262"/>
      <c r="F127" s="1262"/>
      <c r="G127" s="1263"/>
      <c r="H127" s="1263"/>
      <c r="I127" s="1263"/>
      <c r="J127" s="1263"/>
      <c r="K127" s="1264"/>
      <c r="L127" s="1264"/>
      <c r="M127" s="1264"/>
      <c r="N127" s="1264"/>
      <c r="O127" s="1265"/>
      <c r="P127" s="1266"/>
      <c r="Q127" s="1266"/>
      <c r="R127" s="1265"/>
      <c r="S127" s="1271"/>
      <c r="T127" s="1301"/>
      <c r="U127" s="1264"/>
      <c r="V127" s="1264"/>
      <c r="W127" s="1267"/>
    </row>
    <row r="128" spans="1:23">
      <c r="A128" s="1261">
        <v>123</v>
      </c>
      <c r="B128" s="3027"/>
      <c r="C128" s="3025"/>
      <c r="D128" s="3029"/>
      <c r="E128" s="1262"/>
      <c r="F128" s="1262"/>
      <c r="G128" s="1263"/>
      <c r="H128" s="1263"/>
      <c r="I128" s="1263"/>
      <c r="J128" s="1263"/>
      <c r="K128" s="1264"/>
      <c r="L128" s="1264"/>
      <c r="M128" s="1264"/>
      <c r="N128" s="1264"/>
      <c r="O128" s="1265"/>
      <c r="P128" s="1266"/>
      <c r="Q128" s="1266"/>
      <c r="R128" s="1265"/>
      <c r="S128" s="1271"/>
      <c r="T128" s="1301"/>
      <c r="U128" s="1264"/>
      <c r="V128" s="1264"/>
      <c r="W128" s="1267"/>
    </row>
    <row r="129" spans="1:23" ht="15" thickBot="1">
      <c r="A129" s="1261">
        <v>124</v>
      </c>
      <c r="B129" s="3027"/>
      <c r="C129" s="3025"/>
      <c r="D129" s="1297" t="s">
        <v>3514</v>
      </c>
      <c r="E129" s="1271"/>
      <c r="F129" s="1271"/>
      <c r="G129" s="1271"/>
      <c r="H129" s="1271"/>
      <c r="I129" s="1271"/>
      <c r="J129" s="1271"/>
      <c r="K129" s="1271"/>
      <c r="L129" s="1271"/>
      <c r="M129" s="1271"/>
      <c r="N129" s="1264">
        <f>SUM(N123:N128)</f>
        <v>0</v>
      </c>
      <c r="O129" s="1264">
        <f>SUM(O123:O128)</f>
        <v>0</v>
      </c>
      <c r="P129" s="1264">
        <f>SUM(P123:P128)</f>
        <v>0</v>
      </c>
      <c r="Q129" s="1271"/>
      <c r="R129" s="1264">
        <f>SUM(R123:R128)</f>
        <v>0</v>
      </c>
      <c r="S129" s="1271"/>
      <c r="T129" s="1301"/>
      <c r="U129" s="1276"/>
      <c r="V129" s="1276"/>
      <c r="W129" s="1267"/>
    </row>
    <row r="130" spans="1:23" ht="17.649999999999999" customHeight="1">
      <c r="A130" s="1261">
        <v>125</v>
      </c>
      <c r="B130" s="3027"/>
      <c r="C130" s="3025"/>
      <c r="D130" s="3006" t="s">
        <v>4266</v>
      </c>
      <c r="E130" s="1262"/>
      <c r="F130" s="1262"/>
      <c r="G130" s="1263"/>
      <c r="H130" s="1263"/>
      <c r="I130" s="1263"/>
      <c r="J130" s="1263"/>
      <c r="K130" s="1264"/>
      <c r="L130" s="1264"/>
      <c r="M130" s="1264"/>
      <c r="N130" s="1264"/>
      <c r="O130" s="1265"/>
      <c r="P130" s="1266"/>
      <c r="Q130" s="1266"/>
      <c r="R130" s="1265"/>
      <c r="S130" s="1271"/>
      <c r="T130" s="1301"/>
      <c r="U130" s="1264"/>
      <c r="V130" s="1264"/>
      <c r="W130" s="1267"/>
    </row>
    <row r="131" spans="1:23" ht="13.9" customHeight="1">
      <c r="A131" s="1261">
        <v>126</v>
      </c>
      <c r="B131" s="3027"/>
      <c r="C131" s="3025"/>
      <c r="D131" s="3002"/>
      <c r="E131" s="1262"/>
      <c r="F131" s="1262"/>
      <c r="G131" s="1263"/>
      <c r="H131" s="1263"/>
      <c r="I131" s="1263"/>
      <c r="J131" s="1263"/>
      <c r="K131" s="1264"/>
      <c r="L131" s="1264"/>
      <c r="M131" s="1264"/>
      <c r="N131" s="1264"/>
      <c r="O131" s="1265"/>
      <c r="P131" s="1266"/>
      <c r="Q131" s="1266"/>
      <c r="R131" s="1265"/>
      <c r="S131" s="1271"/>
      <c r="T131" s="1301"/>
      <c r="U131" s="1264"/>
      <c r="V131" s="1264"/>
      <c r="W131" s="1267"/>
    </row>
    <row r="132" spans="1:23" ht="13.9" customHeight="1">
      <c r="A132" s="1261">
        <v>127</v>
      </c>
      <c r="B132" s="3027"/>
      <c r="C132" s="3025"/>
      <c r="D132" s="3002"/>
      <c r="E132" s="1262"/>
      <c r="F132" s="1262"/>
      <c r="G132" s="1263"/>
      <c r="H132" s="1263"/>
      <c r="I132" s="1263"/>
      <c r="J132" s="1263"/>
      <c r="K132" s="1264"/>
      <c r="L132" s="1264"/>
      <c r="M132" s="1264"/>
      <c r="N132" s="1264"/>
      <c r="O132" s="1265"/>
      <c r="P132" s="1266"/>
      <c r="Q132" s="1266"/>
      <c r="R132" s="1265"/>
      <c r="S132" s="1271"/>
      <c r="T132" s="1301"/>
      <c r="U132" s="1264"/>
      <c r="V132" s="1264"/>
      <c r="W132" s="1267"/>
    </row>
    <row r="133" spans="1:23" ht="13.9" customHeight="1">
      <c r="A133" s="1261">
        <v>128</v>
      </c>
      <c r="B133" s="3027"/>
      <c r="C133" s="3025"/>
      <c r="D133" s="3002"/>
      <c r="E133" s="1262"/>
      <c r="F133" s="1262"/>
      <c r="G133" s="1263"/>
      <c r="H133" s="1263"/>
      <c r="I133" s="1263"/>
      <c r="J133" s="1263"/>
      <c r="K133" s="1264"/>
      <c r="L133" s="1264"/>
      <c r="M133" s="1264"/>
      <c r="N133" s="1264"/>
      <c r="O133" s="1265"/>
      <c r="P133" s="1266"/>
      <c r="Q133" s="1266"/>
      <c r="R133" s="1265"/>
      <c r="S133" s="1271"/>
      <c r="T133" s="1301"/>
      <c r="U133" s="1264"/>
      <c r="V133" s="1264"/>
      <c r="W133" s="1267"/>
    </row>
    <row r="134" spans="1:23" ht="13.9" customHeight="1">
      <c r="A134" s="1261">
        <v>129</v>
      </c>
      <c r="B134" s="3027"/>
      <c r="C134" s="3025"/>
      <c r="D134" s="3002"/>
      <c r="E134" s="1262"/>
      <c r="F134" s="1262"/>
      <c r="G134" s="1263"/>
      <c r="H134" s="1263"/>
      <c r="I134" s="1263"/>
      <c r="J134" s="1263"/>
      <c r="K134" s="1264"/>
      <c r="L134" s="1264"/>
      <c r="M134" s="1264"/>
      <c r="N134" s="1264"/>
      <c r="O134" s="1265"/>
      <c r="P134" s="1266"/>
      <c r="Q134" s="1266"/>
      <c r="R134" s="1265"/>
      <c r="S134" s="1271"/>
      <c r="T134" s="1301"/>
      <c r="U134" s="1264"/>
      <c r="V134" s="1264"/>
      <c r="W134" s="1267"/>
    </row>
    <row r="135" spans="1:23" ht="13.9" customHeight="1">
      <c r="A135" s="1261">
        <v>130</v>
      </c>
      <c r="B135" s="3027"/>
      <c r="C135" s="3025"/>
      <c r="D135" s="3002"/>
      <c r="E135" s="1262"/>
      <c r="F135" s="1262"/>
      <c r="G135" s="1263"/>
      <c r="H135" s="1263"/>
      <c r="I135" s="1263"/>
      <c r="J135" s="1263"/>
      <c r="K135" s="1264"/>
      <c r="L135" s="1264"/>
      <c r="M135" s="1264"/>
      <c r="N135" s="1264"/>
      <c r="O135" s="1265"/>
      <c r="P135" s="1266"/>
      <c r="Q135" s="1266"/>
      <c r="R135" s="1265"/>
      <c r="S135" s="1271"/>
      <c r="T135" s="1301"/>
      <c r="U135" s="1264"/>
      <c r="V135" s="1264"/>
      <c r="W135" s="1267"/>
    </row>
    <row r="136" spans="1:23" ht="15" thickBot="1">
      <c r="A136" s="1261">
        <v>131</v>
      </c>
      <c r="B136" s="3027"/>
      <c r="C136" s="3025"/>
      <c r="D136" s="1302" t="s">
        <v>3514</v>
      </c>
      <c r="E136" s="1271"/>
      <c r="F136" s="1271"/>
      <c r="G136" s="1271"/>
      <c r="H136" s="1271"/>
      <c r="I136" s="1271"/>
      <c r="J136" s="1271"/>
      <c r="K136" s="1271"/>
      <c r="L136" s="1271"/>
      <c r="M136" s="1271"/>
      <c r="N136" s="1264">
        <f>SUM(N130:N135)</f>
        <v>0</v>
      </c>
      <c r="O136" s="1264">
        <f>SUM(O130:O135)</f>
        <v>0</v>
      </c>
      <c r="P136" s="1264">
        <f>SUM(P130:P135)</f>
        <v>0</v>
      </c>
      <c r="Q136" s="1271"/>
      <c r="R136" s="1264">
        <f>SUM(R130:R135)</f>
        <v>0</v>
      </c>
      <c r="S136" s="1271"/>
      <c r="T136" s="1301"/>
      <c r="U136" s="1276"/>
      <c r="V136" s="1276"/>
      <c r="W136" s="1267"/>
    </row>
    <row r="137" spans="1:23" ht="16.5" customHeight="1">
      <c r="A137" s="1261">
        <v>132</v>
      </c>
      <c r="B137" s="3027"/>
      <c r="C137" s="3025"/>
      <c r="D137" s="3006" t="s">
        <v>4267</v>
      </c>
      <c r="E137" s="1262"/>
      <c r="F137" s="1262"/>
      <c r="G137" s="1263"/>
      <c r="H137" s="1263"/>
      <c r="I137" s="1263"/>
      <c r="J137" s="1263"/>
      <c r="K137" s="1264"/>
      <c r="L137" s="1264"/>
      <c r="M137" s="1264"/>
      <c r="N137" s="1264"/>
      <c r="O137" s="1265"/>
      <c r="P137" s="1266"/>
      <c r="Q137" s="1266"/>
      <c r="R137" s="1265"/>
      <c r="S137" s="1271"/>
      <c r="T137" s="1301"/>
      <c r="U137" s="1264"/>
      <c r="V137" s="1264"/>
      <c r="W137" s="1267"/>
    </row>
    <row r="138" spans="1:23" ht="15.75" customHeight="1">
      <c r="A138" s="1261">
        <v>133</v>
      </c>
      <c r="B138" s="3027"/>
      <c r="C138" s="3025"/>
      <c r="D138" s="3002"/>
      <c r="E138" s="1262"/>
      <c r="F138" s="1262"/>
      <c r="G138" s="1263"/>
      <c r="H138" s="1263"/>
      <c r="I138" s="1263"/>
      <c r="J138" s="1263"/>
      <c r="K138" s="1264"/>
      <c r="L138" s="1264"/>
      <c r="M138" s="1264"/>
      <c r="N138" s="1264"/>
      <c r="O138" s="1265"/>
      <c r="P138" s="1266"/>
      <c r="Q138" s="1264"/>
      <c r="R138" s="1265"/>
      <c r="S138" s="1271"/>
      <c r="T138" s="1272"/>
      <c r="U138" s="1264"/>
      <c r="V138" s="1264"/>
      <c r="W138" s="1267"/>
    </row>
    <row r="139" spans="1:23" ht="15.75" customHeight="1">
      <c r="A139" s="1261">
        <v>134</v>
      </c>
      <c r="B139" s="3027"/>
      <c r="C139" s="3025"/>
      <c r="D139" s="3002"/>
      <c r="E139" s="1262"/>
      <c r="F139" s="1262"/>
      <c r="G139" s="1263"/>
      <c r="H139" s="1263"/>
      <c r="I139" s="1263"/>
      <c r="J139" s="1263"/>
      <c r="K139" s="1264"/>
      <c r="L139" s="1264"/>
      <c r="M139" s="1264"/>
      <c r="N139" s="1264"/>
      <c r="O139" s="1265"/>
      <c r="P139" s="1266"/>
      <c r="Q139" s="1264"/>
      <c r="R139" s="1265"/>
      <c r="S139" s="1271"/>
      <c r="T139" s="1272"/>
      <c r="U139" s="1264"/>
      <c r="V139" s="1264"/>
      <c r="W139" s="1267"/>
    </row>
    <row r="140" spans="1:23" ht="16.5" customHeight="1">
      <c r="A140" s="1261">
        <v>135</v>
      </c>
      <c r="B140" s="3027"/>
      <c r="C140" s="3025"/>
      <c r="D140" s="3002"/>
      <c r="E140" s="1262"/>
      <c r="F140" s="1262"/>
      <c r="G140" s="1263"/>
      <c r="H140" s="1263"/>
      <c r="I140" s="1263"/>
      <c r="J140" s="1263"/>
      <c r="K140" s="1264"/>
      <c r="L140" s="1264"/>
      <c r="M140" s="1264"/>
      <c r="N140" s="1264"/>
      <c r="O140" s="1265"/>
      <c r="P140" s="1266"/>
      <c r="Q140" s="1264"/>
      <c r="R140" s="1265"/>
      <c r="S140" s="1271"/>
      <c r="T140" s="1272"/>
      <c r="U140" s="1264"/>
      <c r="V140" s="1264"/>
      <c r="W140" s="1267"/>
    </row>
    <row r="141" spans="1:23" ht="13.9" customHeight="1">
      <c r="A141" s="1261">
        <v>136</v>
      </c>
      <c r="B141" s="3027"/>
      <c r="C141" s="3025"/>
      <c r="D141" s="3002"/>
      <c r="E141" s="1262"/>
      <c r="F141" s="1262"/>
      <c r="G141" s="1263"/>
      <c r="H141" s="1263"/>
      <c r="I141" s="1263"/>
      <c r="J141" s="1263"/>
      <c r="K141" s="1264"/>
      <c r="L141" s="1264"/>
      <c r="M141" s="1264"/>
      <c r="N141" s="1264"/>
      <c r="O141" s="1265"/>
      <c r="P141" s="1266"/>
      <c r="Q141" s="1264"/>
      <c r="R141" s="1265"/>
      <c r="S141" s="1271"/>
      <c r="T141" s="1272"/>
      <c r="U141" s="1264"/>
      <c r="V141" s="1264"/>
      <c r="W141" s="1267"/>
    </row>
    <row r="142" spans="1:23" ht="13.9" customHeight="1">
      <c r="A142" s="1261">
        <v>137</v>
      </c>
      <c r="B142" s="3027"/>
      <c r="C142" s="3025"/>
      <c r="D142" s="3002"/>
      <c r="E142" s="1262"/>
      <c r="F142" s="1262"/>
      <c r="G142" s="1263"/>
      <c r="H142" s="1263"/>
      <c r="I142" s="1263"/>
      <c r="J142" s="1263"/>
      <c r="K142" s="1264"/>
      <c r="L142" s="1264"/>
      <c r="M142" s="1264"/>
      <c r="N142" s="1264"/>
      <c r="O142" s="1265"/>
      <c r="P142" s="1266"/>
      <c r="Q142" s="1264"/>
      <c r="R142" s="1265"/>
      <c r="S142" s="1271"/>
      <c r="T142" s="1272"/>
      <c r="U142" s="1264"/>
      <c r="V142" s="1264"/>
      <c r="W142" s="1267"/>
    </row>
    <row r="143" spans="1:23" ht="15" thickBot="1">
      <c r="A143" s="1261">
        <v>138</v>
      </c>
      <c r="B143" s="3027"/>
      <c r="C143" s="3026"/>
      <c r="D143" s="1298" t="s">
        <v>3514</v>
      </c>
      <c r="E143" s="1276"/>
      <c r="F143" s="1276"/>
      <c r="G143" s="1276"/>
      <c r="H143" s="1276"/>
      <c r="I143" s="1276"/>
      <c r="J143" s="1276"/>
      <c r="K143" s="1276"/>
      <c r="L143" s="1276"/>
      <c r="M143" s="1276"/>
      <c r="N143" s="1275">
        <f>SUM(N137:N142)</f>
        <v>0</v>
      </c>
      <c r="O143" s="1275">
        <f>SUM(O137:O142)</f>
        <v>0</v>
      </c>
      <c r="P143" s="1275">
        <f>SUM(P137:P142)</f>
        <v>0</v>
      </c>
      <c r="Q143" s="1276"/>
      <c r="R143" s="1275">
        <f>SUM(R137:R142)</f>
        <v>0</v>
      </c>
      <c r="S143" s="1276"/>
      <c r="T143" s="1299"/>
      <c r="U143" s="1276"/>
      <c r="V143" s="1276"/>
      <c r="W143" s="1278"/>
    </row>
    <row r="144" spans="1:23" ht="16.5" customHeight="1">
      <c r="A144" s="1261">
        <v>139</v>
      </c>
      <c r="B144" s="3027"/>
      <c r="C144" s="3021" t="s">
        <v>4261</v>
      </c>
      <c r="D144" s="3001" t="s">
        <v>4269</v>
      </c>
      <c r="E144" s="1255"/>
      <c r="F144" s="1255"/>
      <c r="G144" s="1256"/>
      <c r="H144" s="1256"/>
      <c r="I144" s="1256"/>
      <c r="J144" s="1256"/>
      <c r="K144" s="1257"/>
      <c r="L144" s="1257"/>
      <c r="M144" s="1257"/>
      <c r="N144" s="1257"/>
      <c r="O144" s="1258"/>
      <c r="P144" s="1259"/>
      <c r="Q144" s="1257"/>
      <c r="R144" s="1258"/>
      <c r="S144" s="1295"/>
      <c r="T144" s="1296"/>
      <c r="U144" s="1257"/>
      <c r="V144" s="1257"/>
      <c r="W144" s="1260"/>
    </row>
    <row r="145" spans="1:23">
      <c r="A145" s="1261">
        <v>140</v>
      </c>
      <c r="B145" s="3027"/>
      <c r="C145" s="3022"/>
      <c r="D145" s="3002"/>
      <c r="E145" s="1262"/>
      <c r="F145" s="1262"/>
      <c r="G145" s="1263"/>
      <c r="H145" s="1263"/>
      <c r="I145" s="1263"/>
      <c r="J145" s="1263"/>
      <c r="K145" s="1264"/>
      <c r="L145" s="1264"/>
      <c r="M145" s="1264"/>
      <c r="N145" s="1264"/>
      <c r="O145" s="1265"/>
      <c r="P145" s="1266"/>
      <c r="Q145" s="1264"/>
      <c r="R145" s="1265"/>
      <c r="S145" s="1301"/>
      <c r="T145" s="1272"/>
      <c r="U145" s="1264"/>
      <c r="V145" s="1264"/>
      <c r="W145" s="1267"/>
    </row>
    <row r="146" spans="1:23">
      <c r="A146" s="1261">
        <v>141</v>
      </c>
      <c r="B146" s="3027"/>
      <c r="C146" s="3022"/>
      <c r="D146" s="3002"/>
      <c r="E146" s="1262"/>
      <c r="F146" s="1262"/>
      <c r="G146" s="1263"/>
      <c r="H146" s="1263"/>
      <c r="I146" s="1263"/>
      <c r="J146" s="1263"/>
      <c r="K146" s="1264"/>
      <c r="L146" s="1264"/>
      <c r="M146" s="1264"/>
      <c r="N146" s="1264"/>
      <c r="O146" s="1265"/>
      <c r="P146" s="1266"/>
      <c r="Q146" s="1264"/>
      <c r="R146" s="1265"/>
      <c r="S146" s="1301"/>
      <c r="T146" s="1272"/>
      <c r="U146" s="1264"/>
      <c r="V146" s="1264"/>
      <c r="W146" s="1267"/>
    </row>
    <row r="147" spans="1:23">
      <c r="A147" s="1261">
        <v>142</v>
      </c>
      <c r="B147" s="3027"/>
      <c r="C147" s="3022"/>
      <c r="D147" s="3002"/>
      <c r="E147" s="1262"/>
      <c r="F147" s="1262"/>
      <c r="G147" s="1263"/>
      <c r="H147" s="1263"/>
      <c r="I147" s="1263"/>
      <c r="J147" s="1263"/>
      <c r="K147" s="1264"/>
      <c r="L147" s="1264"/>
      <c r="M147" s="1264"/>
      <c r="N147" s="1264"/>
      <c r="O147" s="1265"/>
      <c r="P147" s="1266"/>
      <c r="Q147" s="1264"/>
      <c r="R147" s="1265"/>
      <c r="S147" s="1301"/>
      <c r="T147" s="1272"/>
      <c r="U147" s="1264"/>
      <c r="V147" s="1264"/>
      <c r="W147" s="1267"/>
    </row>
    <row r="148" spans="1:23">
      <c r="A148" s="1261">
        <v>143</v>
      </c>
      <c r="B148" s="3027"/>
      <c r="C148" s="3022"/>
      <c r="D148" s="3002"/>
      <c r="E148" s="1262"/>
      <c r="F148" s="1262"/>
      <c r="G148" s="1263"/>
      <c r="H148" s="1263"/>
      <c r="I148" s="1263"/>
      <c r="J148" s="1263"/>
      <c r="K148" s="1264"/>
      <c r="L148" s="1264"/>
      <c r="M148" s="1264"/>
      <c r="N148" s="1264"/>
      <c r="O148" s="1265"/>
      <c r="P148" s="1266"/>
      <c r="Q148" s="1264"/>
      <c r="R148" s="1265"/>
      <c r="S148" s="1301"/>
      <c r="T148" s="1272"/>
      <c r="U148" s="1264"/>
      <c r="V148" s="1264"/>
      <c r="W148" s="1267"/>
    </row>
    <row r="149" spans="1:23">
      <c r="A149" s="1261">
        <v>144</v>
      </c>
      <c r="B149" s="3027"/>
      <c r="C149" s="3022"/>
      <c r="D149" s="3002"/>
      <c r="E149" s="1262"/>
      <c r="F149" s="1262"/>
      <c r="G149" s="1263"/>
      <c r="H149" s="1263"/>
      <c r="I149" s="1263"/>
      <c r="J149" s="1263"/>
      <c r="K149" s="1264"/>
      <c r="L149" s="1264"/>
      <c r="M149" s="1264"/>
      <c r="N149" s="1264"/>
      <c r="O149" s="1265"/>
      <c r="P149" s="1266"/>
      <c r="Q149" s="1264"/>
      <c r="R149" s="1265"/>
      <c r="S149" s="1301"/>
      <c r="T149" s="1272"/>
      <c r="U149" s="1264"/>
      <c r="V149" s="1264"/>
      <c r="W149" s="1267"/>
    </row>
    <row r="150" spans="1:23" ht="14.25">
      <c r="A150" s="1261">
        <v>145</v>
      </c>
      <c r="B150" s="3027"/>
      <c r="C150" s="3022"/>
      <c r="D150" s="1279" t="s">
        <v>3514</v>
      </c>
      <c r="E150" s="1271"/>
      <c r="F150" s="1271"/>
      <c r="G150" s="1271"/>
      <c r="H150" s="1271"/>
      <c r="I150" s="1271"/>
      <c r="J150" s="1271"/>
      <c r="K150" s="1271"/>
      <c r="L150" s="1271"/>
      <c r="M150" s="1271"/>
      <c r="N150" s="1264">
        <f>SUM(N144:N149)</f>
        <v>0</v>
      </c>
      <c r="O150" s="1264">
        <f>SUM(O144:O149)</f>
        <v>0</v>
      </c>
      <c r="P150" s="1264">
        <f>SUM(P144:P149)</f>
        <v>0</v>
      </c>
      <c r="Q150" s="1271"/>
      <c r="R150" s="1264">
        <f>SUM(R144:R149)</f>
        <v>0</v>
      </c>
      <c r="S150" s="1301"/>
      <c r="T150" s="1272"/>
      <c r="U150" s="1271"/>
      <c r="V150" s="1271"/>
      <c r="W150" s="1267"/>
    </row>
    <row r="151" spans="1:23" ht="16.5" customHeight="1">
      <c r="A151" s="1261">
        <v>146</v>
      </c>
      <c r="B151" s="3027"/>
      <c r="C151" s="3022"/>
      <c r="D151" s="3006" t="s">
        <v>4266</v>
      </c>
      <c r="E151" s="1262"/>
      <c r="F151" s="1262"/>
      <c r="G151" s="1263"/>
      <c r="H151" s="1263"/>
      <c r="I151" s="1263"/>
      <c r="J151" s="1263"/>
      <c r="K151" s="1264"/>
      <c r="L151" s="1264"/>
      <c r="M151" s="1264"/>
      <c r="N151" s="1264"/>
      <c r="O151" s="1265"/>
      <c r="P151" s="1266"/>
      <c r="Q151" s="1264"/>
      <c r="R151" s="1265"/>
      <c r="S151" s="1301"/>
      <c r="T151" s="1272"/>
      <c r="U151" s="1303"/>
      <c r="V151" s="1303"/>
      <c r="W151" s="1267"/>
    </row>
    <row r="152" spans="1:23" ht="13.9" customHeight="1">
      <c r="A152" s="1261">
        <v>147</v>
      </c>
      <c r="B152" s="3027"/>
      <c r="C152" s="3022"/>
      <c r="D152" s="3002"/>
      <c r="E152" s="1262"/>
      <c r="F152" s="1262"/>
      <c r="G152" s="1263"/>
      <c r="H152" s="1263"/>
      <c r="I152" s="1263"/>
      <c r="J152" s="1263"/>
      <c r="K152" s="1264"/>
      <c r="L152" s="1264"/>
      <c r="M152" s="1264"/>
      <c r="N152" s="1264"/>
      <c r="O152" s="1265"/>
      <c r="P152" s="1266"/>
      <c r="Q152" s="1264"/>
      <c r="R152" s="1265"/>
      <c r="S152" s="1301"/>
      <c r="T152" s="1272"/>
      <c r="U152" s="1264"/>
      <c r="V152" s="1264"/>
      <c r="W152" s="1267"/>
    </row>
    <row r="153" spans="1:23" ht="13.9" customHeight="1">
      <c r="A153" s="1261">
        <v>148</v>
      </c>
      <c r="B153" s="3027"/>
      <c r="C153" s="3022"/>
      <c r="D153" s="3002"/>
      <c r="E153" s="1262"/>
      <c r="F153" s="1262"/>
      <c r="G153" s="1263"/>
      <c r="H153" s="1263"/>
      <c r="I153" s="1263"/>
      <c r="J153" s="1263"/>
      <c r="K153" s="1264"/>
      <c r="L153" s="1264"/>
      <c r="M153" s="1264"/>
      <c r="N153" s="1264"/>
      <c r="O153" s="1265"/>
      <c r="P153" s="1266"/>
      <c r="Q153" s="1264"/>
      <c r="R153" s="1265"/>
      <c r="S153" s="1301"/>
      <c r="T153" s="1272"/>
      <c r="U153" s="1264"/>
      <c r="V153" s="1264"/>
      <c r="W153" s="1267"/>
    </row>
    <row r="154" spans="1:23" ht="13.9" customHeight="1">
      <c r="A154" s="1261">
        <v>149</v>
      </c>
      <c r="B154" s="3027"/>
      <c r="C154" s="3022"/>
      <c r="D154" s="3002"/>
      <c r="E154" s="1262"/>
      <c r="F154" s="1262"/>
      <c r="G154" s="1263"/>
      <c r="H154" s="1263"/>
      <c r="I154" s="1263"/>
      <c r="J154" s="1263"/>
      <c r="K154" s="1264"/>
      <c r="L154" s="1264"/>
      <c r="M154" s="1264"/>
      <c r="N154" s="1264"/>
      <c r="O154" s="1265"/>
      <c r="P154" s="1266"/>
      <c r="Q154" s="1264"/>
      <c r="R154" s="1265"/>
      <c r="S154" s="1301"/>
      <c r="T154" s="1272"/>
      <c r="U154" s="1264"/>
      <c r="V154" s="1264"/>
      <c r="W154" s="1267"/>
    </row>
    <row r="155" spans="1:23" ht="13.9" customHeight="1">
      <c r="A155" s="1261">
        <v>150</v>
      </c>
      <c r="B155" s="3027"/>
      <c r="C155" s="3022"/>
      <c r="D155" s="3002"/>
      <c r="E155" s="1262"/>
      <c r="F155" s="1262"/>
      <c r="G155" s="1263"/>
      <c r="H155" s="1263"/>
      <c r="I155" s="1263"/>
      <c r="J155" s="1263"/>
      <c r="K155" s="1264"/>
      <c r="L155" s="1264"/>
      <c r="M155" s="1264"/>
      <c r="N155" s="1264"/>
      <c r="O155" s="1265"/>
      <c r="P155" s="1266"/>
      <c r="Q155" s="1264"/>
      <c r="R155" s="1265"/>
      <c r="S155" s="1301"/>
      <c r="T155" s="1272"/>
      <c r="U155" s="1264"/>
      <c r="V155" s="1264"/>
      <c r="W155" s="1267"/>
    </row>
    <row r="156" spans="1:23" ht="13.9" customHeight="1">
      <c r="A156" s="1261">
        <v>151</v>
      </c>
      <c r="B156" s="3027"/>
      <c r="C156" s="3022"/>
      <c r="D156" s="3002"/>
      <c r="E156" s="1262"/>
      <c r="F156" s="1262"/>
      <c r="G156" s="1263"/>
      <c r="H156" s="1263"/>
      <c r="I156" s="1263"/>
      <c r="J156" s="1263"/>
      <c r="K156" s="1264"/>
      <c r="L156" s="1264"/>
      <c r="M156" s="1264"/>
      <c r="N156" s="1264"/>
      <c r="O156" s="1265"/>
      <c r="P156" s="1266"/>
      <c r="Q156" s="1264"/>
      <c r="R156" s="1265"/>
      <c r="S156" s="1301"/>
      <c r="T156" s="1272"/>
      <c r="U156" s="1264"/>
      <c r="V156" s="1264"/>
      <c r="W156" s="1267"/>
    </row>
    <row r="157" spans="1:23" ht="14.25">
      <c r="A157" s="1261">
        <v>152</v>
      </c>
      <c r="B157" s="3027"/>
      <c r="C157" s="3022"/>
      <c r="D157" s="1304" t="s">
        <v>3514</v>
      </c>
      <c r="E157" s="1271"/>
      <c r="F157" s="1271"/>
      <c r="G157" s="1271"/>
      <c r="H157" s="1271"/>
      <c r="I157" s="1271"/>
      <c r="J157" s="1271"/>
      <c r="K157" s="1271"/>
      <c r="L157" s="1271"/>
      <c r="M157" s="1271"/>
      <c r="N157" s="1264">
        <f>SUM(N151:N156)</f>
        <v>0</v>
      </c>
      <c r="O157" s="1264">
        <f>SUM(O151:O156)</f>
        <v>0</v>
      </c>
      <c r="P157" s="1264">
        <f>SUM(P151:P156)</f>
        <v>0</v>
      </c>
      <c r="Q157" s="1271"/>
      <c r="R157" s="1264">
        <f>SUM(R151:R156)</f>
        <v>0</v>
      </c>
      <c r="S157" s="1301"/>
      <c r="T157" s="1272"/>
      <c r="U157" s="1271"/>
      <c r="V157" s="1271"/>
      <c r="W157" s="1267"/>
    </row>
    <row r="158" spans="1:23" ht="16.5" customHeight="1">
      <c r="A158" s="1261">
        <v>153</v>
      </c>
      <c r="B158" s="3027"/>
      <c r="C158" s="3022"/>
      <c r="D158" s="3006" t="s">
        <v>4267</v>
      </c>
      <c r="E158" s="1262"/>
      <c r="F158" s="1262"/>
      <c r="G158" s="1263"/>
      <c r="H158" s="1263"/>
      <c r="I158" s="1263"/>
      <c r="J158" s="1263"/>
      <c r="K158" s="1264"/>
      <c r="L158" s="1264"/>
      <c r="M158" s="1264"/>
      <c r="N158" s="1264"/>
      <c r="O158" s="1265"/>
      <c r="P158" s="1266"/>
      <c r="Q158" s="1264"/>
      <c r="R158" s="1265"/>
      <c r="S158" s="1301"/>
      <c r="T158" s="1272"/>
      <c r="U158" s="1303"/>
      <c r="V158" s="1303"/>
      <c r="W158" s="1267"/>
    </row>
    <row r="159" spans="1:23" ht="13.9" customHeight="1">
      <c r="A159" s="1261">
        <v>154</v>
      </c>
      <c r="B159" s="3027"/>
      <c r="C159" s="3022"/>
      <c r="D159" s="3002"/>
      <c r="E159" s="1262"/>
      <c r="F159" s="1262"/>
      <c r="G159" s="1263"/>
      <c r="H159" s="1263"/>
      <c r="I159" s="1263"/>
      <c r="J159" s="1263"/>
      <c r="K159" s="1264"/>
      <c r="L159" s="1264"/>
      <c r="M159" s="1264"/>
      <c r="N159" s="1264"/>
      <c r="O159" s="1265"/>
      <c r="P159" s="1266"/>
      <c r="Q159" s="1264"/>
      <c r="R159" s="1265"/>
      <c r="S159" s="1301"/>
      <c r="T159" s="1272"/>
      <c r="U159" s="1264"/>
      <c r="V159" s="1264"/>
      <c r="W159" s="1267"/>
    </row>
    <row r="160" spans="1:23" ht="13.9" customHeight="1">
      <c r="A160" s="1261">
        <v>155</v>
      </c>
      <c r="B160" s="3027"/>
      <c r="C160" s="3022"/>
      <c r="D160" s="3002"/>
      <c r="E160" s="1262"/>
      <c r="F160" s="1262"/>
      <c r="G160" s="1263"/>
      <c r="H160" s="1263"/>
      <c r="I160" s="1263"/>
      <c r="J160" s="1263"/>
      <c r="K160" s="1264"/>
      <c r="L160" s="1264"/>
      <c r="M160" s="1264"/>
      <c r="N160" s="1264"/>
      <c r="O160" s="1265"/>
      <c r="P160" s="1266"/>
      <c r="Q160" s="1264"/>
      <c r="R160" s="1265"/>
      <c r="S160" s="1301"/>
      <c r="T160" s="1272"/>
      <c r="U160" s="1264"/>
      <c r="V160" s="1264"/>
      <c r="W160" s="1267"/>
    </row>
    <row r="161" spans="1:23" ht="13.9" customHeight="1">
      <c r="A161" s="1261">
        <v>156</v>
      </c>
      <c r="B161" s="3027"/>
      <c r="C161" s="3022"/>
      <c r="D161" s="3002"/>
      <c r="E161" s="1262"/>
      <c r="F161" s="1262"/>
      <c r="G161" s="1263"/>
      <c r="H161" s="1263"/>
      <c r="I161" s="1263"/>
      <c r="J161" s="1263"/>
      <c r="K161" s="1264"/>
      <c r="L161" s="1264"/>
      <c r="M161" s="1264"/>
      <c r="N161" s="1264"/>
      <c r="O161" s="1265"/>
      <c r="P161" s="1266"/>
      <c r="Q161" s="1264"/>
      <c r="R161" s="1265"/>
      <c r="S161" s="1301"/>
      <c r="T161" s="1272"/>
      <c r="U161" s="1264"/>
      <c r="V161" s="1264"/>
      <c r="W161" s="1267"/>
    </row>
    <row r="162" spans="1:23" ht="13.9" customHeight="1">
      <c r="A162" s="1261">
        <v>157</v>
      </c>
      <c r="B162" s="3027"/>
      <c r="C162" s="3022"/>
      <c r="D162" s="3002"/>
      <c r="E162" s="1262"/>
      <c r="F162" s="1262"/>
      <c r="G162" s="1263"/>
      <c r="H162" s="1263"/>
      <c r="I162" s="1263"/>
      <c r="J162" s="1263"/>
      <c r="K162" s="1264"/>
      <c r="L162" s="1264"/>
      <c r="M162" s="1264"/>
      <c r="N162" s="1264"/>
      <c r="O162" s="1265"/>
      <c r="P162" s="1266"/>
      <c r="Q162" s="1264"/>
      <c r="R162" s="1265"/>
      <c r="S162" s="1301"/>
      <c r="T162" s="1272"/>
      <c r="U162" s="1264"/>
      <c r="V162" s="1264"/>
      <c r="W162" s="1267"/>
    </row>
    <row r="163" spans="1:23" ht="13.9" customHeight="1">
      <c r="A163" s="1261">
        <v>158</v>
      </c>
      <c r="B163" s="3027"/>
      <c r="C163" s="3022"/>
      <c r="D163" s="3002"/>
      <c r="E163" s="1262"/>
      <c r="F163" s="1262"/>
      <c r="G163" s="1263"/>
      <c r="H163" s="1263"/>
      <c r="I163" s="1263"/>
      <c r="J163" s="1263"/>
      <c r="K163" s="1264"/>
      <c r="L163" s="1264"/>
      <c r="M163" s="1264"/>
      <c r="N163" s="1264"/>
      <c r="O163" s="1265"/>
      <c r="P163" s="1266"/>
      <c r="Q163" s="1264"/>
      <c r="R163" s="1265"/>
      <c r="S163" s="1301"/>
      <c r="T163" s="1272"/>
      <c r="U163" s="1264"/>
      <c r="V163" s="1264"/>
      <c r="W163" s="1267"/>
    </row>
    <row r="164" spans="1:23" ht="15" thickBot="1">
      <c r="A164" s="1282">
        <v>159</v>
      </c>
      <c r="B164" s="3027"/>
      <c r="C164" s="3022"/>
      <c r="D164" s="1305" t="s">
        <v>3514</v>
      </c>
      <c r="E164" s="1285"/>
      <c r="F164" s="1285"/>
      <c r="G164" s="1285"/>
      <c r="H164" s="1285"/>
      <c r="I164" s="1285"/>
      <c r="J164" s="1285"/>
      <c r="K164" s="1285"/>
      <c r="L164" s="1285"/>
      <c r="M164" s="1285"/>
      <c r="N164" s="1286">
        <f>SUM(N158:N163)</f>
        <v>0</v>
      </c>
      <c r="O164" s="1286">
        <f>SUM(O158:O163)</f>
        <v>0</v>
      </c>
      <c r="P164" s="1286">
        <f>SUM(P158:P163)</f>
        <v>0</v>
      </c>
      <c r="Q164" s="1285"/>
      <c r="R164" s="1286">
        <f>SUM(R158:R163)</f>
        <v>0</v>
      </c>
      <c r="S164" s="1306"/>
      <c r="T164" s="1307"/>
      <c r="U164" s="1285"/>
      <c r="V164" s="1285"/>
      <c r="W164" s="1287"/>
    </row>
    <row r="165" spans="1:23" ht="15" thickBot="1">
      <c r="A165" s="1288">
        <v>160</v>
      </c>
      <c r="B165" s="3013" t="s">
        <v>4270</v>
      </c>
      <c r="C165" s="3014"/>
      <c r="D165" s="3015"/>
      <c r="E165" s="1289"/>
      <c r="F165" s="1289"/>
      <c r="G165" s="1290"/>
      <c r="H165" s="1290"/>
      <c r="I165" s="1290"/>
      <c r="J165" s="1290"/>
      <c r="K165" s="1291"/>
      <c r="L165" s="1291"/>
      <c r="M165" s="1291"/>
      <c r="N165" s="1308">
        <f>N115+N122+N129+N136+N143+N150+N157+N164</f>
        <v>0</v>
      </c>
      <c r="O165" s="1308">
        <f>O115+O122+O129+O136+O143+O150+O157+O164</f>
        <v>0</v>
      </c>
      <c r="P165" s="1308">
        <f>P115+P122+P129+P136+P143+P150+P157+P164</f>
        <v>0</v>
      </c>
      <c r="Q165" s="1291"/>
      <c r="R165" s="1308">
        <f>R115+R122+R129+R136+R143+R150+R157+R164</f>
        <v>0</v>
      </c>
      <c r="S165" s="1309"/>
      <c r="T165" s="1293"/>
      <c r="U165" s="1291"/>
      <c r="V165" s="1291"/>
      <c r="W165" s="1294"/>
    </row>
    <row r="166" spans="1:23" ht="16.5" customHeight="1">
      <c r="A166" s="1253">
        <v>161</v>
      </c>
      <c r="B166" s="3016" t="s">
        <v>4271</v>
      </c>
      <c r="C166" s="3021" t="s">
        <v>4265</v>
      </c>
      <c r="D166" s="3018" t="s">
        <v>4266</v>
      </c>
      <c r="E166" s="1255"/>
      <c r="F166" s="1255"/>
      <c r="G166" s="1256"/>
      <c r="H166" s="1256"/>
      <c r="I166" s="1256"/>
      <c r="J166" s="1256"/>
      <c r="K166" s="1257"/>
      <c r="L166" s="1257"/>
      <c r="M166" s="1257"/>
      <c r="N166" s="1257"/>
      <c r="O166" s="1258"/>
      <c r="P166" s="1259"/>
      <c r="Q166" s="1257"/>
      <c r="R166" s="1258"/>
      <c r="S166" s="1295"/>
      <c r="T166" s="1296"/>
      <c r="U166" s="1257"/>
      <c r="V166" s="1257"/>
      <c r="W166" s="1260"/>
    </row>
    <row r="167" spans="1:23" ht="16.5" customHeight="1">
      <c r="A167" s="1261">
        <v>162</v>
      </c>
      <c r="B167" s="3027"/>
      <c r="C167" s="3022"/>
      <c r="D167" s="3019"/>
      <c r="E167" s="1262"/>
      <c r="F167" s="1262"/>
      <c r="G167" s="1263"/>
      <c r="H167" s="1263"/>
      <c r="I167" s="1263"/>
      <c r="J167" s="1263"/>
      <c r="K167" s="1264"/>
      <c r="L167" s="1264"/>
      <c r="M167" s="1264"/>
      <c r="N167" s="1264"/>
      <c r="O167" s="1265"/>
      <c r="P167" s="1266"/>
      <c r="Q167" s="1264"/>
      <c r="R167" s="1265"/>
      <c r="S167" s="1271"/>
      <c r="T167" s="1272"/>
      <c r="U167" s="1264"/>
      <c r="V167" s="1264"/>
      <c r="W167" s="1267"/>
    </row>
    <row r="168" spans="1:23" ht="16.5" customHeight="1">
      <c r="A168" s="1261">
        <v>163</v>
      </c>
      <c r="B168" s="3027"/>
      <c r="C168" s="3022"/>
      <c r="D168" s="3019"/>
      <c r="E168" s="1262"/>
      <c r="F168" s="1262"/>
      <c r="G168" s="1263"/>
      <c r="H168" s="1263"/>
      <c r="I168" s="1263"/>
      <c r="J168" s="1263"/>
      <c r="K168" s="1264"/>
      <c r="L168" s="1264"/>
      <c r="M168" s="1264"/>
      <c r="N168" s="1264"/>
      <c r="O168" s="1265"/>
      <c r="P168" s="1266"/>
      <c r="Q168" s="1264"/>
      <c r="R168" s="1265"/>
      <c r="S168" s="1271"/>
      <c r="T168" s="1272"/>
      <c r="U168" s="1264"/>
      <c r="V168" s="1264"/>
      <c r="W168" s="1267"/>
    </row>
    <row r="169" spans="1:23" ht="16.5" customHeight="1">
      <c r="A169" s="1261">
        <v>164</v>
      </c>
      <c r="B169" s="3027"/>
      <c r="C169" s="3022"/>
      <c r="D169" s="3019"/>
      <c r="E169" s="1262"/>
      <c r="F169" s="1262"/>
      <c r="G169" s="1263"/>
      <c r="H169" s="1263"/>
      <c r="I169" s="1263"/>
      <c r="J169" s="1263"/>
      <c r="K169" s="1264"/>
      <c r="L169" s="1264"/>
      <c r="M169" s="1264"/>
      <c r="N169" s="1264"/>
      <c r="O169" s="1265"/>
      <c r="P169" s="1266"/>
      <c r="Q169" s="1264"/>
      <c r="R169" s="1265"/>
      <c r="S169" s="1271"/>
      <c r="T169" s="1272"/>
      <c r="U169" s="1264"/>
      <c r="V169" s="1264"/>
      <c r="W169" s="1267"/>
    </row>
    <row r="170" spans="1:23" ht="16.5" customHeight="1">
      <c r="A170" s="1261">
        <v>165</v>
      </c>
      <c r="B170" s="3027"/>
      <c r="C170" s="3022"/>
      <c r="D170" s="3019"/>
      <c r="E170" s="1262"/>
      <c r="F170" s="1262"/>
      <c r="G170" s="1263"/>
      <c r="H170" s="1263"/>
      <c r="I170" s="1263"/>
      <c r="J170" s="1263"/>
      <c r="K170" s="1264"/>
      <c r="L170" s="1264"/>
      <c r="M170" s="1264"/>
      <c r="N170" s="1264"/>
      <c r="O170" s="1265"/>
      <c r="P170" s="1266"/>
      <c r="Q170" s="1264"/>
      <c r="R170" s="1265"/>
      <c r="S170" s="1271"/>
      <c r="T170" s="1272"/>
      <c r="U170" s="1264"/>
      <c r="V170" s="1264"/>
      <c r="W170" s="1267"/>
    </row>
    <row r="171" spans="1:23" ht="16.5" customHeight="1">
      <c r="A171" s="1261">
        <v>166</v>
      </c>
      <c r="B171" s="3027"/>
      <c r="C171" s="3022"/>
      <c r="D171" s="3019"/>
      <c r="E171" s="1262"/>
      <c r="F171" s="1262"/>
      <c r="G171" s="1263"/>
      <c r="H171" s="1263"/>
      <c r="I171" s="1263"/>
      <c r="J171" s="1263"/>
      <c r="K171" s="1264"/>
      <c r="L171" s="1264"/>
      <c r="M171" s="1264"/>
      <c r="N171" s="1264"/>
      <c r="O171" s="1265"/>
      <c r="P171" s="1266"/>
      <c r="Q171" s="1264"/>
      <c r="R171" s="1265"/>
      <c r="S171" s="1271"/>
      <c r="T171" s="1272"/>
      <c r="U171" s="1264"/>
      <c r="V171" s="1264"/>
      <c r="W171" s="1267"/>
    </row>
    <row r="172" spans="1:23" ht="16.5" customHeight="1">
      <c r="A172" s="1261">
        <v>167</v>
      </c>
      <c r="B172" s="3027"/>
      <c r="C172" s="3022"/>
      <c r="D172" s="1297" t="s">
        <v>3514</v>
      </c>
      <c r="E172" s="1271"/>
      <c r="F172" s="1271"/>
      <c r="G172" s="1271"/>
      <c r="H172" s="1271"/>
      <c r="I172" s="1271"/>
      <c r="J172" s="1271"/>
      <c r="K172" s="1271"/>
      <c r="L172" s="1271"/>
      <c r="M172" s="1271"/>
      <c r="N172" s="1264">
        <f>SUM(N166:N171)</f>
        <v>0</v>
      </c>
      <c r="O172" s="1264">
        <f>SUM(O166:O171)</f>
        <v>0</v>
      </c>
      <c r="P172" s="1264">
        <f>SUM(P166:P171)</f>
        <v>0</v>
      </c>
      <c r="Q172" s="1271"/>
      <c r="R172" s="1264">
        <f>SUM(R166:R171)</f>
        <v>0</v>
      </c>
      <c r="S172" s="1271"/>
      <c r="T172" s="1272"/>
      <c r="U172" s="1271"/>
      <c r="V172" s="1271"/>
      <c r="W172" s="1267"/>
    </row>
    <row r="173" spans="1:23" ht="16.5" customHeight="1">
      <c r="A173" s="1261">
        <v>168</v>
      </c>
      <c r="B173" s="3027"/>
      <c r="C173" s="3022"/>
      <c r="D173" s="3020" t="s">
        <v>4267</v>
      </c>
      <c r="E173" s="1262"/>
      <c r="F173" s="1262"/>
      <c r="G173" s="1263"/>
      <c r="H173" s="1263"/>
      <c r="I173" s="1263"/>
      <c r="J173" s="1263"/>
      <c r="K173" s="1264"/>
      <c r="L173" s="1264"/>
      <c r="M173" s="1264"/>
      <c r="N173" s="1264"/>
      <c r="O173" s="1265"/>
      <c r="P173" s="1266"/>
      <c r="Q173" s="1264"/>
      <c r="R173" s="1265"/>
      <c r="S173" s="1271"/>
      <c r="T173" s="1272"/>
      <c r="U173" s="1303"/>
      <c r="V173" s="1303"/>
      <c r="W173" s="1267"/>
    </row>
    <row r="174" spans="1:23" ht="16.5" customHeight="1">
      <c r="A174" s="1261">
        <v>169</v>
      </c>
      <c r="B174" s="3027"/>
      <c r="C174" s="3022"/>
      <c r="D174" s="3019"/>
      <c r="E174" s="1262"/>
      <c r="F174" s="1262"/>
      <c r="G174" s="1263"/>
      <c r="H174" s="1263"/>
      <c r="I174" s="1263"/>
      <c r="J174" s="1263"/>
      <c r="K174" s="1264"/>
      <c r="L174" s="1264"/>
      <c r="M174" s="1264"/>
      <c r="N174" s="1264"/>
      <c r="O174" s="1265"/>
      <c r="P174" s="1266"/>
      <c r="Q174" s="1264"/>
      <c r="R174" s="1265"/>
      <c r="S174" s="1271"/>
      <c r="T174" s="1272"/>
      <c r="U174" s="1264"/>
      <c r="V174" s="1264"/>
      <c r="W174" s="1267"/>
    </row>
    <row r="175" spans="1:23" ht="16.5" customHeight="1">
      <c r="A175" s="1261">
        <v>170</v>
      </c>
      <c r="B175" s="3027"/>
      <c r="C175" s="3022"/>
      <c r="D175" s="3019"/>
      <c r="E175" s="1262"/>
      <c r="F175" s="1262"/>
      <c r="G175" s="1263"/>
      <c r="H175" s="1263"/>
      <c r="I175" s="1263"/>
      <c r="J175" s="1263"/>
      <c r="K175" s="1264"/>
      <c r="L175" s="1264"/>
      <c r="M175" s="1264"/>
      <c r="N175" s="1264"/>
      <c r="O175" s="1265"/>
      <c r="P175" s="1266"/>
      <c r="Q175" s="1264"/>
      <c r="R175" s="1265"/>
      <c r="S175" s="1271"/>
      <c r="T175" s="1272"/>
      <c r="U175" s="1264"/>
      <c r="V175" s="1264"/>
      <c r="W175" s="1267"/>
    </row>
    <row r="176" spans="1:23" ht="16.5" customHeight="1">
      <c r="A176" s="1261">
        <v>171</v>
      </c>
      <c r="B176" s="3027"/>
      <c r="C176" s="3022"/>
      <c r="D176" s="3019"/>
      <c r="E176" s="1262"/>
      <c r="F176" s="1262"/>
      <c r="G176" s="1263"/>
      <c r="H176" s="1263"/>
      <c r="I176" s="1263"/>
      <c r="J176" s="1263"/>
      <c r="K176" s="1264"/>
      <c r="L176" s="1264"/>
      <c r="M176" s="1264"/>
      <c r="N176" s="1264"/>
      <c r="O176" s="1265"/>
      <c r="P176" s="1266"/>
      <c r="Q176" s="1264"/>
      <c r="R176" s="1265"/>
      <c r="S176" s="1271"/>
      <c r="T176" s="1272"/>
      <c r="U176" s="1264"/>
      <c r="V176" s="1264"/>
      <c r="W176" s="1267"/>
    </row>
    <row r="177" spans="1:23">
      <c r="A177" s="1261">
        <v>172</v>
      </c>
      <c r="B177" s="3027"/>
      <c r="C177" s="3022"/>
      <c r="D177" s="3019"/>
      <c r="E177" s="1262"/>
      <c r="F177" s="1262"/>
      <c r="G177" s="1263"/>
      <c r="H177" s="1263"/>
      <c r="I177" s="1263"/>
      <c r="J177" s="1263"/>
      <c r="K177" s="1264"/>
      <c r="L177" s="1264"/>
      <c r="M177" s="1264"/>
      <c r="N177" s="1264"/>
      <c r="O177" s="1265"/>
      <c r="P177" s="1266"/>
      <c r="Q177" s="1264"/>
      <c r="R177" s="1265"/>
      <c r="S177" s="1271"/>
      <c r="T177" s="1272"/>
      <c r="U177" s="1264"/>
      <c r="V177" s="1264"/>
      <c r="W177" s="1267"/>
    </row>
    <row r="178" spans="1:23">
      <c r="A178" s="1261">
        <v>173</v>
      </c>
      <c r="B178" s="3027"/>
      <c r="C178" s="3022"/>
      <c r="D178" s="3019"/>
      <c r="E178" s="1262"/>
      <c r="F178" s="1262"/>
      <c r="G178" s="1263"/>
      <c r="H178" s="1263"/>
      <c r="I178" s="1263"/>
      <c r="J178" s="1263"/>
      <c r="K178" s="1264"/>
      <c r="L178" s="1264"/>
      <c r="M178" s="1264"/>
      <c r="N178" s="1264"/>
      <c r="O178" s="1265"/>
      <c r="P178" s="1266"/>
      <c r="Q178" s="1264"/>
      <c r="R178" s="1265"/>
      <c r="S178" s="1271"/>
      <c r="T178" s="1272"/>
      <c r="U178" s="1264"/>
      <c r="V178" s="1264"/>
      <c r="W178" s="1267"/>
    </row>
    <row r="179" spans="1:23" ht="15" thickBot="1">
      <c r="A179" s="1261">
        <v>174</v>
      </c>
      <c r="B179" s="3027"/>
      <c r="C179" s="3023"/>
      <c r="D179" s="1298" t="s">
        <v>3514</v>
      </c>
      <c r="E179" s="1276"/>
      <c r="F179" s="1276"/>
      <c r="G179" s="1276"/>
      <c r="H179" s="1276"/>
      <c r="I179" s="1276"/>
      <c r="J179" s="1276"/>
      <c r="K179" s="1276"/>
      <c r="L179" s="1276"/>
      <c r="M179" s="1276"/>
      <c r="N179" s="1275">
        <f>SUM(N173:N178)</f>
        <v>0</v>
      </c>
      <c r="O179" s="1275">
        <f>SUM(O173:O178)</f>
        <v>0</v>
      </c>
      <c r="P179" s="1275">
        <f>SUM(P173:P178)</f>
        <v>0</v>
      </c>
      <c r="Q179" s="1276"/>
      <c r="R179" s="1275">
        <f>SUM(R173:R178)</f>
        <v>0</v>
      </c>
      <c r="S179" s="1276"/>
      <c r="T179" s="1299"/>
      <c r="U179" s="1276"/>
      <c r="V179" s="1276"/>
      <c r="W179" s="1278"/>
    </row>
    <row r="180" spans="1:23" ht="16.5" customHeight="1">
      <c r="A180" s="1261">
        <v>175</v>
      </c>
      <c r="B180" s="3027"/>
      <c r="C180" s="3024" t="s">
        <v>4260</v>
      </c>
      <c r="D180" s="3018" t="s">
        <v>4268</v>
      </c>
      <c r="E180" s="1255"/>
      <c r="F180" s="1255"/>
      <c r="G180" s="1256"/>
      <c r="H180" s="1256"/>
      <c r="I180" s="1256"/>
      <c r="J180" s="1256"/>
      <c r="K180" s="1257"/>
      <c r="L180" s="1257"/>
      <c r="M180" s="1257"/>
      <c r="N180" s="1257"/>
      <c r="O180" s="1258"/>
      <c r="P180" s="1259"/>
      <c r="Q180" s="1257"/>
      <c r="R180" s="1258"/>
      <c r="S180" s="1300"/>
      <c r="T180" s="1296"/>
      <c r="U180" s="1257"/>
      <c r="V180" s="1257"/>
      <c r="W180" s="1260"/>
    </row>
    <row r="181" spans="1:23">
      <c r="A181" s="1261">
        <v>176</v>
      </c>
      <c r="B181" s="3027"/>
      <c r="C181" s="3025"/>
      <c r="D181" s="3028"/>
      <c r="E181" s="1262"/>
      <c r="F181" s="1262"/>
      <c r="G181" s="1263"/>
      <c r="H181" s="1263"/>
      <c r="I181" s="1263"/>
      <c r="J181" s="1263"/>
      <c r="K181" s="1264"/>
      <c r="L181" s="1264"/>
      <c r="M181" s="1264"/>
      <c r="N181" s="1264"/>
      <c r="O181" s="1265"/>
      <c r="P181" s="1266"/>
      <c r="Q181" s="1266"/>
      <c r="R181" s="1265"/>
      <c r="S181" s="1271"/>
      <c r="T181" s="1301"/>
      <c r="U181" s="1264"/>
      <c r="V181" s="1264"/>
      <c r="W181" s="1267"/>
    </row>
    <row r="182" spans="1:23">
      <c r="A182" s="1261">
        <v>177</v>
      </c>
      <c r="B182" s="3027"/>
      <c r="C182" s="3025"/>
      <c r="D182" s="3028"/>
      <c r="E182" s="1262"/>
      <c r="F182" s="1262"/>
      <c r="G182" s="1263"/>
      <c r="H182" s="1263"/>
      <c r="I182" s="1263"/>
      <c r="J182" s="1263"/>
      <c r="K182" s="1264"/>
      <c r="L182" s="1264"/>
      <c r="M182" s="1264"/>
      <c r="N182" s="1264"/>
      <c r="O182" s="1265"/>
      <c r="P182" s="1266"/>
      <c r="Q182" s="1266"/>
      <c r="R182" s="1265"/>
      <c r="S182" s="1271"/>
      <c r="T182" s="1301"/>
      <c r="U182" s="1264"/>
      <c r="V182" s="1264"/>
      <c r="W182" s="1267"/>
    </row>
    <row r="183" spans="1:23">
      <c r="A183" s="1261">
        <v>178</v>
      </c>
      <c r="B183" s="3027"/>
      <c r="C183" s="3025"/>
      <c r="D183" s="3028"/>
      <c r="E183" s="1262"/>
      <c r="F183" s="1262"/>
      <c r="G183" s="1263"/>
      <c r="H183" s="1263"/>
      <c r="I183" s="1263"/>
      <c r="J183" s="1263"/>
      <c r="K183" s="1264"/>
      <c r="L183" s="1264"/>
      <c r="M183" s="1264"/>
      <c r="N183" s="1264"/>
      <c r="O183" s="1265"/>
      <c r="P183" s="1266"/>
      <c r="Q183" s="1266"/>
      <c r="R183" s="1265"/>
      <c r="S183" s="1271"/>
      <c r="T183" s="1301"/>
      <c r="U183" s="1264"/>
      <c r="V183" s="1264"/>
      <c r="W183" s="1267"/>
    </row>
    <row r="184" spans="1:23">
      <c r="A184" s="1261">
        <v>179</v>
      </c>
      <c r="B184" s="3027"/>
      <c r="C184" s="3025"/>
      <c r="D184" s="3028"/>
      <c r="E184" s="1262"/>
      <c r="F184" s="1262"/>
      <c r="G184" s="1263"/>
      <c r="H184" s="1263"/>
      <c r="I184" s="1263"/>
      <c r="J184" s="1263"/>
      <c r="K184" s="1264"/>
      <c r="L184" s="1264"/>
      <c r="M184" s="1264"/>
      <c r="N184" s="1264"/>
      <c r="O184" s="1265"/>
      <c r="P184" s="1266"/>
      <c r="Q184" s="1266"/>
      <c r="R184" s="1265"/>
      <c r="S184" s="1271"/>
      <c r="T184" s="1301"/>
      <c r="U184" s="1264"/>
      <c r="V184" s="1264"/>
      <c r="W184" s="1267"/>
    </row>
    <row r="185" spans="1:23">
      <c r="A185" s="1261">
        <v>180</v>
      </c>
      <c r="B185" s="3027"/>
      <c r="C185" s="3025"/>
      <c r="D185" s="3029"/>
      <c r="E185" s="1262"/>
      <c r="F185" s="1262"/>
      <c r="G185" s="1263"/>
      <c r="H185" s="1263"/>
      <c r="I185" s="1263"/>
      <c r="J185" s="1263"/>
      <c r="K185" s="1264"/>
      <c r="L185" s="1264"/>
      <c r="M185" s="1264"/>
      <c r="N185" s="1264"/>
      <c r="O185" s="1265"/>
      <c r="P185" s="1266"/>
      <c r="Q185" s="1266"/>
      <c r="R185" s="1265"/>
      <c r="S185" s="1271"/>
      <c r="T185" s="1301"/>
      <c r="U185" s="1264"/>
      <c r="V185" s="1264"/>
      <c r="W185" s="1267"/>
    </row>
    <row r="186" spans="1:23" ht="14.25">
      <c r="A186" s="1261">
        <v>181</v>
      </c>
      <c r="B186" s="3027"/>
      <c r="C186" s="3025"/>
      <c r="D186" s="1297" t="s">
        <v>3514</v>
      </c>
      <c r="E186" s="1271"/>
      <c r="F186" s="1271"/>
      <c r="G186" s="1271"/>
      <c r="H186" s="1271"/>
      <c r="I186" s="1271"/>
      <c r="J186" s="1271"/>
      <c r="K186" s="1271"/>
      <c r="L186" s="1271"/>
      <c r="M186" s="1271"/>
      <c r="N186" s="1264">
        <f>SUM(N180:N185)</f>
        <v>0</v>
      </c>
      <c r="O186" s="1264">
        <f>SUM(O180:O185)</f>
        <v>0</v>
      </c>
      <c r="P186" s="1264">
        <f>SUM(P180:P185)</f>
        <v>0</v>
      </c>
      <c r="Q186" s="1271"/>
      <c r="R186" s="1264">
        <f>SUM(R180:R185)</f>
        <v>0</v>
      </c>
      <c r="S186" s="1271"/>
      <c r="T186" s="1301"/>
      <c r="U186" s="1271"/>
      <c r="V186" s="1271"/>
      <c r="W186" s="1267"/>
    </row>
    <row r="187" spans="1:23" ht="17.649999999999999" customHeight="1">
      <c r="A187" s="1261">
        <v>182</v>
      </c>
      <c r="B187" s="3027"/>
      <c r="C187" s="3025"/>
      <c r="D187" s="3006" t="s">
        <v>4266</v>
      </c>
      <c r="E187" s="1262"/>
      <c r="F187" s="1262"/>
      <c r="G187" s="1263"/>
      <c r="H187" s="1263"/>
      <c r="I187" s="1263"/>
      <c r="J187" s="1263"/>
      <c r="K187" s="1264"/>
      <c r="L187" s="1264"/>
      <c r="M187" s="1264"/>
      <c r="N187" s="1264"/>
      <c r="O187" s="1265"/>
      <c r="P187" s="1266"/>
      <c r="Q187" s="1266"/>
      <c r="R187" s="1265"/>
      <c r="S187" s="1271"/>
      <c r="T187" s="1301"/>
      <c r="U187" s="1303"/>
      <c r="V187" s="1303"/>
      <c r="W187" s="1267"/>
    </row>
    <row r="188" spans="1:23">
      <c r="A188" s="1261">
        <v>183</v>
      </c>
      <c r="B188" s="3027"/>
      <c r="C188" s="3025"/>
      <c r="D188" s="3002"/>
      <c r="E188" s="1262"/>
      <c r="F188" s="1262"/>
      <c r="G188" s="1263"/>
      <c r="H188" s="1263"/>
      <c r="I188" s="1263"/>
      <c r="J188" s="1263"/>
      <c r="K188" s="1264"/>
      <c r="L188" s="1264"/>
      <c r="M188" s="1264"/>
      <c r="N188" s="1264"/>
      <c r="O188" s="1265"/>
      <c r="P188" s="1266"/>
      <c r="Q188" s="1266"/>
      <c r="R188" s="1265"/>
      <c r="S188" s="1271"/>
      <c r="T188" s="1301"/>
      <c r="U188" s="1264"/>
      <c r="V188" s="1264"/>
      <c r="W188" s="1267"/>
    </row>
    <row r="189" spans="1:23">
      <c r="A189" s="1261">
        <v>184</v>
      </c>
      <c r="B189" s="3027"/>
      <c r="C189" s="3025"/>
      <c r="D189" s="3002"/>
      <c r="E189" s="1262"/>
      <c r="F189" s="1262"/>
      <c r="G189" s="1263"/>
      <c r="H189" s="1263"/>
      <c r="I189" s="1263"/>
      <c r="J189" s="1263"/>
      <c r="K189" s="1264"/>
      <c r="L189" s="1264"/>
      <c r="M189" s="1264"/>
      <c r="N189" s="1264"/>
      <c r="O189" s="1265"/>
      <c r="P189" s="1266"/>
      <c r="Q189" s="1266"/>
      <c r="R189" s="1265"/>
      <c r="S189" s="1271"/>
      <c r="T189" s="1301"/>
      <c r="U189" s="1264"/>
      <c r="V189" s="1264"/>
      <c r="W189" s="1267"/>
    </row>
    <row r="190" spans="1:23">
      <c r="A190" s="1261">
        <v>185</v>
      </c>
      <c r="B190" s="3027"/>
      <c r="C190" s="3025"/>
      <c r="D190" s="3002"/>
      <c r="E190" s="1262"/>
      <c r="F190" s="1262"/>
      <c r="G190" s="1263"/>
      <c r="H190" s="1263"/>
      <c r="I190" s="1263"/>
      <c r="J190" s="1263"/>
      <c r="K190" s="1264"/>
      <c r="L190" s="1264"/>
      <c r="M190" s="1264"/>
      <c r="N190" s="1264"/>
      <c r="O190" s="1265"/>
      <c r="P190" s="1266"/>
      <c r="Q190" s="1266"/>
      <c r="R190" s="1265"/>
      <c r="S190" s="1271"/>
      <c r="T190" s="1301"/>
      <c r="U190" s="1264"/>
      <c r="V190" s="1264"/>
      <c r="W190" s="1267"/>
    </row>
    <row r="191" spans="1:23">
      <c r="A191" s="1261">
        <v>186</v>
      </c>
      <c r="B191" s="3027"/>
      <c r="C191" s="3025"/>
      <c r="D191" s="3002"/>
      <c r="E191" s="1262"/>
      <c r="F191" s="1262"/>
      <c r="G191" s="1263"/>
      <c r="H191" s="1263"/>
      <c r="I191" s="1263"/>
      <c r="J191" s="1263"/>
      <c r="K191" s="1264"/>
      <c r="L191" s="1264"/>
      <c r="M191" s="1264"/>
      <c r="N191" s="1264"/>
      <c r="O191" s="1265"/>
      <c r="P191" s="1266"/>
      <c r="Q191" s="1266"/>
      <c r="R191" s="1265"/>
      <c r="S191" s="1271"/>
      <c r="T191" s="1301"/>
      <c r="U191" s="1264"/>
      <c r="V191" s="1264"/>
      <c r="W191" s="1267"/>
    </row>
    <row r="192" spans="1:23">
      <c r="A192" s="1261">
        <v>187</v>
      </c>
      <c r="B192" s="3027"/>
      <c r="C192" s="3025"/>
      <c r="D192" s="3002"/>
      <c r="E192" s="1262"/>
      <c r="F192" s="1262"/>
      <c r="G192" s="1263"/>
      <c r="H192" s="1263"/>
      <c r="I192" s="1263"/>
      <c r="J192" s="1263"/>
      <c r="K192" s="1264"/>
      <c r="L192" s="1264"/>
      <c r="M192" s="1264"/>
      <c r="N192" s="1264"/>
      <c r="O192" s="1265"/>
      <c r="P192" s="1266"/>
      <c r="Q192" s="1266"/>
      <c r="R192" s="1265"/>
      <c r="S192" s="1271"/>
      <c r="T192" s="1301"/>
      <c r="U192" s="1264"/>
      <c r="V192" s="1264"/>
      <c r="W192" s="1267"/>
    </row>
    <row r="193" spans="1:23" ht="14.25">
      <c r="A193" s="1261">
        <v>188</v>
      </c>
      <c r="B193" s="3027"/>
      <c r="C193" s="3025"/>
      <c r="D193" s="1302" t="s">
        <v>3514</v>
      </c>
      <c r="E193" s="1271"/>
      <c r="F193" s="1271"/>
      <c r="G193" s="1271"/>
      <c r="H193" s="1271"/>
      <c r="I193" s="1271"/>
      <c r="J193" s="1271"/>
      <c r="K193" s="1271"/>
      <c r="L193" s="1271"/>
      <c r="M193" s="1271"/>
      <c r="N193" s="1264">
        <f>SUM(N187:N192)</f>
        <v>0</v>
      </c>
      <c r="O193" s="1264">
        <f>SUM(O187:O192)</f>
        <v>0</v>
      </c>
      <c r="P193" s="1264">
        <f>SUM(P187:P192)</f>
        <v>0</v>
      </c>
      <c r="Q193" s="1271"/>
      <c r="R193" s="1264">
        <f>SUM(R187:R192)</f>
        <v>0</v>
      </c>
      <c r="S193" s="1271"/>
      <c r="T193" s="1301"/>
      <c r="U193" s="1271"/>
      <c r="V193" s="1271"/>
      <c r="W193" s="1267"/>
    </row>
    <row r="194" spans="1:23" ht="16.5" customHeight="1">
      <c r="A194" s="1261">
        <v>189</v>
      </c>
      <c r="B194" s="3027"/>
      <c r="C194" s="3025"/>
      <c r="D194" s="3006" t="s">
        <v>4267</v>
      </c>
      <c r="E194" s="1262"/>
      <c r="F194" s="1262"/>
      <c r="G194" s="1263"/>
      <c r="H194" s="1263"/>
      <c r="I194" s="1263"/>
      <c r="J194" s="1263"/>
      <c r="K194" s="1264"/>
      <c r="L194" s="1264"/>
      <c r="M194" s="1264"/>
      <c r="N194" s="1264"/>
      <c r="O194" s="1265"/>
      <c r="P194" s="1266"/>
      <c r="Q194" s="1266"/>
      <c r="R194" s="1265"/>
      <c r="S194" s="1271"/>
      <c r="T194" s="1301"/>
      <c r="U194" s="1303"/>
      <c r="V194" s="1303"/>
      <c r="W194" s="1267"/>
    </row>
    <row r="195" spans="1:23" ht="15.75" customHeight="1">
      <c r="A195" s="1261">
        <v>190</v>
      </c>
      <c r="B195" s="3027"/>
      <c r="C195" s="3025"/>
      <c r="D195" s="3002"/>
      <c r="E195" s="1262"/>
      <c r="F195" s="1262"/>
      <c r="G195" s="1263"/>
      <c r="H195" s="1263"/>
      <c r="I195" s="1263"/>
      <c r="J195" s="1263"/>
      <c r="K195" s="1264"/>
      <c r="L195" s="1264"/>
      <c r="M195" s="1264"/>
      <c r="N195" s="1264"/>
      <c r="O195" s="1265"/>
      <c r="P195" s="1266"/>
      <c r="Q195" s="1264"/>
      <c r="R195" s="1265"/>
      <c r="S195" s="1271"/>
      <c r="T195" s="1272"/>
      <c r="U195" s="1264"/>
      <c r="V195" s="1264"/>
      <c r="W195" s="1267"/>
    </row>
    <row r="196" spans="1:23" ht="15.75" customHeight="1">
      <c r="A196" s="1261">
        <v>191</v>
      </c>
      <c r="B196" s="3027"/>
      <c r="C196" s="3025"/>
      <c r="D196" s="3002"/>
      <c r="E196" s="1262"/>
      <c r="F196" s="1262"/>
      <c r="G196" s="1263"/>
      <c r="H196" s="1263"/>
      <c r="I196" s="1263"/>
      <c r="J196" s="1263"/>
      <c r="K196" s="1264"/>
      <c r="L196" s="1264"/>
      <c r="M196" s="1264"/>
      <c r="N196" s="1264"/>
      <c r="O196" s="1265"/>
      <c r="P196" s="1266"/>
      <c r="Q196" s="1264"/>
      <c r="R196" s="1265"/>
      <c r="S196" s="1271"/>
      <c r="T196" s="1272"/>
      <c r="U196" s="1264"/>
      <c r="V196" s="1264"/>
      <c r="W196" s="1267"/>
    </row>
    <row r="197" spans="1:23" ht="16.5" customHeight="1">
      <c r="A197" s="1261">
        <v>192</v>
      </c>
      <c r="B197" s="3027"/>
      <c r="C197" s="3025"/>
      <c r="D197" s="3002"/>
      <c r="E197" s="1262"/>
      <c r="F197" s="1262"/>
      <c r="G197" s="1263"/>
      <c r="H197" s="1263"/>
      <c r="I197" s="1263"/>
      <c r="J197" s="1263"/>
      <c r="K197" s="1264"/>
      <c r="L197" s="1264"/>
      <c r="M197" s="1264"/>
      <c r="N197" s="1264"/>
      <c r="O197" s="1265"/>
      <c r="P197" s="1266"/>
      <c r="Q197" s="1264"/>
      <c r="R197" s="1265"/>
      <c r="S197" s="1271"/>
      <c r="T197" s="1272"/>
      <c r="U197" s="1264"/>
      <c r="V197" s="1264"/>
      <c r="W197" s="1267"/>
    </row>
    <row r="198" spans="1:23">
      <c r="A198" s="1261">
        <v>193</v>
      </c>
      <c r="B198" s="3027"/>
      <c r="C198" s="3025"/>
      <c r="D198" s="3002"/>
      <c r="E198" s="1262"/>
      <c r="F198" s="1262"/>
      <c r="G198" s="1263"/>
      <c r="H198" s="1263"/>
      <c r="I198" s="1263"/>
      <c r="J198" s="1263"/>
      <c r="K198" s="1264"/>
      <c r="L198" s="1264"/>
      <c r="M198" s="1264"/>
      <c r="N198" s="1264"/>
      <c r="O198" s="1265"/>
      <c r="P198" s="1266"/>
      <c r="Q198" s="1264"/>
      <c r="R198" s="1265"/>
      <c r="S198" s="1271"/>
      <c r="T198" s="1272"/>
      <c r="U198" s="1264"/>
      <c r="V198" s="1264"/>
      <c r="W198" s="1267"/>
    </row>
    <row r="199" spans="1:23">
      <c r="A199" s="1261">
        <v>194</v>
      </c>
      <c r="B199" s="3027"/>
      <c r="C199" s="3025"/>
      <c r="D199" s="3002"/>
      <c r="E199" s="1262"/>
      <c r="F199" s="1262"/>
      <c r="G199" s="1263"/>
      <c r="H199" s="1263"/>
      <c r="I199" s="1263"/>
      <c r="J199" s="1263"/>
      <c r="K199" s="1264"/>
      <c r="L199" s="1264"/>
      <c r="M199" s="1264"/>
      <c r="N199" s="1264"/>
      <c r="O199" s="1265"/>
      <c r="P199" s="1266"/>
      <c r="Q199" s="1264"/>
      <c r="R199" s="1265"/>
      <c r="S199" s="1271"/>
      <c r="T199" s="1272"/>
      <c r="U199" s="1264"/>
      <c r="V199" s="1264"/>
      <c r="W199" s="1267"/>
    </row>
    <row r="200" spans="1:23" ht="15" thickBot="1">
      <c r="A200" s="1261">
        <v>195</v>
      </c>
      <c r="B200" s="3027"/>
      <c r="C200" s="3026"/>
      <c r="D200" s="1298" t="s">
        <v>3514</v>
      </c>
      <c r="E200" s="1276"/>
      <c r="F200" s="1276"/>
      <c r="G200" s="1276"/>
      <c r="H200" s="1276"/>
      <c r="I200" s="1276"/>
      <c r="J200" s="1276"/>
      <c r="K200" s="1276"/>
      <c r="L200" s="1276"/>
      <c r="M200" s="1276"/>
      <c r="N200" s="1275">
        <f>SUM(N194:N199)</f>
        <v>0</v>
      </c>
      <c r="O200" s="1275">
        <f>SUM(O194:O199)</f>
        <v>0</v>
      </c>
      <c r="P200" s="1275">
        <f>SUM(P194:P199)</f>
        <v>0</v>
      </c>
      <c r="Q200" s="1276"/>
      <c r="R200" s="1275">
        <f>SUM(R194:R199)</f>
        <v>0</v>
      </c>
      <c r="S200" s="1276"/>
      <c r="T200" s="1299"/>
      <c r="U200" s="1276"/>
      <c r="V200" s="1276"/>
      <c r="W200" s="1278"/>
    </row>
    <row r="201" spans="1:23" ht="16.5" customHeight="1">
      <c r="A201" s="1261">
        <v>196</v>
      </c>
      <c r="B201" s="3027"/>
      <c r="C201" s="3021" t="s">
        <v>4261</v>
      </c>
      <c r="D201" s="3001" t="s">
        <v>4269</v>
      </c>
      <c r="E201" s="1255"/>
      <c r="F201" s="1255"/>
      <c r="G201" s="1256"/>
      <c r="H201" s="1256"/>
      <c r="I201" s="1256"/>
      <c r="J201" s="1256"/>
      <c r="K201" s="1257"/>
      <c r="L201" s="1257"/>
      <c r="M201" s="1257"/>
      <c r="N201" s="1257"/>
      <c r="O201" s="1258"/>
      <c r="P201" s="1259"/>
      <c r="Q201" s="1257"/>
      <c r="R201" s="1258"/>
      <c r="S201" s="1295"/>
      <c r="T201" s="1296"/>
      <c r="U201" s="1257"/>
      <c r="V201" s="1257"/>
      <c r="W201" s="1260"/>
    </row>
    <row r="202" spans="1:23">
      <c r="A202" s="1261">
        <v>197</v>
      </c>
      <c r="B202" s="3027"/>
      <c r="C202" s="3022"/>
      <c r="D202" s="3002"/>
      <c r="E202" s="1262"/>
      <c r="F202" s="1262"/>
      <c r="G202" s="1263"/>
      <c r="H202" s="1263"/>
      <c r="I202" s="1263"/>
      <c r="J202" s="1263"/>
      <c r="K202" s="1264"/>
      <c r="L202" s="1264"/>
      <c r="M202" s="1264"/>
      <c r="N202" s="1264"/>
      <c r="O202" s="1265"/>
      <c r="P202" s="1266"/>
      <c r="Q202" s="1264"/>
      <c r="R202" s="1265"/>
      <c r="S202" s="1301"/>
      <c r="T202" s="1272"/>
      <c r="U202" s="1264"/>
      <c r="V202" s="1264"/>
      <c r="W202" s="1267"/>
    </row>
    <row r="203" spans="1:23">
      <c r="A203" s="1261">
        <v>198</v>
      </c>
      <c r="B203" s="3027"/>
      <c r="C203" s="3022"/>
      <c r="D203" s="3002"/>
      <c r="E203" s="1262"/>
      <c r="F203" s="1262"/>
      <c r="G203" s="1263"/>
      <c r="H203" s="1263"/>
      <c r="I203" s="1263"/>
      <c r="J203" s="1263"/>
      <c r="K203" s="1264"/>
      <c r="L203" s="1264"/>
      <c r="M203" s="1264"/>
      <c r="N203" s="1264"/>
      <c r="O203" s="1265"/>
      <c r="P203" s="1266"/>
      <c r="Q203" s="1264"/>
      <c r="R203" s="1265"/>
      <c r="S203" s="1301"/>
      <c r="T203" s="1272"/>
      <c r="U203" s="1264"/>
      <c r="V203" s="1264"/>
      <c r="W203" s="1267"/>
    </row>
    <row r="204" spans="1:23">
      <c r="A204" s="1261">
        <v>199</v>
      </c>
      <c r="B204" s="3027"/>
      <c r="C204" s="3022"/>
      <c r="D204" s="3002"/>
      <c r="E204" s="1262"/>
      <c r="F204" s="1262"/>
      <c r="G204" s="1263"/>
      <c r="H204" s="1263"/>
      <c r="I204" s="1263"/>
      <c r="J204" s="1263"/>
      <c r="K204" s="1264"/>
      <c r="L204" s="1264"/>
      <c r="M204" s="1264"/>
      <c r="N204" s="1264"/>
      <c r="O204" s="1265"/>
      <c r="P204" s="1266"/>
      <c r="Q204" s="1264"/>
      <c r="R204" s="1265"/>
      <c r="S204" s="1301"/>
      <c r="T204" s="1272"/>
      <c r="U204" s="1264"/>
      <c r="V204" s="1264"/>
      <c r="W204" s="1267"/>
    </row>
    <row r="205" spans="1:23">
      <c r="A205" s="1261">
        <v>200</v>
      </c>
      <c r="B205" s="3027"/>
      <c r="C205" s="3022"/>
      <c r="D205" s="3002"/>
      <c r="E205" s="1262"/>
      <c r="F205" s="1262"/>
      <c r="G205" s="1263"/>
      <c r="H205" s="1263"/>
      <c r="I205" s="1263"/>
      <c r="J205" s="1263"/>
      <c r="K205" s="1264"/>
      <c r="L205" s="1264"/>
      <c r="M205" s="1264"/>
      <c r="N205" s="1264"/>
      <c r="O205" s="1265"/>
      <c r="P205" s="1266"/>
      <c r="Q205" s="1264"/>
      <c r="R205" s="1265"/>
      <c r="S205" s="1301"/>
      <c r="T205" s="1272"/>
      <c r="U205" s="1264"/>
      <c r="V205" s="1264"/>
      <c r="W205" s="1267"/>
    </row>
    <row r="206" spans="1:23">
      <c r="A206" s="1261">
        <v>201</v>
      </c>
      <c r="B206" s="3027"/>
      <c r="C206" s="3022"/>
      <c r="D206" s="3002"/>
      <c r="E206" s="1262"/>
      <c r="F206" s="1262"/>
      <c r="G206" s="1263"/>
      <c r="H206" s="1263"/>
      <c r="I206" s="1263"/>
      <c r="J206" s="1263"/>
      <c r="K206" s="1264"/>
      <c r="L206" s="1264"/>
      <c r="M206" s="1264"/>
      <c r="N206" s="1264"/>
      <c r="O206" s="1265"/>
      <c r="P206" s="1266"/>
      <c r="Q206" s="1264"/>
      <c r="R206" s="1265"/>
      <c r="S206" s="1301"/>
      <c r="T206" s="1272"/>
      <c r="U206" s="1264"/>
      <c r="V206" s="1264"/>
      <c r="W206" s="1267"/>
    </row>
    <row r="207" spans="1:23" ht="14.25">
      <c r="A207" s="1261">
        <v>202</v>
      </c>
      <c r="B207" s="3027"/>
      <c r="C207" s="3022"/>
      <c r="D207" s="1279" t="s">
        <v>3514</v>
      </c>
      <c r="E207" s="1271"/>
      <c r="F207" s="1271"/>
      <c r="G207" s="1271"/>
      <c r="H207" s="1271"/>
      <c r="I207" s="1271"/>
      <c r="J207" s="1271"/>
      <c r="K207" s="1271"/>
      <c r="L207" s="1271"/>
      <c r="M207" s="1271"/>
      <c r="N207" s="1264">
        <f>SUM(N201:N206)</f>
        <v>0</v>
      </c>
      <c r="O207" s="1264">
        <f>SUM(O201:O206)</f>
        <v>0</v>
      </c>
      <c r="P207" s="1264">
        <f>SUM(P201:P206)</f>
        <v>0</v>
      </c>
      <c r="Q207" s="1271"/>
      <c r="R207" s="1264">
        <f>SUM(R201:R206)</f>
        <v>0</v>
      </c>
      <c r="S207" s="1301"/>
      <c r="T207" s="1272"/>
      <c r="U207" s="1271"/>
      <c r="V207" s="1271"/>
      <c r="W207" s="1267"/>
    </row>
    <row r="208" spans="1:23" ht="16.5" customHeight="1">
      <c r="A208" s="1261">
        <v>203</v>
      </c>
      <c r="B208" s="3027"/>
      <c r="C208" s="3022"/>
      <c r="D208" s="3006" t="s">
        <v>4266</v>
      </c>
      <c r="E208" s="1262"/>
      <c r="F208" s="1262"/>
      <c r="G208" s="1263"/>
      <c r="H208" s="1263"/>
      <c r="I208" s="1263"/>
      <c r="J208" s="1263"/>
      <c r="K208" s="1264"/>
      <c r="L208" s="1264"/>
      <c r="M208" s="1264"/>
      <c r="N208" s="1264"/>
      <c r="O208" s="1265"/>
      <c r="P208" s="1266"/>
      <c r="Q208" s="1264"/>
      <c r="R208" s="1265"/>
      <c r="S208" s="1301"/>
      <c r="T208" s="1272"/>
      <c r="U208" s="1303"/>
      <c r="V208" s="1303"/>
      <c r="W208" s="1267"/>
    </row>
    <row r="209" spans="1:23">
      <c r="A209" s="1261">
        <v>204</v>
      </c>
      <c r="B209" s="3027"/>
      <c r="C209" s="3022"/>
      <c r="D209" s="3002"/>
      <c r="E209" s="1262"/>
      <c r="F209" s="1262"/>
      <c r="G209" s="1263"/>
      <c r="H209" s="1263"/>
      <c r="I209" s="1263"/>
      <c r="J209" s="1263"/>
      <c r="K209" s="1264"/>
      <c r="L209" s="1264"/>
      <c r="M209" s="1264"/>
      <c r="N209" s="1264"/>
      <c r="O209" s="1265"/>
      <c r="P209" s="1266"/>
      <c r="Q209" s="1264"/>
      <c r="R209" s="1265"/>
      <c r="S209" s="1301"/>
      <c r="T209" s="1272"/>
      <c r="U209" s="1264"/>
      <c r="V209" s="1264"/>
      <c r="W209" s="1267"/>
    </row>
    <row r="210" spans="1:23">
      <c r="A210" s="1261">
        <v>205</v>
      </c>
      <c r="B210" s="3027"/>
      <c r="C210" s="3022"/>
      <c r="D210" s="3002"/>
      <c r="E210" s="1262"/>
      <c r="F210" s="1262"/>
      <c r="G210" s="1263"/>
      <c r="H210" s="1263"/>
      <c r="I210" s="1263"/>
      <c r="J210" s="1263"/>
      <c r="K210" s="1264"/>
      <c r="L210" s="1264"/>
      <c r="M210" s="1264"/>
      <c r="N210" s="1264"/>
      <c r="O210" s="1265"/>
      <c r="P210" s="1266"/>
      <c r="Q210" s="1264"/>
      <c r="R210" s="1265"/>
      <c r="S210" s="1301"/>
      <c r="T210" s="1272"/>
      <c r="U210" s="1264"/>
      <c r="V210" s="1264"/>
      <c r="W210" s="1267"/>
    </row>
    <row r="211" spans="1:23">
      <c r="A211" s="1261">
        <v>206</v>
      </c>
      <c r="B211" s="3027"/>
      <c r="C211" s="3022"/>
      <c r="D211" s="3002"/>
      <c r="E211" s="1262"/>
      <c r="F211" s="1262"/>
      <c r="G211" s="1263"/>
      <c r="H211" s="1263"/>
      <c r="I211" s="1263"/>
      <c r="J211" s="1263"/>
      <c r="K211" s="1264"/>
      <c r="L211" s="1264"/>
      <c r="M211" s="1264"/>
      <c r="N211" s="1264"/>
      <c r="O211" s="1265"/>
      <c r="P211" s="1266"/>
      <c r="Q211" s="1264"/>
      <c r="R211" s="1265"/>
      <c r="S211" s="1301"/>
      <c r="T211" s="1272"/>
      <c r="U211" s="1264"/>
      <c r="V211" s="1264"/>
      <c r="W211" s="1267"/>
    </row>
    <row r="212" spans="1:23">
      <c r="A212" s="1261">
        <v>207</v>
      </c>
      <c r="B212" s="3027"/>
      <c r="C212" s="3022"/>
      <c r="D212" s="3002"/>
      <c r="E212" s="1262"/>
      <c r="F212" s="1262"/>
      <c r="G212" s="1263"/>
      <c r="H212" s="1263"/>
      <c r="I212" s="1263"/>
      <c r="J212" s="1263"/>
      <c r="K212" s="1264"/>
      <c r="L212" s="1264"/>
      <c r="M212" s="1264"/>
      <c r="N212" s="1264"/>
      <c r="O212" s="1265"/>
      <c r="P212" s="1266"/>
      <c r="Q212" s="1264"/>
      <c r="R212" s="1265"/>
      <c r="S212" s="1301"/>
      <c r="T212" s="1272"/>
      <c r="U212" s="1264"/>
      <c r="V212" s="1264"/>
      <c r="W212" s="1267"/>
    </row>
    <row r="213" spans="1:23">
      <c r="A213" s="1261">
        <v>208</v>
      </c>
      <c r="B213" s="3027"/>
      <c r="C213" s="3022"/>
      <c r="D213" s="3002"/>
      <c r="E213" s="1262"/>
      <c r="F213" s="1262"/>
      <c r="G213" s="1263"/>
      <c r="H213" s="1263"/>
      <c r="I213" s="1263"/>
      <c r="J213" s="1263"/>
      <c r="K213" s="1264"/>
      <c r="L213" s="1264"/>
      <c r="M213" s="1264"/>
      <c r="N213" s="1264"/>
      <c r="O213" s="1265"/>
      <c r="P213" s="1266"/>
      <c r="Q213" s="1264"/>
      <c r="R213" s="1265"/>
      <c r="S213" s="1301"/>
      <c r="T213" s="1272"/>
      <c r="U213" s="1264"/>
      <c r="V213" s="1264"/>
      <c r="W213" s="1267"/>
    </row>
    <row r="214" spans="1:23" ht="14.25">
      <c r="A214" s="1261">
        <v>209</v>
      </c>
      <c r="B214" s="3027"/>
      <c r="C214" s="3022"/>
      <c r="D214" s="1304" t="s">
        <v>3514</v>
      </c>
      <c r="E214" s="1271"/>
      <c r="F214" s="1271"/>
      <c r="G214" s="1271"/>
      <c r="H214" s="1271"/>
      <c r="I214" s="1271"/>
      <c r="J214" s="1271"/>
      <c r="K214" s="1271"/>
      <c r="L214" s="1271"/>
      <c r="M214" s="1271"/>
      <c r="N214" s="1264">
        <f>SUM(N208:N213)</f>
        <v>0</v>
      </c>
      <c r="O214" s="1264">
        <f>SUM(O208:O213)</f>
        <v>0</v>
      </c>
      <c r="P214" s="1264">
        <f>SUM(P208:P213)</f>
        <v>0</v>
      </c>
      <c r="Q214" s="1271"/>
      <c r="R214" s="1264">
        <f>SUM(R208:R213)</f>
        <v>0</v>
      </c>
      <c r="S214" s="1301"/>
      <c r="T214" s="1272"/>
      <c r="U214" s="1271"/>
      <c r="V214" s="1271"/>
      <c r="W214" s="1267"/>
    </row>
    <row r="215" spans="1:23" ht="16.5" customHeight="1">
      <c r="A215" s="1261">
        <v>210</v>
      </c>
      <c r="B215" s="3027"/>
      <c r="C215" s="3022"/>
      <c r="D215" s="3006" t="s">
        <v>4267</v>
      </c>
      <c r="E215" s="1262"/>
      <c r="F215" s="1262"/>
      <c r="G215" s="1263"/>
      <c r="H215" s="1263"/>
      <c r="I215" s="1263"/>
      <c r="J215" s="1263"/>
      <c r="K215" s="1264"/>
      <c r="L215" s="1264"/>
      <c r="M215" s="1264"/>
      <c r="N215" s="1264"/>
      <c r="O215" s="1265"/>
      <c r="P215" s="1266"/>
      <c r="Q215" s="1264"/>
      <c r="R215" s="1265"/>
      <c r="S215" s="1301"/>
      <c r="T215" s="1272"/>
      <c r="U215" s="1303"/>
      <c r="V215" s="1303"/>
      <c r="W215" s="1267"/>
    </row>
    <row r="216" spans="1:23">
      <c r="A216" s="1261">
        <v>211</v>
      </c>
      <c r="B216" s="3027"/>
      <c r="C216" s="3022"/>
      <c r="D216" s="3002"/>
      <c r="E216" s="1262"/>
      <c r="F216" s="1262"/>
      <c r="G216" s="1263"/>
      <c r="H216" s="1263"/>
      <c r="I216" s="1263"/>
      <c r="J216" s="1263"/>
      <c r="K216" s="1264"/>
      <c r="L216" s="1264"/>
      <c r="M216" s="1264"/>
      <c r="N216" s="1264"/>
      <c r="O216" s="1265"/>
      <c r="P216" s="1266"/>
      <c r="Q216" s="1264"/>
      <c r="R216" s="1265"/>
      <c r="S216" s="1301"/>
      <c r="T216" s="1272"/>
      <c r="U216" s="1264"/>
      <c r="V216" s="1264"/>
      <c r="W216" s="1267"/>
    </row>
    <row r="217" spans="1:23">
      <c r="A217" s="1261">
        <v>212</v>
      </c>
      <c r="B217" s="3027"/>
      <c r="C217" s="3022"/>
      <c r="D217" s="3002"/>
      <c r="E217" s="1262"/>
      <c r="F217" s="1262"/>
      <c r="G217" s="1263"/>
      <c r="H217" s="1263"/>
      <c r="I217" s="1263"/>
      <c r="J217" s="1263"/>
      <c r="K217" s="1264"/>
      <c r="L217" s="1264"/>
      <c r="M217" s="1264"/>
      <c r="N217" s="1264"/>
      <c r="O217" s="1265"/>
      <c r="P217" s="1266"/>
      <c r="Q217" s="1264"/>
      <c r="R217" s="1265"/>
      <c r="S217" s="1301"/>
      <c r="T217" s="1272"/>
      <c r="U217" s="1264"/>
      <c r="V217" s="1264"/>
      <c r="W217" s="1267"/>
    </row>
    <row r="218" spans="1:23">
      <c r="A218" s="1261">
        <v>213</v>
      </c>
      <c r="B218" s="3027"/>
      <c r="C218" s="3022"/>
      <c r="D218" s="3002"/>
      <c r="E218" s="1262"/>
      <c r="F218" s="1262"/>
      <c r="G218" s="1263"/>
      <c r="H218" s="1263"/>
      <c r="I218" s="1263"/>
      <c r="J218" s="1263"/>
      <c r="K218" s="1264"/>
      <c r="L218" s="1264"/>
      <c r="M218" s="1264"/>
      <c r="N218" s="1264"/>
      <c r="O218" s="1265"/>
      <c r="P218" s="1266"/>
      <c r="Q218" s="1264"/>
      <c r="R218" s="1265"/>
      <c r="S218" s="1301"/>
      <c r="T218" s="1272"/>
      <c r="U218" s="1264"/>
      <c r="V218" s="1264"/>
      <c r="W218" s="1267"/>
    </row>
    <row r="219" spans="1:23">
      <c r="A219" s="1261">
        <v>214</v>
      </c>
      <c r="B219" s="3027"/>
      <c r="C219" s="3022"/>
      <c r="D219" s="3002"/>
      <c r="E219" s="1262"/>
      <c r="F219" s="1262"/>
      <c r="G219" s="1263"/>
      <c r="H219" s="1263"/>
      <c r="I219" s="1263"/>
      <c r="J219" s="1263"/>
      <c r="K219" s="1264"/>
      <c r="L219" s="1264"/>
      <c r="M219" s="1264"/>
      <c r="N219" s="1264"/>
      <c r="O219" s="1265"/>
      <c r="P219" s="1266"/>
      <c r="Q219" s="1264"/>
      <c r="R219" s="1265"/>
      <c r="S219" s="1301"/>
      <c r="T219" s="1272"/>
      <c r="U219" s="1264"/>
      <c r="V219" s="1264"/>
      <c r="W219" s="1267"/>
    </row>
    <row r="220" spans="1:23">
      <c r="A220" s="1261">
        <v>215</v>
      </c>
      <c r="B220" s="3027"/>
      <c r="C220" s="3022"/>
      <c r="D220" s="3002"/>
      <c r="E220" s="1262"/>
      <c r="F220" s="1262"/>
      <c r="G220" s="1263"/>
      <c r="H220" s="1263"/>
      <c r="I220" s="1263"/>
      <c r="J220" s="1263"/>
      <c r="K220" s="1264"/>
      <c r="L220" s="1264"/>
      <c r="M220" s="1264"/>
      <c r="N220" s="1264"/>
      <c r="O220" s="1265"/>
      <c r="P220" s="1266"/>
      <c r="Q220" s="1264"/>
      <c r="R220" s="1265"/>
      <c r="S220" s="1301"/>
      <c r="T220" s="1272"/>
      <c r="U220" s="1264"/>
      <c r="V220" s="1264"/>
      <c r="W220" s="1267"/>
    </row>
    <row r="221" spans="1:23" ht="15" thickBot="1">
      <c r="A221" s="1282">
        <v>216</v>
      </c>
      <c r="B221" s="3027"/>
      <c r="C221" s="3022"/>
      <c r="D221" s="1305" t="s">
        <v>3514</v>
      </c>
      <c r="E221" s="1285"/>
      <c r="F221" s="1285"/>
      <c r="G221" s="1285"/>
      <c r="H221" s="1285"/>
      <c r="I221" s="1285"/>
      <c r="J221" s="1285"/>
      <c r="K221" s="1285"/>
      <c r="L221" s="1285"/>
      <c r="M221" s="1285"/>
      <c r="N221" s="1286">
        <f>SUM(N215:N220)</f>
        <v>0</v>
      </c>
      <c r="O221" s="1286">
        <f>SUM(O215:O220)</f>
        <v>0</v>
      </c>
      <c r="P221" s="1286">
        <f>SUM(P215:P220)</f>
        <v>0</v>
      </c>
      <c r="Q221" s="1285"/>
      <c r="R221" s="1286">
        <f>SUM(R215:R220)</f>
        <v>0</v>
      </c>
      <c r="S221" s="1306"/>
      <c r="T221" s="1307"/>
      <c r="U221" s="1285"/>
      <c r="V221" s="1285"/>
      <c r="W221" s="1287"/>
    </row>
    <row r="222" spans="1:23" ht="15" thickBot="1">
      <c r="A222" s="1288">
        <v>217</v>
      </c>
      <c r="B222" s="3013" t="s">
        <v>4272</v>
      </c>
      <c r="C222" s="3014"/>
      <c r="D222" s="3015"/>
      <c r="E222" s="1289"/>
      <c r="F222" s="1289"/>
      <c r="G222" s="1290"/>
      <c r="H222" s="1290"/>
      <c r="I222" s="1290"/>
      <c r="J222" s="1290"/>
      <c r="K222" s="1291"/>
      <c r="L222" s="1291"/>
      <c r="M222" s="1291"/>
      <c r="N222" s="1308">
        <f>N172+N179+N186+N193+N200+N207+N214+N221</f>
        <v>0</v>
      </c>
      <c r="O222" s="1308">
        <f>O172+O179+O186+O193+O200+O207+O214+O221</f>
        <v>0</v>
      </c>
      <c r="P222" s="1308">
        <f>P172+P179+P186+P193+P200+P207+P214+P221</f>
        <v>0</v>
      </c>
      <c r="Q222" s="1291"/>
      <c r="R222" s="1308">
        <f>R172+R179+R186+R193+R200+R207+R214+R221</f>
        <v>0</v>
      </c>
      <c r="S222" s="1309"/>
      <c r="T222" s="1293"/>
      <c r="U222" s="1291"/>
      <c r="V222" s="1291"/>
      <c r="W222" s="1294"/>
    </row>
    <row r="223" spans="1:23" ht="15" thickBot="1">
      <c r="A223" s="1310">
        <v>218</v>
      </c>
      <c r="B223" s="3030" t="s">
        <v>3515</v>
      </c>
      <c r="C223" s="3031"/>
      <c r="D223" s="3032"/>
      <c r="E223" s="1311"/>
      <c r="F223" s="1311"/>
      <c r="G223" s="1312"/>
      <c r="H223" s="1312"/>
      <c r="I223" s="1312"/>
      <c r="J223" s="1312"/>
      <c r="K223" s="1313"/>
      <c r="L223" s="1313"/>
      <c r="M223" s="1313"/>
      <c r="N223" s="1314">
        <f>N165+N108+N222</f>
        <v>0</v>
      </c>
      <c r="O223" s="1314">
        <f>O165+O108+O222</f>
        <v>0</v>
      </c>
      <c r="P223" s="1314">
        <f>P165+P108+P222</f>
        <v>0</v>
      </c>
      <c r="Q223" s="1313"/>
      <c r="R223" s="1314">
        <f>R165+R108+R222</f>
        <v>0</v>
      </c>
      <c r="S223" s="1315"/>
      <c r="T223" s="1316"/>
      <c r="U223" s="1313"/>
      <c r="V223" s="1313"/>
      <c r="W223" s="1317"/>
    </row>
    <row r="224" spans="1:23">
      <c r="B224" s="1318"/>
      <c r="C224" s="470"/>
      <c r="D224" s="470"/>
      <c r="E224" s="1319"/>
      <c r="F224" s="1319"/>
      <c r="G224" s="1319"/>
      <c r="H224" s="1319"/>
      <c r="I224" s="1319"/>
      <c r="J224" s="1319"/>
      <c r="K224" s="1319"/>
      <c r="L224" s="1319"/>
      <c r="M224" s="1319"/>
      <c r="N224" s="1319"/>
      <c r="O224" s="1319"/>
      <c r="P224" s="1319"/>
      <c r="Q224" s="1319"/>
      <c r="R224" s="1319"/>
      <c r="S224" s="1319"/>
      <c r="T224" s="1320"/>
      <c r="U224" s="1320"/>
      <c r="V224" s="26"/>
    </row>
    <row r="225" spans="1:22" ht="14.25">
      <c r="A225" s="493" t="s">
        <v>4165</v>
      </c>
      <c r="B225" s="1318"/>
      <c r="C225" s="470"/>
      <c r="D225" s="470"/>
      <c r="E225" s="1319"/>
      <c r="F225" s="1319"/>
      <c r="G225" s="1319"/>
      <c r="H225" s="1319"/>
      <c r="I225" s="1319"/>
      <c r="J225" s="1319"/>
      <c r="K225" s="1319"/>
      <c r="L225" s="1319"/>
      <c r="M225" s="1319"/>
      <c r="N225" s="1319"/>
      <c r="O225" s="1319"/>
      <c r="P225" s="1319"/>
      <c r="Q225" s="1319"/>
      <c r="R225" s="1319"/>
      <c r="S225" s="1319"/>
      <c r="T225" s="1320"/>
      <c r="U225" s="1320"/>
      <c r="V225" s="26"/>
    </row>
    <row r="226" spans="1:22" ht="14.25">
      <c r="A226" s="493">
        <v>1</v>
      </c>
      <c r="B226" s="470" t="s">
        <v>4273</v>
      </c>
      <c r="D226" s="470"/>
      <c r="E226" s="1319"/>
      <c r="F226" s="1319"/>
      <c r="G226" s="1319"/>
      <c r="H226" s="1319"/>
      <c r="I226" s="1319"/>
      <c r="J226" s="1319"/>
      <c r="K226" s="1319"/>
      <c r="L226" s="1319"/>
      <c r="M226" s="1319"/>
      <c r="N226" s="1319"/>
      <c r="O226" s="1319"/>
      <c r="P226" s="1319"/>
      <c r="Q226" s="1319"/>
      <c r="R226" s="1319"/>
      <c r="S226" s="1319"/>
      <c r="T226" s="1320"/>
      <c r="U226" s="1320"/>
      <c r="V226" s="26"/>
    </row>
    <row r="227" spans="1:22" ht="14.25">
      <c r="A227" s="1318" t="s">
        <v>478</v>
      </c>
      <c r="B227" s="470" t="s">
        <v>4274</v>
      </c>
      <c r="D227" s="470"/>
      <c r="E227" s="1319"/>
      <c r="F227" s="1319"/>
      <c r="G227" s="1319"/>
      <c r="H227" s="1319"/>
      <c r="I227" s="1319"/>
      <c r="J227" s="1319"/>
      <c r="K227" s="1319"/>
      <c r="L227" s="1319"/>
      <c r="M227" s="1319"/>
      <c r="N227" s="1319"/>
      <c r="O227" s="1319"/>
      <c r="P227" s="1319"/>
      <c r="Q227" s="1319"/>
      <c r="R227" s="1319"/>
      <c r="S227" s="1319"/>
      <c r="T227" s="1320"/>
      <c r="U227" s="1320"/>
      <c r="V227" s="26"/>
    </row>
    <row r="228" spans="1:22" ht="14.25">
      <c r="A228" s="493">
        <v>3</v>
      </c>
      <c r="B228" s="26" t="s">
        <v>4275</v>
      </c>
      <c r="D228" s="26"/>
      <c r="E228" s="26"/>
      <c r="F228" s="26"/>
      <c r="G228" s="26"/>
      <c r="H228" s="26"/>
      <c r="I228" s="26"/>
      <c r="J228" s="26"/>
      <c r="K228" s="26"/>
      <c r="L228" s="26"/>
      <c r="M228" s="26"/>
      <c r="N228" s="26"/>
    </row>
    <row r="229" spans="1:22" ht="14.25">
      <c r="A229" s="493">
        <v>4</v>
      </c>
      <c r="B229" s="26" t="s">
        <v>4276</v>
      </c>
      <c r="D229" s="26"/>
      <c r="E229" s="26"/>
      <c r="F229" s="26"/>
      <c r="G229" s="26"/>
      <c r="H229" s="26"/>
      <c r="I229" s="26"/>
      <c r="J229" s="26"/>
      <c r="K229" s="26"/>
      <c r="L229" s="26"/>
      <c r="M229" s="26"/>
      <c r="N229" s="26"/>
    </row>
    <row r="230" spans="1:22" ht="14.25">
      <c r="A230" s="1318" t="s">
        <v>479</v>
      </c>
      <c r="B230" s="470" t="s">
        <v>4277</v>
      </c>
      <c r="D230" s="1319"/>
      <c r="E230" s="1319"/>
      <c r="F230" s="1319"/>
      <c r="G230" s="1319"/>
      <c r="H230" s="1319"/>
      <c r="I230" s="1319"/>
      <c r="J230" s="1319"/>
      <c r="K230" s="1319"/>
      <c r="L230" s="1319"/>
      <c r="M230" s="1319"/>
      <c r="N230" s="1319"/>
      <c r="O230" s="1319"/>
      <c r="P230" s="1319"/>
      <c r="Q230" s="1319"/>
      <c r="R230" s="1319"/>
      <c r="S230" s="1319"/>
      <c r="T230" s="1320"/>
      <c r="U230" s="1320"/>
      <c r="V230" s="26"/>
    </row>
    <row r="231" spans="1:22">
      <c r="A231" s="493"/>
      <c r="B231" s="1318"/>
      <c r="C231" s="470"/>
      <c r="D231" s="470"/>
      <c r="E231" s="1319"/>
      <c r="F231" s="1319"/>
      <c r="G231" s="1319"/>
      <c r="H231" s="1319"/>
      <c r="I231" s="1319"/>
      <c r="J231" s="1319"/>
      <c r="K231" s="1319"/>
      <c r="L231" s="1319"/>
      <c r="M231" s="1319"/>
      <c r="N231" s="1319"/>
      <c r="O231" s="1319"/>
      <c r="P231" s="1319"/>
      <c r="Q231" s="1319"/>
      <c r="R231" s="1319"/>
      <c r="S231" s="1319"/>
      <c r="T231" s="1320"/>
      <c r="U231" s="1320"/>
      <c r="V231" s="26"/>
    </row>
    <row r="232" spans="1:22">
      <c r="A232" s="493"/>
      <c r="B232" s="1318"/>
      <c r="C232" s="470"/>
      <c r="D232" s="470"/>
      <c r="E232" s="1319"/>
      <c r="F232" s="1319"/>
      <c r="G232" s="1319"/>
      <c r="H232" s="1319"/>
      <c r="I232" s="1319"/>
      <c r="J232" s="1319"/>
      <c r="K232" s="1319"/>
      <c r="L232" s="1319"/>
      <c r="M232" s="1319"/>
      <c r="N232" s="1319"/>
      <c r="O232" s="1319"/>
      <c r="P232" s="1319"/>
      <c r="Q232" s="1319"/>
      <c r="R232" s="1319"/>
      <c r="S232" s="1319"/>
      <c r="T232" s="1321"/>
      <c r="U232" s="1321"/>
      <c r="V232" s="26"/>
    </row>
    <row r="233" spans="1:22">
      <c r="A233" s="1318"/>
      <c r="B233" s="1318"/>
      <c r="C233" s="57"/>
      <c r="D233" s="57"/>
      <c r="E233" s="1319"/>
      <c r="F233" s="1319"/>
      <c r="G233" s="1319"/>
      <c r="H233" s="1319"/>
      <c r="I233" s="1319"/>
      <c r="J233" s="1319"/>
      <c r="K233" s="1319"/>
      <c r="L233" s="1319"/>
      <c r="M233" s="1319"/>
      <c r="N233" s="1319"/>
      <c r="O233" s="1319"/>
      <c r="P233" s="1319"/>
      <c r="Q233" s="1319"/>
      <c r="R233" s="1319"/>
      <c r="S233" s="1319"/>
      <c r="T233" s="1321"/>
      <c r="U233" s="1321"/>
      <c r="V233" s="26"/>
    </row>
    <row r="234" spans="1:22">
      <c r="A234" s="493"/>
      <c r="B234" s="1318"/>
      <c r="C234" s="470"/>
      <c r="D234" s="470"/>
      <c r="E234" s="1319"/>
      <c r="F234" s="1319"/>
      <c r="G234" s="1319"/>
      <c r="H234" s="1319"/>
      <c r="I234" s="1319"/>
      <c r="J234" s="1319"/>
      <c r="K234" s="1319"/>
      <c r="L234" s="1319"/>
      <c r="M234" s="1319"/>
      <c r="N234" s="1319"/>
      <c r="O234" s="1319"/>
      <c r="P234" s="1319"/>
      <c r="Q234" s="1319"/>
      <c r="R234" s="1319"/>
      <c r="S234" s="1319"/>
      <c r="T234" s="1321"/>
      <c r="U234" s="1321"/>
      <c r="V234" s="26"/>
    </row>
    <row r="235" spans="1:22">
      <c r="A235" s="493"/>
      <c r="B235" s="1318"/>
      <c r="C235" s="470"/>
      <c r="D235" s="470"/>
      <c r="E235" s="1319"/>
      <c r="F235" s="1319"/>
      <c r="G235" s="1319"/>
      <c r="H235" s="1319"/>
      <c r="I235" s="1319"/>
      <c r="J235" s="1319"/>
      <c r="K235" s="1319"/>
      <c r="L235" s="1319"/>
      <c r="M235" s="1319"/>
      <c r="N235" s="1319"/>
      <c r="O235" s="1319"/>
      <c r="P235" s="1319"/>
      <c r="Q235" s="1319"/>
      <c r="R235" s="1319"/>
      <c r="S235" s="1319"/>
      <c r="T235" s="1320"/>
      <c r="U235" s="1320"/>
      <c r="V235" s="26"/>
    </row>
    <row r="236" spans="1:22">
      <c r="A236" s="1318"/>
      <c r="B236" s="1318"/>
      <c r="C236" s="1319"/>
      <c r="D236" s="470"/>
      <c r="E236" s="1319"/>
      <c r="F236" s="1319"/>
      <c r="G236" s="1319"/>
      <c r="H236" s="1319"/>
      <c r="I236" s="1319"/>
      <c r="J236" s="1319"/>
      <c r="K236" s="1319"/>
      <c r="L236" s="1319"/>
      <c r="M236" s="1319"/>
      <c r="N236" s="1319"/>
      <c r="O236" s="1319"/>
      <c r="P236" s="1319"/>
      <c r="Q236" s="1319"/>
      <c r="R236" s="1319"/>
      <c r="S236" s="1319"/>
      <c r="T236" s="1320"/>
      <c r="U236" s="1320"/>
      <c r="V236" s="26"/>
    </row>
    <row r="237" spans="1:22">
      <c r="A237" s="493"/>
      <c r="B237" s="1318"/>
      <c r="C237" s="470"/>
      <c r="D237" s="470"/>
      <c r="E237" s="1319"/>
      <c r="F237" s="1319"/>
      <c r="G237" s="1319"/>
      <c r="H237" s="1319"/>
      <c r="I237" s="1319"/>
      <c r="J237" s="1319"/>
      <c r="K237" s="1319"/>
      <c r="L237" s="1319"/>
      <c r="M237" s="1319"/>
      <c r="N237" s="1319"/>
      <c r="O237" s="1319"/>
      <c r="P237" s="1319"/>
      <c r="Q237" s="1319"/>
      <c r="R237" s="1319"/>
      <c r="S237" s="1319"/>
      <c r="T237" s="1320"/>
      <c r="U237" s="1320"/>
      <c r="V237" s="26"/>
    </row>
    <row r="238" spans="1:22">
      <c r="A238" s="493"/>
      <c r="B238" s="1318"/>
      <c r="C238" s="470"/>
      <c r="D238" s="470"/>
      <c r="E238" s="1319"/>
      <c r="F238" s="1319"/>
      <c r="G238" s="1319"/>
      <c r="H238" s="1319"/>
      <c r="I238" s="1319"/>
      <c r="J238" s="1319"/>
      <c r="K238" s="1319"/>
      <c r="L238" s="1319"/>
      <c r="M238" s="1319"/>
      <c r="N238" s="1319"/>
      <c r="O238" s="1319"/>
      <c r="P238" s="1319"/>
      <c r="Q238" s="1319"/>
      <c r="R238" s="1319"/>
      <c r="S238" s="1319"/>
      <c r="T238" s="1320"/>
      <c r="U238" s="1320"/>
      <c r="V238" s="26"/>
    </row>
    <row r="239" spans="1:22">
      <c r="A239" s="1318"/>
      <c r="B239" s="1318"/>
      <c r="C239" s="1319"/>
      <c r="D239" s="1319"/>
      <c r="E239" s="1319"/>
      <c r="F239" s="1319"/>
      <c r="G239" s="1319"/>
      <c r="H239" s="1319"/>
      <c r="I239" s="1319"/>
      <c r="J239" s="1319"/>
      <c r="K239" s="1319"/>
      <c r="L239" s="1319"/>
      <c r="M239" s="1319"/>
      <c r="N239" s="1319"/>
      <c r="O239" s="1319"/>
      <c r="P239" s="1319"/>
      <c r="Q239" s="1319"/>
      <c r="R239" s="1319"/>
      <c r="S239" s="1319"/>
    </row>
    <row r="240" spans="1:22">
      <c r="A240" s="493"/>
      <c r="B240" s="1318"/>
      <c r="E240" s="1319"/>
      <c r="F240" s="1319"/>
      <c r="G240" s="1319"/>
      <c r="H240" s="1319"/>
      <c r="I240" s="1319"/>
      <c r="J240" s="1319"/>
      <c r="K240" s="1319"/>
      <c r="L240" s="1319"/>
      <c r="M240" s="1319"/>
      <c r="N240" s="1319"/>
      <c r="O240" s="1319"/>
      <c r="P240" s="1319"/>
      <c r="Q240" s="1319"/>
      <c r="R240" s="1319"/>
      <c r="S240" s="1319"/>
    </row>
    <row r="241" spans="1:19">
      <c r="A241" s="493"/>
      <c r="B241" s="1318"/>
      <c r="C241" s="1319"/>
      <c r="D241" s="1319"/>
      <c r="E241" s="1322"/>
      <c r="F241" s="1322"/>
      <c r="G241" s="1322"/>
      <c r="H241" s="1322"/>
      <c r="I241" s="1322"/>
      <c r="J241" s="1322"/>
      <c r="K241" s="1322"/>
      <c r="L241" s="1322"/>
      <c r="M241" s="1322"/>
      <c r="N241" s="1322"/>
      <c r="O241" s="1322"/>
      <c r="P241" s="1319"/>
      <c r="Q241" s="1322"/>
      <c r="R241" s="1322"/>
      <c r="S241" s="1322"/>
    </row>
    <row r="242" spans="1:19">
      <c r="A242" s="1318"/>
      <c r="B242" s="1318"/>
      <c r="C242" s="470"/>
      <c r="D242" s="470"/>
      <c r="E242" s="1322"/>
      <c r="F242" s="1322"/>
      <c r="G242" s="1322"/>
      <c r="H242" s="1322"/>
      <c r="I242" s="1322"/>
      <c r="J242" s="1322"/>
      <c r="K242" s="1322"/>
      <c r="L242" s="1322"/>
      <c r="M242" s="1322"/>
      <c r="N242" s="1322"/>
      <c r="O242" s="1322"/>
      <c r="P242" s="1319"/>
      <c r="Q242" s="1322"/>
      <c r="R242" s="1322"/>
      <c r="S242" s="1322"/>
    </row>
    <row r="243" spans="1:19">
      <c r="A243" s="493"/>
      <c r="B243" s="1318"/>
      <c r="C243" s="1319"/>
      <c r="D243" s="1319"/>
      <c r="E243" s="1321"/>
      <c r="F243" s="1323"/>
      <c r="G243" s="1321"/>
      <c r="H243" s="1321"/>
      <c r="I243" s="1321"/>
      <c r="J243" s="1321"/>
      <c r="K243" s="1321"/>
      <c r="L243" s="1321"/>
      <c r="M243" s="1321"/>
      <c r="N243" s="1321"/>
      <c r="O243" s="1321"/>
      <c r="P243" s="1322"/>
      <c r="Q243" s="1321"/>
      <c r="R243" s="1321"/>
      <c r="S243" s="1321"/>
    </row>
    <row r="244" spans="1:19">
      <c r="A244" s="1318"/>
      <c r="B244" s="1318"/>
      <c r="C244" s="1319"/>
      <c r="D244" s="1319"/>
      <c r="E244" s="1321"/>
      <c r="F244" s="1323"/>
      <c r="G244" s="1321"/>
      <c r="H244" s="1321"/>
      <c r="I244" s="1321"/>
      <c r="J244" s="1321"/>
      <c r="K244" s="1321"/>
      <c r="L244" s="1321"/>
      <c r="M244" s="1321"/>
      <c r="N244" s="1321"/>
      <c r="O244" s="1321"/>
      <c r="P244" s="1320"/>
      <c r="Q244" s="1321"/>
      <c r="R244" s="1321"/>
      <c r="S244" s="1321"/>
    </row>
    <row r="245" spans="1:19">
      <c r="A245" s="1318"/>
      <c r="B245" s="1318"/>
      <c r="C245" s="1319"/>
      <c r="D245" s="1319"/>
      <c r="E245" s="1321"/>
      <c r="F245" s="1323"/>
      <c r="G245" s="1321"/>
      <c r="H245" s="1321"/>
      <c r="I245" s="1321"/>
      <c r="J245" s="1321"/>
      <c r="K245" s="1321"/>
      <c r="L245" s="1321"/>
      <c r="M245" s="1321"/>
      <c r="N245" s="1321"/>
      <c r="O245" s="1321"/>
      <c r="P245" s="1321"/>
      <c r="Q245" s="1321"/>
      <c r="R245" s="1321"/>
      <c r="S245" s="1321"/>
    </row>
    <row r="246" spans="1:19">
      <c r="A246" s="1318"/>
      <c r="B246" s="1318"/>
      <c r="C246" s="1319"/>
      <c r="D246" s="1319"/>
      <c r="E246" s="26"/>
      <c r="F246" s="459"/>
      <c r="G246" s="26"/>
      <c r="H246" s="26"/>
      <c r="I246" s="26"/>
      <c r="J246" s="26"/>
      <c r="K246" s="26"/>
      <c r="L246" s="26"/>
      <c r="M246" s="26"/>
      <c r="N246" s="26"/>
      <c r="O246" s="26"/>
      <c r="P246" s="1321"/>
      <c r="Q246" s="26"/>
      <c r="R246" s="26"/>
      <c r="S246" s="26"/>
    </row>
    <row r="247" spans="1:19">
      <c r="A247" s="1318"/>
      <c r="B247" s="1318"/>
      <c r="C247" s="1319"/>
      <c r="D247" s="1319"/>
      <c r="F247" s="1324"/>
      <c r="P247" s="1321"/>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30"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22" activePane="bottomRight" state="frozen"/>
      <selection pane="topRight"/>
      <selection pane="bottomLeft"/>
      <selection pane="bottomRight"/>
    </sheetView>
  </sheetViews>
  <sheetFormatPr defaultColWidth="9" defaultRowHeight="15.75"/>
  <cols>
    <col min="1" max="1" width="5.125" style="1117" customWidth="1"/>
    <col min="2" max="2" width="16.5" style="1117" customWidth="1"/>
    <col min="3" max="3" width="22.375" style="1117" customWidth="1"/>
    <col min="4" max="4" width="12.25" style="1117" bestFit="1" customWidth="1"/>
    <col min="5" max="5" width="13.5" style="1117" customWidth="1"/>
    <col min="6" max="6" width="10.5" style="1117" customWidth="1"/>
    <col min="7" max="7" width="13.375" style="1117" customWidth="1"/>
    <col min="8" max="8" width="14" style="1117" customWidth="1"/>
    <col min="9" max="9" width="11.625" style="1117" customWidth="1"/>
    <col min="10" max="10" width="12.625" style="1117" customWidth="1"/>
    <col min="11" max="11" width="14.125" style="1117" customWidth="1"/>
    <col min="12" max="12" width="12.875" style="1117" customWidth="1"/>
    <col min="13" max="16384" width="9" style="1117"/>
  </cols>
  <sheetData>
    <row r="1" spans="1:12" ht="16.5">
      <c r="A1" s="2186" t="str">
        <f>+封面!A3&amp;" "&amp;封面!A2</f>
        <v xml:space="preserve"> 中央再保險股份有限公司 年度檢查報表</v>
      </c>
      <c r="B1" s="57"/>
      <c r="C1" s="57"/>
      <c r="D1" s="57"/>
      <c r="E1" s="57"/>
      <c r="F1" s="57"/>
      <c r="G1" s="57"/>
      <c r="H1" s="57"/>
      <c r="I1" s="57"/>
      <c r="J1" s="57"/>
      <c r="K1" s="57"/>
      <c r="L1" s="57"/>
    </row>
    <row r="2" spans="1:12" ht="16.5" thickBot="1">
      <c r="A2" s="1118" t="s">
        <v>4197</v>
      </c>
      <c r="B2" s="1118"/>
      <c r="C2" s="57"/>
      <c r="D2" s="57"/>
      <c r="E2" s="57"/>
      <c r="F2" s="57"/>
      <c r="G2" s="57"/>
      <c r="H2" s="57"/>
      <c r="I2" s="57"/>
      <c r="J2" s="57" t="s">
        <v>4176</v>
      </c>
      <c r="K2" s="57"/>
      <c r="L2" s="57"/>
    </row>
    <row r="3" spans="1:12" ht="16.5" customHeight="1">
      <c r="A3" s="3041" t="s">
        <v>3625</v>
      </c>
      <c r="B3" s="3043" t="s">
        <v>4198</v>
      </c>
      <c r="C3" s="3044"/>
      <c r="D3" s="3034" t="s">
        <v>4199</v>
      </c>
      <c r="E3" s="3045"/>
      <c r="F3" s="3045"/>
      <c r="G3" s="3046" t="s">
        <v>4200</v>
      </c>
      <c r="H3" s="3045"/>
      <c r="I3" s="3047"/>
      <c r="J3" s="3034" t="s">
        <v>4201</v>
      </c>
      <c r="K3" s="3034"/>
      <c r="L3" s="3035"/>
    </row>
    <row r="4" spans="1:12" ht="28.5">
      <c r="A4" s="3042"/>
      <c r="B4" s="2933"/>
      <c r="C4" s="2908"/>
      <c r="D4" s="1121" t="s">
        <v>4202</v>
      </c>
      <c r="E4" s="460" t="s">
        <v>4182</v>
      </c>
      <c r="F4" s="1165" t="s">
        <v>4183</v>
      </c>
      <c r="G4" s="1166" t="s">
        <v>4181</v>
      </c>
      <c r="H4" s="460" t="s">
        <v>4182</v>
      </c>
      <c r="I4" s="1165" t="s">
        <v>4183</v>
      </c>
      <c r="J4" s="1166" t="s">
        <v>4181</v>
      </c>
      <c r="K4" s="460" t="s">
        <v>4182</v>
      </c>
      <c r="L4" s="1165" t="s">
        <v>4183</v>
      </c>
    </row>
    <row r="5" spans="1:12" ht="17.25" thickBot="1">
      <c r="A5" s="3042"/>
      <c r="B5" s="3036" t="s">
        <v>66</v>
      </c>
      <c r="C5" s="3037"/>
      <c r="D5" s="1167" t="s">
        <v>183</v>
      </c>
      <c r="E5" s="1168" t="s">
        <v>296</v>
      </c>
      <c r="F5" s="1169" t="s">
        <v>69</v>
      </c>
      <c r="G5" s="1170" t="s">
        <v>70</v>
      </c>
      <c r="H5" s="1168" t="s">
        <v>71</v>
      </c>
      <c r="I5" s="1169" t="s">
        <v>72</v>
      </c>
      <c r="J5" s="1170" t="s">
        <v>73</v>
      </c>
      <c r="K5" s="1168" t="s">
        <v>74</v>
      </c>
      <c r="L5" s="1169" t="s">
        <v>75</v>
      </c>
    </row>
    <row r="6" spans="1:12">
      <c r="A6" s="1126">
        <v>1</v>
      </c>
      <c r="B6" s="3038" t="s">
        <v>4203</v>
      </c>
      <c r="C6" s="1171" t="s">
        <v>4185</v>
      </c>
      <c r="D6" s="1172"/>
      <c r="E6" s="1173"/>
      <c r="F6" s="1174"/>
      <c r="G6" s="1175">
        <f>'表16-1-1'!N18</f>
        <v>0</v>
      </c>
      <c r="H6" s="1176">
        <f>'表16-1-1'!O18</f>
        <v>0</v>
      </c>
      <c r="I6" s="1177">
        <f>'表16-1-1'!P18</f>
        <v>0</v>
      </c>
      <c r="J6" s="1175">
        <f>'表16-1-1'!N31</f>
        <v>0</v>
      </c>
      <c r="K6" s="1176">
        <f>'表16-1-1'!O31</f>
        <v>0</v>
      </c>
      <c r="L6" s="1177">
        <f>'表16-1-1'!P31</f>
        <v>0</v>
      </c>
    </row>
    <row r="7" spans="1:12">
      <c r="A7" s="1133">
        <v>2</v>
      </c>
      <c r="B7" s="3039"/>
      <c r="C7" s="1134" t="s">
        <v>4195</v>
      </c>
      <c r="D7" s="1178"/>
      <c r="E7" s="1179"/>
      <c r="F7" s="1180"/>
      <c r="G7" s="1181">
        <f>'表16-1-2'!M20</f>
        <v>0</v>
      </c>
      <c r="H7" s="1182"/>
      <c r="I7" s="1183">
        <f>'表16-1-2'!N20</f>
        <v>0</v>
      </c>
      <c r="J7" s="1181">
        <f>'表16-1-2'!M27</f>
        <v>0</v>
      </c>
      <c r="K7" s="1182"/>
      <c r="L7" s="1183">
        <f>'表16-1-2'!N27</f>
        <v>0</v>
      </c>
    </row>
    <row r="8" spans="1:12">
      <c r="A8" s="1133">
        <v>3</v>
      </c>
      <c r="B8" s="2978"/>
      <c r="C8" s="1134" t="s">
        <v>4196</v>
      </c>
      <c r="D8" s="1178"/>
      <c r="E8" s="1179"/>
      <c r="F8" s="1180"/>
      <c r="G8" s="1181">
        <f>'表16-1-3'!N18</f>
        <v>0</v>
      </c>
      <c r="H8" s="1184">
        <f>'表16-1-3'!O18</f>
        <v>0</v>
      </c>
      <c r="I8" s="1183">
        <f>'表16-1-3'!P18</f>
        <v>0</v>
      </c>
      <c r="J8" s="1181">
        <f>'表16-1-3'!N31</f>
        <v>0</v>
      </c>
      <c r="K8" s="1184">
        <f>'表16-1-3'!O31</f>
        <v>0</v>
      </c>
      <c r="L8" s="1183">
        <f>'表16-1-3'!P31</f>
        <v>0</v>
      </c>
    </row>
    <row r="9" spans="1:12">
      <c r="A9" s="1133">
        <v>4</v>
      </c>
      <c r="B9" s="2978"/>
      <c r="C9" s="1134" t="s">
        <v>4186</v>
      </c>
      <c r="D9" s="1178"/>
      <c r="E9" s="1179"/>
      <c r="F9" s="1180"/>
      <c r="G9" s="1181">
        <f>'表16-1-4'!N18</f>
        <v>0</v>
      </c>
      <c r="H9" s="1184">
        <f>'表16-1-4'!O18</f>
        <v>0</v>
      </c>
      <c r="I9" s="1183">
        <f>'表16-1-4'!P18</f>
        <v>0</v>
      </c>
      <c r="J9" s="1181">
        <f>'表16-1-4'!N31</f>
        <v>0</v>
      </c>
      <c r="K9" s="1184">
        <f>'表16-1-4'!O31</f>
        <v>0</v>
      </c>
      <c r="L9" s="1183">
        <f>'表16-1-4'!P31</f>
        <v>0</v>
      </c>
    </row>
    <row r="10" spans="1:12">
      <c r="A10" s="1133">
        <v>5</v>
      </c>
      <c r="B10" s="2978"/>
      <c r="C10" s="1134" t="s">
        <v>4204</v>
      </c>
      <c r="D10" s="1178"/>
      <c r="E10" s="1179"/>
      <c r="F10" s="1180"/>
      <c r="G10" s="1181">
        <f>'表16-1-5'!N18</f>
        <v>0</v>
      </c>
      <c r="H10" s="1184">
        <f>'表16-1-5'!O18</f>
        <v>0</v>
      </c>
      <c r="I10" s="1183">
        <f>'表16-1-5'!P18</f>
        <v>0</v>
      </c>
      <c r="J10" s="1181">
        <f>'表16-1-5'!N31</f>
        <v>0</v>
      </c>
      <c r="K10" s="1184">
        <f>'表16-1-5'!O31</f>
        <v>0</v>
      </c>
      <c r="L10" s="1183">
        <f>'表16-1-5'!P31</f>
        <v>0</v>
      </c>
    </row>
    <row r="11" spans="1:12" ht="16.5" thickBot="1">
      <c r="A11" s="1139">
        <v>6</v>
      </c>
      <c r="B11" s="3040"/>
      <c r="C11" s="1140" t="s">
        <v>4205</v>
      </c>
      <c r="D11" s="1185"/>
      <c r="E11" s="1186"/>
      <c r="F11" s="1187"/>
      <c r="G11" s="1188">
        <f t="shared" ref="G11:L11" si="0">SUM(G6:G10)</f>
        <v>0</v>
      </c>
      <c r="H11" s="1189">
        <f t="shared" si="0"/>
        <v>0</v>
      </c>
      <c r="I11" s="1190">
        <f t="shared" si="0"/>
        <v>0</v>
      </c>
      <c r="J11" s="1188">
        <f t="shared" si="0"/>
        <v>0</v>
      </c>
      <c r="K11" s="1189">
        <f t="shared" si="0"/>
        <v>0</v>
      </c>
      <c r="L11" s="1190">
        <f t="shared" si="0"/>
        <v>0</v>
      </c>
    </row>
    <row r="12" spans="1:12" ht="16.5">
      <c r="A12" s="1126">
        <f>A11+1</f>
        <v>7</v>
      </c>
      <c r="B12" s="3050" t="s">
        <v>4206</v>
      </c>
      <c r="C12" s="33" t="s">
        <v>4185</v>
      </c>
      <c r="D12" s="1191"/>
      <c r="E12" s="1173"/>
      <c r="F12" s="1174"/>
      <c r="G12" s="1175">
        <f>'表16-1-1'!N42</f>
        <v>0</v>
      </c>
      <c r="H12" s="1176">
        <f>'表16-1-1'!O42</f>
        <v>0</v>
      </c>
      <c r="I12" s="1177">
        <f>'表16-1-1'!P42</f>
        <v>0</v>
      </c>
      <c r="J12" s="1175">
        <f>'表16-1-1'!N53</f>
        <v>0</v>
      </c>
      <c r="K12" s="1176">
        <f>'表16-1-1'!O53</f>
        <v>0</v>
      </c>
      <c r="L12" s="1177">
        <f>'表16-1-1'!P53</f>
        <v>0</v>
      </c>
    </row>
    <row r="13" spans="1:12">
      <c r="A13" s="1133">
        <f t="shared" ref="A13:A39" si="1">A12+1</f>
        <v>8</v>
      </c>
      <c r="B13" s="3051"/>
      <c r="C13" s="1134" t="s">
        <v>4195</v>
      </c>
      <c r="D13" s="1178"/>
      <c r="E13" s="1179"/>
      <c r="F13" s="1180"/>
      <c r="G13" s="1181">
        <f>'表16-1-2'!M38</f>
        <v>0</v>
      </c>
      <c r="H13" s="1182"/>
      <c r="I13" s="1183">
        <f>'表16-1-2'!N38</f>
        <v>0</v>
      </c>
      <c r="J13" s="1181">
        <f>'表16-1-2'!M49</f>
        <v>0</v>
      </c>
      <c r="K13" s="1182"/>
      <c r="L13" s="1183">
        <f>'表16-1-2'!N49</f>
        <v>0</v>
      </c>
    </row>
    <row r="14" spans="1:12">
      <c r="A14" s="1133">
        <f t="shared" si="1"/>
        <v>9</v>
      </c>
      <c r="B14" s="3051"/>
      <c r="C14" s="1134" t="s">
        <v>4196</v>
      </c>
      <c r="D14" s="1178"/>
      <c r="E14" s="1179"/>
      <c r="F14" s="1180"/>
      <c r="G14" s="1181">
        <f>'表16-1-3'!N42</f>
        <v>0</v>
      </c>
      <c r="H14" s="1184">
        <f>'表16-1-3'!O42</f>
        <v>0</v>
      </c>
      <c r="I14" s="1183">
        <f>'表16-1-3'!P42</f>
        <v>0</v>
      </c>
      <c r="J14" s="1181">
        <f>'表16-1-3'!N53</f>
        <v>0</v>
      </c>
      <c r="K14" s="1184">
        <f>'表16-1-3'!O53</f>
        <v>0</v>
      </c>
      <c r="L14" s="1183">
        <f>'表16-1-3'!P53</f>
        <v>0</v>
      </c>
    </row>
    <row r="15" spans="1:12">
      <c r="A15" s="1133">
        <f t="shared" si="1"/>
        <v>10</v>
      </c>
      <c r="B15" s="3051"/>
      <c r="C15" s="1134" t="s">
        <v>4186</v>
      </c>
      <c r="D15" s="1178"/>
      <c r="E15" s="1179"/>
      <c r="F15" s="1180"/>
      <c r="G15" s="1181">
        <f>'表16-1-4'!N42</f>
        <v>0</v>
      </c>
      <c r="H15" s="1184">
        <f>'表16-1-4'!O42</f>
        <v>0</v>
      </c>
      <c r="I15" s="1183">
        <f>'表16-1-4'!P42</f>
        <v>0</v>
      </c>
      <c r="J15" s="1181">
        <f>'表16-1-4'!N53</f>
        <v>0</v>
      </c>
      <c r="K15" s="1184">
        <f>'表16-1-4'!O53</f>
        <v>0</v>
      </c>
      <c r="L15" s="1183">
        <f>'表16-1-4'!P53</f>
        <v>0</v>
      </c>
    </row>
    <row r="16" spans="1:12">
      <c r="A16" s="1133">
        <f t="shared" si="1"/>
        <v>11</v>
      </c>
      <c r="B16" s="3051"/>
      <c r="C16" s="1134" t="s">
        <v>4204</v>
      </c>
      <c r="D16" s="1178"/>
      <c r="E16" s="1179"/>
      <c r="F16" s="1180"/>
      <c r="G16" s="1181">
        <f>'表16-1-5'!N42</f>
        <v>0</v>
      </c>
      <c r="H16" s="1184">
        <f>'表16-1-5'!O42</f>
        <v>0</v>
      </c>
      <c r="I16" s="1183">
        <f>'表16-1-5'!P42</f>
        <v>0</v>
      </c>
      <c r="J16" s="1181">
        <f>'表16-1-5'!N53</f>
        <v>0</v>
      </c>
      <c r="K16" s="1184">
        <f>'表16-1-5'!O53</f>
        <v>0</v>
      </c>
      <c r="L16" s="1183">
        <f>'表16-1-5'!P53</f>
        <v>0</v>
      </c>
    </row>
    <row r="17" spans="1:12">
      <c r="A17" s="1133">
        <f t="shared" si="1"/>
        <v>12</v>
      </c>
      <c r="B17" s="3052"/>
      <c r="C17" s="1192" t="s">
        <v>4207</v>
      </c>
      <c r="D17" s="1193"/>
      <c r="E17" s="1194"/>
      <c r="F17" s="1195"/>
      <c r="G17" s="1196">
        <f t="shared" ref="G17:L17" si="2">SUM(G12:G16)</f>
        <v>0</v>
      </c>
      <c r="H17" s="1197">
        <f t="shared" si="2"/>
        <v>0</v>
      </c>
      <c r="I17" s="1198">
        <f t="shared" si="2"/>
        <v>0</v>
      </c>
      <c r="J17" s="1196">
        <f t="shared" si="2"/>
        <v>0</v>
      </c>
      <c r="K17" s="1197">
        <f t="shared" si="2"/>
        <v>0</v>
      </c>
      <c r="L17" s="1198">
        <f t="shared" si="2"/>
        <v>0</v>
      </c>
    </row>
    <row r="18" spans="1:12" ht="16.5" customHeight="1" thickBot="1">
      <c r="A18" s="1199">
        <f t="shared" si="1"/>
        <v>13</v>
      </c>
      <c r="B18" s="3053" t="s">
        <v>4208</v>
      </c>
      <c r="C18" s="3037"/>
      <c r="D18" s="1185"/>
      <c r="E18" s="1200"/>
      <c r="F18" s="1187"/>
      <c r="G18" s="1201">
        <f t="shared" ref="G18:L18" si="3">G17+G11</f>
        <v>0</v>
      </c>
      <c r="H18" s="1189">
        <f t="shared" si="3"/>
        <v>0</v>
      </c>
      <c r="I18" s="1190">
        <f t="shared" si="3"/>
        <v>0</v>
      </c>
      <c r="J18" s="1201">
        <f t="shared" si="3"/>
        <v>0</v>
      </c>
      <c r="K18" s="1189">
        <f t="shared" si="3"/>
        <v>0</v>
      </c>
      <c r="L18" s="1190">
        <f t="shared" si="3"/>
        <v>0</v>
      </c>
    </row>
    <row r="19" spans="1:12" ht="16.5" customHeight="1">
      <c r="A19" s="1199">
        <f t="shared" si="1"/>
        <v>14</v>
      </c>
      <c r="B19" s="3001" t="s">
        <v>4209</v>
      </c>
      <c r="C19" s="1202" t="s">
        <v>4210</v>
      </c>
      <c r="D19" s="1203">
        <f>'表16-1-1'!N64</f>
        <v>0</v>
      </c>
      <c r="E19" s="1204">
        <f>'表16-1-1'!O64</f>
        <v>0</v>
      </c>
      <c r="F19" s="1202">
        <f>'表16-1-1'!P64</f>
        <v>0</v>
      </c>
      <c r="G19" s="1191"/>
      <c r="H19" s="1173"/>
      <c r="I19" s="1174"/>
      <c r="J19" s="1205"/>
      <c r="K19" s="1173"/>
      <c r="L19" s="1206"/>
    </row>
    <row r="20" spans="1:12" ht="16.5" customHeight="1">
      <c r="A20" s="1133">
        <f t="shared" si="1"/>
        <v>15</v>
      </c>
      <c r="B20" s="3002"/>
      <c r="C20" s="1207" t="s">
        <v>4211</v>
      </c>
      <c r="D20" s="1208">
        <f>'表16-1-3'!N64</f>
        <v>0</v>
      </c>
      <c r="E20" s="490">
        <f>'表16-1-3'!O64</f>
        <v>0</v>
      </c>
      <c r="F20" s="1209">
        <f>'表16-1-3'!P64</f>
        <v>0</v>
      </c>
      <c r="G20" s="1178"/>
      <c r="H20" s="1179"/>
      <c r="I20" s="1180"/>
      <c r="J20" s="1210"/>
      <c r="K20" s="1179"/>
      <c r="L20" s="1211"/>
    </row>
    <row r="21" spans="1:12" ht="16.5" customHeight="1">
      <c r="A21" s="1133">
        <f t="shared" si="1"/>
        <v>16</v>
      </c>
      <c r="B21" s="3002"/>
      <c r="C21" s="1207" t="s">
        <v>4212</v>
      </c>
      <c r="D21" s="1208">
        <f>D19+D20</f>
        <v>0</v>
      </c>
      <c r="E21" s="490">
        <f>E19+E20</f>
        <v>0</v>
      </c>
      <c r="F21" s="1212">
        <f>F19+F20</f>
        <v>0</v>
      </c>
      <c r="G21" s="1178"/>
      <c r="H21" s="1179"/>
      <c r="I21" s="1180"/>
      <c r="J21" s="1210"/>
      <c r="K21" s="1179"/>
      <c r="L21" s="1211"/>
    </row>
    <row r="22" spans="1:12" ht="16.5" customHeight="1">
      <c r="A22" s="1133">
        <f t="shared" si="1"/>
        <v>17</v>
      </c>
      <c r="B22" s="3002"/>
      <c r="C22" s="1209" t="s">
        <v>4210</v>
      </c>
      <c r="D22" s="1208">
        <f>'表16-1-1'!N75</f>
        <v>0</v>
      </c>
      <c r="E22" s="490">
        <f>'表16-1-1'!O75</f>
        <v>0</v>
      </c>
      <c r="F22" s="1209">
        <f>'表16-1-1'!P75</f>
        <v>0</v>
      </c>
      <c r="G22" s="1178"/>
      <c r="H22" s="1179"/>
      <c r="I22" s="1180"/>
      <c r="J22" s="1210"/>
      <c r="K22" s="1179"/>
      <c r="L22" s="1211"/>
    </row>
    <row r="23" spans="1:12" ht="16.5" customHeight="1">
      <c r="A23" s="1133">
        <f t="shared" si="1"/>
        <v>18</v>
      </c>
      <c r="B23" s="3002"/>
      <c r="C23" s="1207" t="s">
        <v>4211</v>
      </c>
      <c r="D23" s="1208">
        <f>'表16-1-3'!N75</f>
        <v>0</v>
      </c>
      <c r="E23" s="490">
        <f>'表16-1-3'!O75</f>
        <v>0</v>
      </c>
      <c r="F23" s="1209">
        <f>'表16-1-3'!P75</f>
        <v>0</v>
      </c>
      <c r="G23" s="1178"/>
      <c r="H23" s="1179"/>
      <c r="I23" s="1180"/>
      <c r="J23" s="1210"/>
      <c r="K23" s="1179"/>
      <c r="L23" s="1211"/>
    </row>
    <row r="24" spans="1:12" ht="16.5" customHeight="1">
      <c r="A24" s="1133">
        <f t="shared" si="1"/>
        <v>19</v>
      </c>
      <c r="B24" s="3002"/>
      <c r="C24" s="1213" t="s">
        <v>4213</v>
      </c>
      <c r="D24" s="1214">
        <f>D22+D23</f>
        <v>0</v>
      </c>
      <c r="E24" s="490">
        <f>E22+E23</f>
        <v>0</v>
      </c>
      <c r="F24" s="1209">
        <f>F22+F23</f>
        <v>0</v>
      </c>
      <c r="G24" s="1193"/>
      <c r="H24" s="1194"/>
      <c r="I24" s="1195"/>
      <c r="J24" s="1215"/>
      <c r="K24" s="1216"/>
      <c r="L24" s="1217"/>
    </row>
    <row r="25" spans="1:12" ht="16.5" customHeight="1" thickBot="1">
      <c r="A25" s="1133">
        <f t="shared" si="1"/>
        <v>20</v>
      </c>
      <c r="B25" s="2953"/>
      <c r="C25" s="1218" t="s">
        <v>4214</v>
      </c>
      <c r="D25" s="1219">
        <f>D21+D24</f>
        <v>0</v>
      </c>
      <c r="E25" s="1158">
        <f>E21+E24</f>
        <v>0</v>
      </c>
      <c r="F25" s="1220">
        <f>F21+F24</f>
        <v>0</v>
      </c>
      <c r="G25" s="1185"/>
      <c r="H25" s="1200"/>
      <c r="I25" s="1187"/>
      <c r="J25" s="1221"/>
      <c r="K25" s="1200"/>
      <c r="L25" s="1222"/>
    </row>
    <row r="26" spans="1:12" ht="16.5">
      <c r="A26" s="1133">
        <f t="shared" si="1"/>
        <v>21</v>
      </c>
      <c r="B26" s="2927" t="s">
        <v>4215</v>
      </c>
      <c r="C26" s="33" t="s">
        <v>4216</v>
      </c>
      <c r="D26" s="1177">
        <f>'表16-1-1'!N86</f>
        <v>0</v>
      </c>
      <c r="E26" s="1176">
        <f>'表16-1-1'!O86</f>
        <v>0</v>
      </c>
      <c r="F26" s="1177">
        <f>'表16-1-1'!P86</f>
        <v>0</v>
      </c>
      <c r="G26" s="1175">
        <f>'表16-1-1'!N97</f>
        <v>0</v>
      </c>
      <c r="H26" s="1176">
        <f>'表16-1-1'!O97</f>
        <v>0</v>
      </c>
      <c r="I26" s="1177">
        <f>'表16-1-1'!P97</f>
        <v>0</v>
      </c>
      <c r="J26" s="1175">
        <f>'表16-1-1'!N108</f>
        <v>0</v>
      </c>
      <c r="K26" s="1176">
        <f>'表16-1-1'!O108</f>
        <v>0</v>
      </c>
      <c r="L26" s="1177">
        <f>'表16-1-1'!P108</f>
        <v>0</v>
      </c>
    </row>
    <row r="27" spans="1:12">
      <c r="A27" s="1133">
        <f t="shared" si="1"/>
        <v>22</v>
      </c>
      <c r="B27" s="2928"/>
      <c r="C27" s="1134" t="s">
        <v>4217</v>
      </c>
      <c r="D27" s="1183">
        <f>'表16-1-2'!M60</f>
        <v>0</v>
      </c>
      <c r="E27" s="1182"/>
      <c r="F27" s="1183">
        <f>'表16-1-2'!N60</f>
        <v>0</v>
      </c>
      <c r="G27" s="1181">
        <f>'表16-1-2'!M71</f>
        <v>0</v>
      </c>
      <c r="H27" s="1182"/>
      <c r="I27" s="1183">
        <f>'表16-1-2'!N71</f>
        <v>0</v>
      </c>
      <c r="J27" s="1181">
        <f>'表16-1-2'!M82</f>
        <v>0</v>
      </c>
      <c r="K27" s="1182"/>
      <c r="L27" s="1183">
        <f>'表16-1-2'!N82</f>
        <v>0</v>
      </c>
    </row>
    <row r="28" spans="1:12">
      <c r="A28" s="1133">
        <f t="shared" si="1"/>
        <v>23</v>
      </c>
      <c r="B28" s="2928"/>
      <c r="C28" s="1134" t="s">
        <v>4218</v>
      </c>
      <c r="D28" s="1183">
        <f>'表16-1-3'!N86</f>
        <v>0</v>
      </c>
      <c r="E28" s="1184">
        <f>'表16-1-3'!O86</f>
        <v>0</v>
      </c>
      <c r="F28" s="1183">
        <f>'表16-1-3'!P86</f>
        <v>0</v>
      </c>
      <c r="G28" s="1181">
        <f>'表16-1-3'!N97</f>
        <v>0</v>
      </c>
      <c r="H28" s="1184">
        <f>'表16-1-3'!O97</f>
        <v>0</v>
      </c>
      <c r="I28" s="1183">
        <f>'表16-1-3'!P97</f>
        <v>0</v>
      </c>
      <c r="J28" s="1181">
        <f>'表16-1-3'!N108</f>
        <v>0</v>
      </c>
      <c r="K28" s="1184">
        <f>'表16-1-3'!O108</f>
        <v>0</v>
      </c>
      <c r="L28" s="1183">
        <f>'表16-1-3'!P108</f>
        <v>0</v>
      </c>
    </row>
    <row r="29" spans="1:12">
      <c r="A29" s="1133">
        <f t="shared" si="1"/>
        <v>24</v>
      </c>
      <c r="B29" s="2928"/>
      <c r="C29" s="1134" t="s">
        <v>4219</v>
      </c>
      <c r="D29" s="1183">
        <f>'表16-1-4'!N64</f>
        <v>0</v>
      </c>
      <c r="E29" s="1184">
        <f>'表16-1-4'!O64</f>
        <v>0</v>
      </c>
      <c r="F29" s="1183">
        <f>'表16-1-4'!P64</f>
        <v>0</v>
      </c>
      <c r="G29" s="1181">
        <f>'表16-1-4'!N75</f>
        <v>0</v>
      </c>
      <c r="H29" s="1184">
        <f>'表16-1-4'!O75</f>
        <v>0</v>
      </c>
      <c r="I29" s="1183">
        <f>'表16-1-4'!P75</f>
        <v>0</v>
      </c>
      <c r="J29" s="1181">
        <f>'表16-1-4'!N86</f>
        <v>0</v>
      </c>
      <c r="K29" s="1184">
        <f>'表16-1-4'!O86</f>
        <v>0</v>
      </c>
      <c r="L29" s="1183">
        <f>'表16-1-4'!P86</f>
        <v>0</v>
      </c>
    </row>
    <row r="30" spans="1:12">
      <c r="A30" s="1133">
        <f t="shared" si="1"/>
        <v>25</v>
      </c>
      <c r="B30" s="2928"/>
      <c r="C30" s="1134" t="s">
        <v>4220</v>
      </c>
      <c r="D30" s="1183">
        <f>'表16-1-5'!N64</f>
        <v>0</v>
      </c>
      <c r="E30" s="1184">
        <f>'表16-1-5'!O64</f>
        <v>0</v>
      </c>
      <c r="F30" s="1183">
        <f>'表16-1-5'!P64</f>
        <v>0</v>
      </c>
      <c r="G30" s="1181">
        <f>'表16-1-5'!N75</f>
        <v>0</v>
      </c>
      <c r="H30" s="1184">
        <f>'表16-1-5'!O75</f>
        <v>0</v>
      </c>
      <c r="I30" s="1183">
        <f>'表16-1-5'!P75</f>
        <v>0</v>
      </c>
      <c r="J30" s="1181">
        <f>'表16-1-5'!N86</f>
        <v>0</v>
      </c>
      <c r="K30" s="1184">
        <f>'表16-1-5'!O86</f>
        <v>0</v>
      </c>
      <c r="L30" s="1183">
        <f>'表16-1-5'!P86</f>
        <v>0</v>
      </c>
    </row>
    <row r="31" spans="1:12" ht="17.25" thickBot="1">
      <c r="A31" s="1133">
        <f t="shared" si="1"/>
        <v>26</v>
      </c>
      <c r="B31" s="2929"/>
      <c r="C31" s="1223" t="s">
        <v>4221</v>
      </c>
      <c r="D31" s="1190">
        <f>SUM(D26:D30)</f>
        <v>0</v>
      </c>
      <c r="E31" s="1189">
        <f t="shared" ref="E31:L31" si="4">SUM(E26:E30)</f>
        <v>0</v>
      </c>
      <c r="F31" s="1190">
        <f t="shared" si="4"/>
        <v>0</v>
      </c>
      <c r="G31" s="1201">
        <f t="shared" si="4"/>
        <v>0</v>
      </c>
      <c r="H31" s="1189">
        <f t="shared" si="4"/>
        <v>0</v>
      </c>
      <c r="I31" s="1190">
        <f t="shared" si="4"/>
        <v>0</v>
      </c>
      <c r="J31" s="1201">
        <f t="shared" si="4"/>
        <v>0</v>
      </c>
      <c r="K31" s="1189">
        <f t="shared" si="4"/>
        <v>0</v>
      </c>
      <c r="L31" s="1190">
        <f t="shared" si="4"/>
        <v>0</v>
      </c>
    </row>
    <row r="32" spans="1:12" ht="16.5" thickBot="1">
      <c r="A32" s="1139">
        <f t="shared" si="1"/>
        <v>27</v>
      </c>
      <c r="B32" s="3054" t="s">
        <v>4222</v>
      </c>
      <c r="C32" s="3055"/>
      <c r="D32" s="1224">
        <f>D25+D31</f>
        <v>0</v>
      </c>
      <c r="E32" s="1225">
        <f>E25+E31</f>
        <v>0</v>
      </c>
      <c r="F32" s="1226">
        <f>F25+F31</f>
        <v>0</v>
      </c>
      <c r="G32" s="1225">
        <f t="shared" ref="G32:L32" si="5">G31</f>
        <v>0</v>
      </c>
      <c r="H32" s="1227">
        <f t="shared" si="5"/>
        <v>0</v>
      </c>
      <c r="I32" s="1226">
        <f t="shared" si="5"/>
        <v>0</v>
      </c>
      <c r="J32" s="1228">
        <f t="shared" si="5"/>
        <v>0</v>
      </c>
      <c r="K32" s="1227">
        <f t="shared" si="5"/>
        <v>0</v>
      </c>
      <c r="L32" s="1229">
        <f t="shared" si="5"/>
        <v>0</v>
      </c>
    </row>
    <row r="33" spans="1:12">
      <c r="A33" s="1199">
        <f t="shared" si="1"/>
        <v>28</v>
      </c>
      <c r="B33" s="3050" t="s">
        <v>4191</v>
      </c>
      <c r="C33" s="1171" t="s">
        <v>4185</v>
      </c>
      <c r="D33" s="29">
        <f>'表16-1-1'!N115</f>
        <v>0</v>
      </c>
      <c r="E33" s="1230">
        <f>'表16-1-1'!O115</f>
        <v>0</v>
      </c>
      <c r="F33" s="29">
        <f>'表16-1-1'!P115</f>
        <v>0</v>
      </c>
      <c r="G33" s="1231">
        <f>'表16-1-1'!N122</f>
        <v>0</v>
      </c>
      <c r="H33" s="1232">
        <f>'表16-1-1'!O122</f>
        <v>0</v>
      </c>
      <c r="I33" s="1233">
        <f>'表16-1-1'!P122</f>
        <v>0</v>
      </c>
      <c r="J33" s="1234">
        <f>'表16-1-1'!N129</f>
        <v>0</v>
      </c>
      <c r="K33" s="1232">
        <f>'表16-1-1'!O129</f>
        <v>0</v>
      </c>
      <c r="L33" s="1233">
        <f>'表16-1-1'!P129</f>
        <v>0</v>
      </c>
    </row>
    <row r="34" spans="1:12">
      <c r="A34" s="1133">
        <f t="shared" si="1"/>
        <v>29</v>
      </c>
      <c r="B34" s="3051"/>
      <c r="C34" s="1134" t="s">
        <v>4195</v>
      </c>
      <c r="D34" s="1235">
        <f>'表16-1-2'!M89</f>
        <v>0</v>
      </c>
      <c r="E34" s="1182"/>
      <c r="F34" s="1236">
        <f>'表16-1-2'!N89</f>
        <v>0</v>
      </c>
      <c r="G34" s="1181">
        <f>'表16-1-2'!M96</f>
        <v>0</v>
      </c>
      <c r="H34" s="1182"/>
      <c r="I34" s="1183">
        <f>'表16-1-2'!N96</f>
        <v>0</v>
      </c>
      <c r="J34" s="1181">
        <f>'表16-1-2'!M103</f>
        <v>0</v>
      </c>
      <c r="K34" s="1182"/>
      <c r="L34" s="1183">
        <f>'表16-1-2'!N103</f>
        <v>0</v>
      </c>
    </row>
    <row r="35" spans="1:12">
      <c r="A35" s="1133">
        <f t="shared" si="1"/>
        <v>30</v>
      </c>
      <c r="B35" s="3051"/>
      <c r="C35" s="1134" t="s">
        <v>4196</v>
      </c>
      <c r="D35" s="29">
        <f>'表16-1-3'!N115</f>
        <v>0</v>
      </c>
      <c r="E35" s="1184">
        <f>'表16-1-3'!O115</f>
        <v>0</v>
      </c>
      <c r="F35" s="1183">
        <f>'表16-1-3'!P115</f>
        <v>0</v>
      </c>
      <c r="G35" s="1181">
        <f>'表16-1-3'!N122</f>
        <v>0</v>
      </c>
      <c r="H35" s="1184">
        <f>'表16-1-3'!O122</f>
        <v>0</v>
      </c>
      <c r="I35" s="1183">
        <f>'表16-1-3'!P122</f>
        <v>0</v>
      </c>
      <c r="J35" s="1181">
        <f>'表16-1-3'!N129</f>
        <v>0</v>
      </c>
      <c r="K35" s="1184">
        <f>'表16-1-3'!O129</f>
        <v>0</v>
      </c>
      <c r="L35" s="1183">
        <f>'表16-1-3'!P129</f>
        <v>0</v>
      </c>
    </row>
    <row r="36" spans="1:12">
      <c r="A36" s="1133">
        <f t="shared" si="1"/>
        <v>31</v>
      </c>
      <c r="B36" s="3051"/>
      <c r="C36" s="1134" t="s">
        <v>4186</v>
      </c>
      <c r="D36" s="1237">
        <f>'表16-1-4'!N93</f>
        <v>0</v>
      </c>
      <c r="E36" s="1184">
        <f>'表16-1-4'!O93</f>
        <v>0</v>
      </c>
      <c r="F36" s="1183">
        <f>'表16-1-4'!P93</f>
        <v>0</v>
      </c>
      <c r="G36" s="1181">
        <f>'表16-1-4'!N100</f>
        <v>0</v>
      </c>
      <c r="H36" s="1184">
        <f>'表16-1-4'!O100</f>
        <v>0</v>
      </c>
      <c r="I36" s="1183">
        <f>'表16-1-4'!P100</f>
        <v>0</v>
      </c>
      <c r="J36" s="1181">
        <f>'表16-1-4'!N107</f>
        <v>0</v>
      </c>
      <c r="K36" s="1184">
        <f>'表16-1-4'!O107</f>
        <v>0</v>
      </c>
      <c r="L36" s="1183">
        <f>'表16-1-4'!P107</f>
        <v>0</v>
      </c>
    </row>
    <row r="37" spans="1:12">
      <c r="A37" s="1133">
        <f t="shared" si="1"/>
        <v>32</v>
      </c>
      <c r="B37" s="3052"/>
      <c r="C37" s="1134" t="s">
        <v>4204</v>
      </c>
      <c r="D37" s="1237">
        <f>'表16-1-5'!N93</f>
        <v>0</v>
      </c>
      <c r="E37" s="1184">
        <f>'表16-1-5'!O93</f>
        <v>0</v>
      </c>
      <c r="F37" s="1183">
        <f>'表16-1-5'!P93</f>
        <v>0</v>
      </c>
      <c r="G37" s="1181">
        <f>'表16-1-5'!N100</f>
        <v>0</v>
      </c>
      <c r="H37" s="1184">
        <f>'表16-1-5'!O100</f>
        <v>0</v>
      </c>
      <c r="I37" s="1183">
        <f>'表16-1-5'!P100</f>
        <v>0</v>
      </c>
      <c r="J37" s="1181">
        <f>'表16-1-5'!N107</f>
        <v>0</v>
      </c>
      <c r="K37" s="1184">
        <f>'表16-1-5'!O107</f>
        <v>0</v>
      </c>
      <c r="L37" s="1183">
        <f>'表16-1-5'!P107</f>
        <v>0</v>
      </c>
    </row>
    <row r="38" spans="1:12" ht="17.25" thickBot="1">
      <c r="A38" s="1139">
        <f t="shared" si="1"/>
        <v>33</v>
      </c>
      <c r="B38" s="3053" t="s">
        <v>4223</v>
      </c>
      <c r="C38" s="3049"/>
      <c r="D38" s="1238">
        <f t="shared" ref="D38:L38" si="6">SUM(D33:D37)</f>
        <v>0</v>
      </c>
      <c r="E38" s="1189">
        <f t="shared" si="6"/>
        <v>0</v>
      </c>
      <c r="F38" s="1190">
        <f t="shared" si="6"/>
        <v>0</v>
      </c>
      <c r="G38" s="1201">
        <f t="shared" si="6"/>
        <v>0</v>
      </c>
      <c r="H38" s="1189">
        <f t="shared" si="6"/>
        <v>0</v>
      </c>
      <c r="I38" s="1190">
        <f t="shared" si="6"/>
        <v>0</v>
      </c>
      <c r="J38" s="1201">
        <f t="shared" si="6"/>
        <v>0</v>
      </c>
      <c r="K38" s="1189">
        <f t="shared" si="6"/>
        <v>0</v>
      </c>
      <c r="L38" s="1190">
        <f t="shared" si="6"/>
        <v>0</v>
      </c>
    </row>
    <row r="39" spans="1:12" ht="17.25" thickBot="1">
      <c r="A39" s="1161">
        <f t="shared" si="1"/>
        <v>34</v>
      </c>
      <c r="B39" s="3048" t="s">
        <v>4152</v>
      </c>
      <c r="C39" s="3049"/>
      <c r="D39" s="1239">
        <f t="shared" ref="D39:L39" si="7">D18+D32+D38</f>
        <v>0</v>
      </c>
      <c r="E39" s="1240">
        <f t="shared" si="7"/>
        <v>0</v>
      </c>
      <c r="F39" s="1241">
        <f t="shared" si="7"/>
        <v>0</v>
      </c>
      <c r="G39" s="1242">
        <f t="shared" si="7"/>
        <v>0</v>
      </c>
      <c r="H39" s="1240">
        <f t="shared" si="7"/>
        <v>0</v>
      </c>
      <c r="I39" s="1241">
        <f t="shared" si="7"/>
        <v>0</v>
      </c>
      <c r="J39" s="1242">
        <f t="shared" si="7"/>
        <v>0</v>
      </c>
      <c r="K39" s="1240">
        <f t="shared" si="7"/>
        <v>0</v>
      </c>
      <c r="L39" s="1241">
        <f t="shared" si="7"/>
        <v>0</v>
      </c>
    </row>
    <row r="40" spans="1:12" ht="6" customHeight="1">
      <c r="B40" s="26"/>
      <c r="C40" s="26"/>
      <c r="D40" s="1171"/>
      <c r="E40" s="26"/>
      <c r="F40" s="26"/>
      <c r="G40" s="26"/>
      <c r="H40" s="26"/>
      <c r="I40" s="26"/>
      <c r="J40" s="26"/>
      <c r="K40" s="26"/>
      <c r="L40" s="26"/>
    </row>
    <row r="41" spans="1:12" ht="16.5" customHeight="1">
      <c r="B41" s="26"/>
      <c r="C41" s="26"/>
      <c r="D41" s="26"/>
      <c r="E41" s="26"/>
      <c r="F41" s="26"/>
      <c r="G41" s="26"/>
      <c r="H41" s="26"/>
      <c r="I41" s="26"/>
      <c r="J41" s="26"/>
      <c r="K41" s="26"/>
      <c r="L41" s="26"/>
    </row>
    <row r="42" spans="1:12" ht="16.5" customHeight="1">
      <c r="A42" s="1243" t="s">
        <v>1212</v>
      </c>
      <c r="B42" s="33"/>
      <c r="C42" s="33"/>
      <c r="D42" s="33"/>
      <c r="E42" s="33"/>
      <c r="F42" s="33"/>
      <c r="G42" s="33"/>
      <c r="H42" s="26"/>
      <c r="I42" s="26"/>
      <c r="J42" s="26"/>
      <c r="K42" s="26"/>
      <c r="L42" s="26"/>
    </row>
    <row r="43" spans="1:12" ht="81" customHeight="1">
      <c r="A43" s="3033" t="s">
        <v>4224</v>
      </c>
      <c r="B43" s="1244" t="s">
        <v>1203</v>
      </c>
      <c r="C43" s="1244" t="s">
        <v>1204</v>
      </c>
      <c r="D43" s="1244" t="s">
        <v>1205</v>
      </c>
      <c r="E43" s="1245" t="s">
        <v>1206</v>
      </c>
      <c r="F43" s="1245" t="s">
        <v>1207</v>
      </c>
      <c r="G43" s="1245" t="s">
        <v>1208</v>
      </c>
      <c r="H43" s="26"/>
      <c r="I43" s="26"/>
      <c r="J43" s="26"/>
      <c r="K43" s="26"/>
      <c r="L43" s="26"/>
    </row>
    <row r="44" spans="1:12" ht="16.5" customHeight="1">
      <c r="A44" s="3033"/>
      <c r="B44" s="1246" t="s">
        <v>131</v>
      </c>
      <c r="C44" s="1247" t="s">
        <v>1209</v>
      </c>
      <c r="D44" s="1247" t="s">
        <v>1210</v>
      </c>
      <c r="E44" s="1247" t="s">
        <v>193</v>
      </c>
      <c r="F44" s="1247" t="s">
        <v>564</v>
      </c>
      <c r="G44" s="1247" t="s">
        <v>1211</v>
      </c>
      <c r="H44" s="26"/>
      <c r="I44" s="26"/>
      <c r="J44" s="26"/>
      <c r="K44" s="26"/>
      <c r="L44" s="26"/>
    </row>
    <row r="45" spans="1:12" ht="16.5" customHeight="1">
      <c r="A45" s="479">
        <v>35</v>
      </c>
      <c r="B45" s="481">
        <f>ROUND(D21*50%,0)</f>
        <v>0</v>
      </c>
      <c r="C45" s="480">
        <f>ROUND(D24*65%,0)</f>
        <v>0</v>
      </c>
      <c r="D45" s="480">
        <f>B45+C45</f>
        <v>0</v>
      </c>
      <c r="E45" s="480">
        <f>ROUND(('表10-4'!G8+'表10-4'!G27)*15%,0)</f>
        <v>0</v>
      </c>
      <c r="F45" s="1248"/>
      <c r="G45" s="480">
        <f>IF(D25&lt;=E45,D45,IF(F45="Y",D45,ROUND(E45*D21/D25*50%+E45*(1-D21/D25)*65%,0)))</f>
        <v>0</v>
      </c>
      <c r="H45" s="26"/>
      <c r="I45" s="26"/>
      <c r="J45" s="26"/>
      <c r="K45" s="26"/>
      <c r="L45" s="26"/>
    </row>
    <row r="46" spans="1:12" ht="16.5" customHeight="1">
      <c r="B46" s="26"/>
      <c r="C46" s="26"/>
      <c r="D46" s="26"/>
      <c r="E46" s="26"/>
      <c r="F46" s="26"/>
      <c r="G46" s="26"/>
      <c r="H46" s="26"/>
      <c r="I46" s="26"/>
      <c r="J46" s="26"/>
      <c r="K46" s="26"/>
      <c r="L46" s="26"/>
    </row>
    <row r="47" spans="1:12" ht="16.5">
      <c r="A47" s="1150" t="s">
        <v>3483</v>
      </c>
      <c r="B47" s="26"/>
      <c r="C47" s="26"/>
      <c r="D47" s="26"/>
      <c r="E47" s="26"/>
      <c r="F47" s="26"/>
      <c r="G47" s="26"/>
      <c r="H47" s="26"/>
      <c r="I47" s="26"/>
      <c r="J47" s="26"/>
      <c r="K47" s="26"/>
      <c r="L47" s="26"/>
    </row>
    <row r="48" spans="1:12">
      <c r="A48" s="1151">
        <v>1</v>
      </c>
      <c r="B48" s="26" t="s">
        <v>4193</v>
      </c>
      <c r="D48" s="26"/>
      <c r="E48" s="26"/>
      <c r="F48" s="26"/>
      <c r="G48" s="26"/>
      <c r="H48" s="26"/>
      <c r="I48" s="26"/>
      <c r="J48" s="26"/>
      <c r="K48" s="26"/>
      <c r="L48" s="26"/>
    </row>
    <row r="49" spans="1:12">
      <c r="A49" s="26">
        <v>2</v>
      </c>
      <c r="B49" s="26" t="s">
        <v>4225</v>
      </c>
      <c r="D49" s="26"/>
      <c r="E49" s="26"/>
      <c r="F49" s="26"/>
      <c r="G49" s="26"/>
      <c r="H49" s="26"/>
      <c r="I49" s="26"/>
      <c r="J49" s="26"/>
      <c r="K49" s="26"/>
      <c r="L49" s="26"/>
    </row>
    <row r="50" spans="1:12">
      <c r="A50" s="1117">
        <v>3</v>
      </c>
      <c r="B50" s="26" t="s">
        <v>4226</v>
      </c>
    </row>
    <row r="51" spans="1:12">
      <c r="A51" s="26">
        <v>4</v>
      </c>
      <c r="B51" s="26" t="s">
        <v>4227</v>
      </c>
    </row>
    <row r="52" spans="1:12">
      <c r="A52" s="26"/>
      <c r="B52" s="26" t="s">
        <v>4228</v>
      </c>
    </row>
    <row r="53" spans="1:12">
      <c r="A53" s="1117">
        <v>5</v>
      </c>
      <c r="B53" s="26" t="s">
        <v>4229</v>
      </c>
    </row>
    <row r="54" spans="1:12">
      <c r="A54" s="26">
        <v>6</v>
      </c>
      <c r="B54" s="26" t="s">
        <v>4230</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30"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heetViews>
  <sheetFormatPr defaultColWidth="9" defaultRowHeight="15.75"/>
  <cols>
    <col min="1" max="1" width="5.125" style="1117" customWidth="1"/>
    <col min="2" max="2" width="9" style="1117"/>
    <col min="3" max="3" width="10.625" style="1117" bestFit="1" customWidth="1"/>
    <col min="4" max="4" width="14.5" style="1117" customWidth="1"/>
    <col min="5" max="5" width="13" style="1117" customWidth="1"/>
    <col min="6" max="6" width="11.125" style="1117" customWidth="1"/>
    <col min="7" max="7" width="15.375" style="1117" customWidth="1"/>
    <col min="8" max="8" width="13.125" style="1117" customWidth="1"/>
    <col min="9" max="9" width="10.5" style="1117" customWidth="1"/>
    <col min="10" max="10" width="14.25" style="1117" customWidth="1"/>
    <col min="11" max="11" width="13.625" style="1117" customWidth="1"/>
    <col min="12" max="12" width="10.125" style="1117" customWidth="1"/>
    <col min="13" max="16384" width="9" style="1117"/>
  </cols>
  <sheetData>
    <row r="1" spans="1:13" ht="16.5">
      <c r="A1" s="2186" t="str">
        <f>+封面!A3&amp;" "&amp;封面!A2</f>
        <v xml:space="preserve"> 中央再保險股份有限公司 年度檢查報表</v>
      </c>
      <c r="B1" s="57"/>
      <c r="C1" s="57"/>
      <c r="D1" s="57"/>
      <c r="E1" s="57"/>
      <c r="F1" s="57"/>
      <c r="G1" s="57"/>
      <c r="H1" s="57"/>
      <c r="I1" s="57"/>
      <c r="J1" s="57"/>
      <c r="K1" s="57"/>
      <c r="L1" s="57"/>
      <c r="M1" s="57"/>
    </row>
    <row r="2" spans="1:13" ht="16.5" thickBot="1">
      <c r="A2" s="1118" t="s">
        <v>4194</v>
      </c>
      <c r="B2" s="1118"/>
      <c r="C2" s="57"/>
      <c r="D2" s="57"/>
      <c r="E2" s="57"/>
      <c r="F2" s="57"/>
      <c r="G2" s="57"/>
      <c r="H2" s="57"/>
      <c r="I2" s="57"/>
      <c r="J2" s="57" t="s">
        <v>4176</v>
      </c>
      <c r="K2" s="57"/>
      <c r="L2" s="57"/>
      <c r="M2" s="57"/>
    </row>
    <row r="3" spans="1:13" ht="16.5" customHeight="1">
      <c r="A3" s="3059" t="s">
        <v>3625</v>
      </c>
      <c r="B3" s="3062" t="s">
        <v>4177</v>
      </c>
      <c r="C3" s="3063"/>
      <c r="D3" s="3062" t="s">
        <v>4178</v>
      </c>
      <c r="E3" s="3067"/>
      <c r="F3" s="3067"/>
      <c r="G3" s="3068" t="s">
        <v>4179</v>
      </c>
      <c r="H3" s="3067"/>
      <c r="I3" s="3069"/>
      <c r="J3" s="3064" t="s">
        <v>4180</v>
      </c>
      <c r="K3" s="3062"/>
      <c r="L3" s="3065"/>
    </row>
    <row r="4" spans="1:13" ht="28.5">
      <c r="A4" s="3060"/>
      <c r="B4" s="2912"/>
      <c r="C4" s="2899"/>
      <c r="D4" s="1119" t="s">
        <v>4181</v>
      </c>
      <c r="E4" s="1120" t="s">
        <v>4182</v>
      </c>
      <c r="F4" s="1119" t="s">
        <v>4183</v>
      </c>
      <c r="G4" s="1119" t="s">
        <v>4181</v>
      </c>
      <c r="H4" s="1120" t="s">
        <v>4182</v>
      </c>
      <c r="I4" s="1119" t="s">
        <v>4183</v>
      </c>
      <c r="J4" s="1121" t="s">
        <v>4181</v>
      </c>
      <c r="K4" s="1120" t="s">
        <v>4182</v>
      </c>
      <c r="L4" s="1122" t="s">
        <v>4183</v>
      </c>
    </row>
    <row r="5" spans="1:13" ht="16.5" thickBot="1">
      <c r="A5" s="3061"/>
      <c r="B5" s="2949" t="s">
        <v>66</v>
      </c>
      <c r="C5" s="3066"/>
      <c r="D5" s="1152" t="s">
        <v>67</v>
      </c>
      <c r="E5" s="1123" t="s">
        <v>1227</v>
      </c>
      <c r="F5" s="1125" t="s">
        <v>1228</v>
      </c>
      <c r="G5" s="1153" t="s">
        <v>1229</v>
      </c>
      <c r="H5" s="1123" t="s">
        <v>1230</v>
      </c>
      <c r="I5" s="1125" t="s">
        <v>1231</v>
      </c>
      <c r="J5" s="1124" t="s">
        <v>1232</v>
      </c>
      <c r="K5" s="1123" t="s">
        <v>1233</v>
      </c>
      <c r="L5" s="1125" t="s">
        <v>1234</v>
      </c>
    </row>
    <row r="6" spans="1:13">
      <c r="A6" s="1126">
        <v>1</v>
      </c>
      <c r="B6" s="3038" t="s">
        <v>4184</v>
      </c>
      <c r="C6" s="1154" t="s">
        <v>4185</v>
      </c>
      <c r="D6" s="1128"/>
      <c r="E6" s="1128"/>
      <c r="F6" s="1128"/>
      <c r="G6" s="1129">
        <f>'表16-1-1'!N137</f>
        <v>0</v>
      </c>
      <c r="H6" s="1129">
        <f>'表16-1-1'!O137</f>
        <v>0</v>
      </c>
      <c r="I6" s="1129">
        <f>'表16-1-1'!P137</f>
        <v>0</v>
      </c>
      <c r="J6" s="1131">
        <f>'表16-1-1'!N144</f>
        <v>0</v>
      </c>
      <c r="K6" s="1131">
        <f>'表16-1-1'!O144</f>
        <v>0</v>
      </c>
      <c r="L6" s="1132">
        <f>'表16-1-1'!P144</f>
        <v>0</v>
      </c>
    </row>
    <row r="7" spans="1:13">
      <c r="A7" s="1133">
        <v>2</v>
      </c>
      <c r="B7" s="3039"/>
      <c r="C7" s="1155" t="s">
        <v>4195</v>
      </c>
      <c r="D7" s="1135"/>
      <c r="E7" s="1135"/>
      <c r="F7" s="1135"/>
      <c r="G7" s="1136">
        <f>'表16-1-2'!M111</f>
        <v>0</v>
      </c>
      <c r="H7" s="1156"/>
      <c r="I7" s="1157">
        <f>'表16-1-2'!N111</f>
        <v>0</v>
      </c>
      <c r="J7" s="1157">
        <f>'表16-1-2'!M118</f>
        <v>0</v>
      </c>
      <c r="K7" s="1156"/>
      <c r="L7" s="1138">
        <f>'表16-1-2'!N118</f>
        <v>0</v>
      </c>
    </row>
    <row r="8" spans="1:13" ht="23.25" customHeight="1">
      <c r="A8" s="1133">
        <v>3</v>
      </c>
      <c r="B8" s="2978"/>
      <c r="C8" s="1155" t="s">
        <v>4196</v>
      </c>
      <c r="D8" s="1135"/>
      <c r="E8" s="1135"/>
      <c r="F8" s="1135"/>
      <c r="G8" s="1136">
        <f>'表16-1-3'!N137</f>
        <v>0</v>
      </c>
      <c r="H8" s="1136">
        <f>'表16-1-3'!O137</f>
        <v>0</v>
      </c>
      <c r="I8" s="1136">
        <f>'表16-1-3'!P137</f>
        <v>0</v>
      </c>
      <c r="J8" s="1136">
        <f>'表16-1-3'!N144</f>
        <v>0</v>
      </c>
      <c r="K8" s="1136">
        <f>'表16-1-3'!O144</f>
        <v>0</v>
      </c>
      <c r="L8" s="1138">
        <f>'表16-1-3'!P144</f>
        <v>0</v>
      </c>
    </row>
    <row r="9" spans="1:13">
      <c r="A9" s="1133">
        <v>4</v>
      </c>
      <c r="B9" s="2978"/>
      <c r="C9" s="1155" t="s">
        <v>4187</v>
      </c>
      <c r="D9" s="1135"/>
      <c r="E9" s="1135"/>
      <c r="F9" s="1135"/>
      <c r="G9" s="1136">
        <f>'表16-1-5'!N115</f>
        <v>0</v>
      </c>
      <c r="H9" s="1136">
        <f>'表16-1-5'!O115</f>
        <v>0</v>
      </c>
      <c r="I9" s="1136">
        <f>'表16-1-5'!P115</f>
        <v>0</v>
      </c>
      <c r="J9" s="1136">
        <f>'表16-1-5'!N122</f>
        <v>0</v>
      </c>
      <c r="K9" s="1136">
        <f>'表16-1-5'!O122</f>
        <v>0</v>
      </c>
      <c r="L9" s="1138">
        <f>'表16-1-5'!P122</f>
        <v>0</v>
      </c>
    </row>
    <row r="10" spans="1:13" ht="16.5" thickBot="1">
      <c r="A10" s="1139">
        <v>5</v>
      </c>
      <c r="B10" s="3040"/>
      <c r="C10" s="1158" t="s">
        <v>4188</v>
      </c>
      <c r="D10" s="1141"/>
      <c r="E10" s="1141"/>
      <c r="F10" s="1141"/>
      <c r="G10" s="1142">
        <f t="shared" ref="G10:L10" si="0">SUM(G6:G9)</f>
        <v>0</v>
      </c>
      <c r="H10" s="1142">
        <f t="shared" si="0"/>
        <v>0</v>
      </c>
      <c r="I10" s="1142">
        <f t="shared" si="0"/>
        <v>0</v>
      </c>
      <c r="J10" s="1142">
        <f t="shared" si="0"/>
        <v>0</v>
      </c>
      <c r="K10" s="1142">
        <f t="shared" si="0"/>
        <v>0</v>
      </c>
      <c r="L10" s="1144">
        <f t="shared" si="0"/>
        <v>0</v>
      </c>
    </row>
    <row r="11" spans="1:13">
      <c r="A11" s="1126">
        <v>6</v>
      </c>
      <c r="B11" s="3038" t="s">
        <v>4189</v>
      </c>
      <c r="C11" s="1154" t="s">
        <v>4185</v>
      </c>
      <c r="D11" s="1131">
        <f>'表16-1-1'!N151</f>
        <v>0</v>
      </c>
      <c r="E11" s="1131">
        <f>'表16-1-1'!O151</f>
        <v>0</v>
      </c>
      <c r="F11" s="1131">
        <f>'表16-1-1'!P151</f>
        <v>0</v>
      </c>
      <c r="G11" s="1131">
        <f>'表16-1-1'!N158</f>
        <v>0</v>
      </c>
      <c r="H11" s="1131">
        <f>'表16-1-1'!O158</f>
        <v>0</v>
      </c>
      <c r="I11" s="1131">
        <f>'表16-1-1'!P158</f>
        <v>0</v>
      </c>
      <c r="J11" s="1131">
        <f>'表16-1-1'!N165</f>
        <v>0</v>
      </c>
      <c r="K11" s="1131">
        <f>'表16-1-1'!O165</f>
        <v>0</v>
      </c>
      <c r="L11" s="1132">
        <f>'表16-1-1'!P165</f>
        <v>0</v>
      </c>
    </row>
    <row r="12" spans="1:13">
      <c r="A12" s="1133">
        <v>7</v>
      </c>
      <c r="B12" s="3039"/>
      <c r="C12" s="1155" t="s">
        <v>4195</v>
      </c>
      <c r="D12" s="1136">
        <f>'表16-1-2'!M125</f>
        <v>0</v>
      </c>
      <c r="E12" s="1156"/>
      <c r="F12" s="1157">
        <f>'表16-1-2'!N125</f>
        <v>0</v>
      </c>
      <c r="G12" s="1157">
        <f>'表16-1-2'!M132</f>
        <v>0</v>
      </c>
      <c r="H12" s="1156"/>
      <c r="I12" s="1157">
        <f>'表16-1-2'!N132</f>
        <v>0</v>
      </c>
      <c r="J12" s="1157">
        <f>'表16-1-2'!M139</f>
        <v>0</v>
      </c>
      <c r="K12" s="1156"/>
      <c r="L12" s="1138">
        <f>'表16-1-2'!N139</f>
        <v>0</v>
      </c>
    </row>
    <row r="13" spans="1:13">
      <c r="A13" s="1133">
        <v>8</v>
      </c>
      <c r="B13" s="3039"/>
      <c r="C13" s="1155" t="s">
        <v>4196</v>
      </c>
      <c r="D13" s="1136">
        <f>'表16-1-3'!N151</f>
        <v>0</v>
      </c>
      <c r="E13" s="1136">
        <f>'表16-1-3'!O151</f>
        <v>0</v>
      </c>
      <c r="F13" s="1136">
        <f>'表16-1-3'!P151</f>
        <v>0</v>
      </c>
      <c r="G13" s="1136">
        <f>'表16-1-3'!N158</f>
        <v>0</v>
      </c>
      <c r="H13" s="1136">
        <f>'表16-1-3'!O158</f>
        <v>0</v>
      </c>
      <c r="I13" s="1136">
        <f>'表16-1-3'!P158</f>
        <v>0</v>
      </c>
      <c r="J13" s="1136">
        <f>'表16-1-3'!N165</f>
        <v>0</v>
      </c>
      <c r="K13" s="1136">
        <f>'表16-1-3'!O165</f>
        <v>0</v>
      </c>
      <c r="L13" s="1138">
        <f>'表16-1-3'!P165</f>
        <v>0</v>
      </c>
    </row>
    <row r="14" spans="1:13">
      <c r="A14" s="1133">
        <v>9</v>
      </c>
      <c r="B14" s="3039"/>
      <c r="C14" s="1155" t="s">
        <v>4187</v>
      </c>
      <c r="D14" s="1136">
        <f>'表16-1-5'!N129</f>
        <v>0</v>
      </c>
      <c r="E14" s="1136">
        <f>'表16-1-5'!O129</f>
        <v>0</v>
      </c>
      <c r="F14" s="1136">
        <f>'表16-1-5'!P129</f>
        <v>0</v>
      </c>
      <c r="G14" s="1136">
        <f>'表16-1-5'!N136</f>
        <v>0</v>
      </c>
      <c r="H14" s="1136">
        <f>'表16-1-5'!O136</f>
        <v>0</v>
      </c>
      <c r="I14" s="1136">
        <f>'表16-1-5'!P136</f>
        <v>0</v>
      </c>
      <c r="J14" s="1136">
        <f>'表16-1-5'!N143</f>
        <v>0</v>
      </c>
      <c r="K14" s="1136">
        <f>'表16-1-5'!O143</f>
        <v>0</v>
      </c>
      <c r="L14" s="1138">
        <f>'表16-1-5'!P143</f>
        <v>0</v>
      </c>
    </row>
    <row r="15" spans="1:13" ht="16.5" thickBot="1">
      <c r="A15" s="1139">
        <v>10</v>
      </c>
      <c r="B15" s="3056"/>
      <c r="C15" s="1158" t="s">
        <v>4190</v>
      </c>
      <c r="D15" s="1142">
        <f t="shared" ref="D15:L15" si="1">SUM(D11:D14)</f>
        <v>0</v>
      </c>
      <c r="E15" s="1142">
        <f t="shared" si="1"/>
        <v>0</v>
      </c>
      <c r="F15" s="1142">
        <f t="shared" si="1"/>
        <v>0</v>
      </c>
      <c r="G15" s="1142">
        <f t="shared" si="1"/>
        <v>0</v>
      </c>
      <c r="H15" s="1142">
        <f t="shared" si="1"/>
        <v>0</v>
      </c>
      <c r="I15" s="1142">
        <f t="shared" si="1"/>
        <v>0</v>
      </c>
      <c r="J15" s="1142">
        <f t="shared" si="1"/>
        <v>0</v>
      </c>
      <c r="K15" s="1142">
        <f t="shared" si="1"/>
        <v>0</v>
      </c>
      <c r="L15" s="1144">
        <f t="shared" si="1"/>
        <v>0</v>
      </c>
    </row>
    <row r="16" spans="1:13">
      <c r="A16" s="1126">
        <v>11</v>
      </c>
      <c r="B16" s="3038" t="s">
        <v>4191</v>
      </c>
      <c r="C16" s="1154" t="s">
        <v>4185</v>
      </c>
      <c r="D16" s="1129">
        <f xml:space="preserve"> '表16-1-1'!N172</f>
        <v>0</v>
      </c>
      <c r="E16" s="1129">
        <f xml:space="preserve"> '表16-1-1'!O172</f>
        <v>0</v>
      </c>
      <c r="F16" s="1129">
        <f xml:space="preserve"> '表16-1-1'!P172</f>
        <v>0</v>
      </c>
      <c r="G16" s="1131">
        <f>'表16-1-1'!N179</f>
        <v>0</v>
      </c>
      <c r="H16" s="1131">
        <f>'表16-1-1'!O179</f>
        <v>0</v>
      </c>
      <c r="I16" s="1131">
        <f>'表16-1-1'!P179</f>
        <v>0</v>
      </c>
      <c r="J16" s="1131">
        <f>'表16-1-1'!N186</f>
        <v>0</v>
      </c>
      <c r="K16" s="1131">
        <f>'表16-1-1'!O186</f>
        <v>0</v>
      </c>
      <c r="L16" s="1132">
        <f>'表16-1-1'!P186</f>
        <v>0</v>
      </c>
    </row>
    <row r="17" spans="1:13">
      <c r="A17" s="1133">
        <v>12</v>
      </c>
      <c r="B17" s="3039"/>
      <c r="C17" s="1155" t="s">
        <v>4195</v>
      </c>
      <c r="D17" s="1159">
        <f>'表16-1-2'!M146</f>
        <v>0</v>
      </c>
      <c r="E17" s="1156"/>
      <c r="F17" s="1160">
        <f>'表16-1-2'!N146</f>
        <v>0</v>
      </c>
      <c r="G17" s="1157">
        <f>'表16-1-2'!M153</f>
        <v>0</v>
      </c>
      <c r="H17" s="1156"/>
      <c r="I17" s="1157">
        <f>'表16-1-2'!N153</f>
        <v>0</v>
      </c>
      <c r="J17" s="1157">
        <f>'表16-1-2'!M160</f>
        <v>0</v>
      </c>
      <c r="K17" s="1156"/>
      <c r="L17" s="1138">
        <f>'表16-1-2'!N160</f>
        <v>0</v>
      </c>
    </row>
    <row r="18" spans="1:13">
      <c r="A18" s="1133">
        <v>13</v>
      </c>
      <c r="B18" s="3039"/>
      <c r="C18" s="1155" t="s">
        <v>4196</v>
      </c>
      <c r="D18" s="1136">
        <f>'表16-1-3'!N172</f>
        <v>0</v>
      </c>
      <c r="E18" s="1136">
        <f>'表16-1-3'!O172</f>
        <v>0</v>
      </c>
      <c r="F18" s="1136">
        <f>'表16-1-3'!P172</f>
        <v>0</v>
      </c>
      <c r="G18" s="1136">
        <f>'表16-1-3'!N179</f>
        <v>0</v>
      </c>
      <c r="H18" s="1136">
        <f>'表16-1-3'!O179</f>
        <v>0</v>
      </c>
      <c r="I18" s="1136">
        <f>'表16-1-3'!P179</f>
        <v>0</v>
      </c>
      <c r="J18" s="1136">
        <f>'表16-1-3'!N186</f>
        <v>0</v>
      </c>
      <c r="K18" s="1136">
        <f>'表16-1-3'!O186</f>
        <v>0</v>
      </c>
      <c r="L18" s="1138">
        <f>'表16-1-3'!P186</f>
        <v>0</v>
      </c>
    </row>
    <row r="19" spans="1:13">
      <c r="A19" s="1133">
        <v>14</v>
      </c>
      <c r="B19" s="3039"/>
      <c r="C19" s="1155" t="s">
        <v>4187</v>
      </c>
      <c r="D19" s="1136">
        <f>'表16-1-5'!N150</f>
        <v>0</v>
      </c>
      <c r="E19" s="1136">
        <f>'表16-1-5'!O150</f>
        <v>0</v>
      </c>
      <c r="F19" s="1136">
        <f>'表16-1-5'!P150</f>
        <v>0</v>
      </c>
      <c r="G19" s="1136">
        <f>'表16-1-5'!N157</f>
        <v>0</v>
      </c>
      <c r="H19" s="1136">
        <f>'表16-1-5'!O157</f>
        <v>0</v>
      </c>
      <c r="I19" s="1136">
        <f>'表16-1-5'!P157</f>
        <v>0</v>
      </c>
      <c r="J19" s="1136">
        <f>'表16-1-5'!N164</f>
        <v>0</v>
      </c>
      <c r="K19" s="1136">
        <f>'表16-1-5'!O164</f>
        <v>0</v>
      </c>
      <c r="L19" s="1138">
        <f>'表16-1-5'!P164</f>
        <v>0</v>
      </c>
    </row>
    <row r="20" spans="1:13" ht="16.5" thickBot="1">
      <c r="A20" s="1139">
        <v>15</v>
      </c>
      <c r="B20" s="3056"/>
      <c r="C20" s="1158" t="s">
        <v>4192</v>
      </c>
      <c r="D20" s="1142">
        <f t="shared" ref="D20:L20" si="2">SUM(D16:D19)</f>
        <v>0</v>
      </c>
      <c r="E20" s="1142">
        <f t="shared" si="2"/>
        <v>0</v>
      </c>
      <c r="F20" s="1142">
        <f t="shared" si="2"/>
        <v>0</v>
      </c>
      <c r="G20" s="1142">
        <f t="shared" si="2"/>
        <v>0</v>
      </c>
      <c r="H20" s="1142">
        <f t="shared" si="2"/>
        <v>0</v>
      </c>
      <c r="I20" s="1142">
        <f t="shared" si="2"/>
        <v>0</v>
      </c>
      <c r="J20" s="1142">
        <f t="shared" si="2"/>
        <v>0</v>
      </c>
      <c r="K20" s="1142">
        <f t="shared" si="2"/>
        <v>0</v>
      </c>
      <c r="L20" s="1144">
        <f t="shared" si="2"/>
        <v>0</v>
      </c>
    </row>
    <row r="21" spans="1:13" ht="16.5" thickBot="1">
      <c r="A21" s="1161">
        <v>16</v>
      </c>
      <c r="B21" s="3057" t="s">
        <v>4152</v>
      </c>
      <c r="C21" s="3058"/>
      <c r="D21" s="1162">
        <f t="shared" ref="D21:L21" si="3">D20+D15+D10</f>
        <v>0</v>
      </c>
      <c r="E21" s="1163">
        <f t="shared" si="3"/>
        <v>0</v>
      </c>
      <c r="F21" s="1164">
        <f t="shared" si="3"/>
        <v>0</v>
      </c>
      <c r="G21" s="1162">
        <f t="shared" si="3"/>
        <v>0</v>
      </c>
      <c r="H21" s="1147">
        <f t="shared" si="3"/>
        <v>0</v>
      </c>
      <c r="I21" s="1147">
        <f t="shared" si="3"/>
        <v>0</v>
      </c>
      <c r="J21" s="1146">
        <f t="shared" si="3"/>
        <v>0</v>
      </c>
      <c r="K21" s="1147">
        <f t="shared" si="3"/>
        <v>0</v>
      </c>
      <c r="L21" s="1149">
        <f t="shared" si="3"/>
        <v>0</v>
      </c>
    </row>
    <row r="22" spans="1:13">
      <c r="B22" s="26"/>
      <c r="C22" s="26"/>
      <c r="D22" s="26"/>
      <c r="E22" s="26"/>
      <c r="F22" s="26"/>
      <c r="G22" s="26"/>
      <c r="H22" s="26"/>
      <c r="I22" s="26"/>
      <c r="J22" s="26"/>
      <c r="K22" s="26"/>
      <c r="L22" s="26"/>
      <c r="M22" s="26"/>
    </row>
    <row r="23" spans="1:13" ht="16.5">
      <c r="A23" s="1150" t="s">
        <v>3483</v>
      </c>
      <c r="B23" s="26" t="s">
        <v>4193</v>
      </c>
      <c r="D23" s="26"/>
      <c r="E23" s="26"/>
      <c r="F23" s="26"/>
      <c r="G23" s="26"/>
      <c r="H23" s="26"/>
      <c r="I23" s="26"/>
      <c r="J23" s="26"/>
      <c r="K23" s="26"/>
      <c r="L23" s="26"/>
      <c r="M23" s="26"/>
    </row>
    <row r="24" spans="1:13">
      <c r="A24" s="1151"/>
      <c r="D24" s="26"/>
      <c r="E24" s="26"/>
      <c r="F24" s="26"/>
      <c r="G24" s="26"/>
      <c r="H24" s="26"/>
      <c r="I24" s="26"/>
      <c r="J24" s="26"/>
      <c r="K24" s="26"/>
      <c r="L24" s="26"/>
    </row>
    <row r="25" spans="1:13">
      <c r="A25" s="26"/>
      <c r="B25" s="26"/>
      <c r="C25" s="26"/>
      <c r="D25" s="26"/>
      <c r="E25" s="26"/>
      <c r="F25" s="26"/>
      <c r="G25" s="26"/>
      <c r="H25" s="26"/>
      <c r="I25" s="26"/>
      <c r="J25" s="26"/>
      <c r="K25" s="26"/>
      <c r="L25" s="26"/>
      <c r="M25" s="26"/>
    </row>
    <row r="26" spans="1:13">
      <c r="A26" s="26"/>
      <c r="B26" s="26"/>
      <c r="C26" s="26"/>
      <c r="D26" s="26"/>
      <c r="E26" s="26"/>
      <c r="F26" s="26"/>
      <c r="G26" s="26"/>
      <c r="H26" s="26"/>
      <c r="I26" s="26"/>
      <c r="J26" s="26"/>
      <c r="K26" s="26"/>
      <c r="L26" s="26"/>
      <c r="M26" s="26"/>
    </row>
  </sheetData>
  <mergeCells count="10">
    <mergeCell ref="B16:B20"/>
    <mergeCell ref="B21:C21"/>
    <mergeCell ref="A3:A5"/>
    <mergeCell ref="B3:C4"/>
    <mergeCell ref="J3:L3"/>
    <mergeCell ref="B11:B15"/>
    <mergeCell ref="B5:C5"/>
    <mergeCell ref="B6:B10"/>
    <mergeCell ref="D3:F3"/>
    <mergeCell ref="G3:I3"/>
  </mergeCells>
  <phoneticPr fontId="30"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heetViews>
  <sheetFormatPr defaultColWidth="9" defaultRowHeight="15.75"/>
  <cols>
    <col min="1" max="1" width="5.125" style="1117" customWidth="1"/>
    <col min="2" max="2" width="9" style="1117"/>
    <col min="3" max="3" width="10.625" style="1117" bestFit="1" customWidth="1"/>
    <col min="4" max="4" width="14.5" style="1117" customWidth="1"/>
    <col min="5" max="5" width="13" style="1117" customWidth="1"/>
    <col min="6" max="6" width="11.125" style="1117" customWidth="1"/>
    <col min="7" max="7" width="15.375" style="1117" customWidth="1"/>
    <col min="8" max="8" width="13.125" style="1117" customWidth="1"/>
    <col min="9" max="9" width="10.5" style="1117" customWidth="1"/>
    <col min="10" max="10" width="14.25" style="1117" customWidth="1"/>
    <col min="11" max="11" width="13.625" style="1117" customWidth="1"/>
    <col min="12" max="12" width="10.125" style="1117" customWidth="1"/>
    <col min="13" max="16384" width="9" style="1117"/>
  </cols>
  <sheetData>
    <row r="1" spans="1:13" ht="16.5">
      <c r="A1" s="2186" t="str">
        <f>+封面!A3&amp;" "&amp;封面!A2</f>
        <v xml:space="preserve"> 中央再保險股份有限公司 年度檢查報表</v>
      </c>
      <c r="B1" s="57"/>
      <c r="C1" s="57"/>
      <c r="D1" s="57"/>
      <c r="E1" s="57"/>
      <c r="F1" s="57"/>
      <c r="G1" s="57"/>
      <c r="H1" s="57"/>
      <c r="I1" s="57"/>
      <c r="J1" s="57"/>
      <c r="K1" s="57"/>
      <c r="L1" s="57"/>
      <c r="M1" s="57"/>
    </row>
    <row r="2" spans="1:13" ht="16.5" thickBot="1">
      <c r="A2" s="1118" t="s">
        <v>4175</v>
      </c>
      <c r="B2" s="1118"/>
      <c r="C2" s="57"/>
      <c r="D2" s="57"/>
      <c r="E2" s="57"/>
      <c r="F2" s="57"/>
      <c r="G2" s="57"/>
      <c r="H2" s="57"/>
      <c r="I2" s="57"/>
      <c r="J2" s="57" t="s">
        <v>4176</v>
      </c>
      <c r="K2" s="57"/>
      <c r="L2" s="57"/>
      <c r="M2" s="57"/>
    </row>
    <row r="3" spans="1:13" ht="16.5" customHeight="1">
      <c r="A3" s="3059" t="s">
        <v>3625</v>
      </c>
      <c r="B3" s="3062" t="s">
        <v>4177</v>
      </c>
      <c r="C3" s="3063"/>
      <c r="D3" s="3062" t="s">
        <v>4178</v>
      </c>
      <c r="E3" s="3067"/>
      <c r="F3" s="3067"/>
      <c r="G3" s="3064" t="s">
        <v>4179</v>
      </c>
      <c r="H3" s="3067"/>
      <c r="I3" s="3069"/>
      <c r="J3" s="3064" t="s">
        <v>4180</v>
      </c>
      <c r="K3" s="3062"/>
      <c r="L3" s="3065"/>
    </row>
    <row r="4" spans="1:13" ht="28.5">
      <c r="A4" s="3060"/>
      <c r="B4" s="2912"/>
      <c r="C4" s="2899"/>
      <c r="D4" s="1119" t="s">
        <v>4181</v>
      </c>
      <c r="E4" s="1120" t="s">
        <v>4182</v>
      </c>
      <c r="F4" s="1119" t="s">
        <v>4183</v>
      </c>
      <c r="G4" s="1119" t="s">
        <v>4181</v>
      </c>
      <c r="H4" s="1120" t="s">
        <v>4182</v>
      </c>
      <c r="I4" s="1119" t="s">
        <v>4183</v>
      </c>
      <c r="J4" s="1121" t="s">
        <v>4181</v>
      </c>
      <c r="K4" s="1120" t="s">
        <v>4182</v>
      </c>
      <c r="L4" s="1122" t="s">
        <v>4183</v>
      </c>
    </row>
    <row r="5" spans="1:13" ht="16.5" thickBot="1">
      <c r="A5" s="3061"/>
      <c r="B5" s="2949" t="s">
        <v>66</v>
      </c>
      <c r="C5" s="3066"/>
      <c r="D5" s="1123" t="s">
        <v>67</v>
      </c>
      <c r="E5" s="1123" t="s">
        <v>68</v>
      </c>
      <c r="F5" s="1123" t="s">
        <v>69</v>
      </c>
      <c r="G5" s="1123" t="s">
        <v>70</v>
      </c>
      <c r="H5" s="1123" t="s">
        <v>71</v>
      </c>
      <c r="I5" s="1123" t="s">
        <v>72</v>
      </c>
      <c r="J5" s="1124" t="s">
        <v>73</v>
      </c>
      <c r="K5" s="1123" t="s">
        <v>74</v>
      </c>
      <c r="L5" s="1125" t="s">
        <v>75</v>
      </c>
    </row>
    <row r="6" spans="1:13">
      <c r="A6" s="1126">
        <v>1</v>
      </c>
      <c r="B6" s="3038" t="s">
        <v>4184</v>
      </c>
      <c r="C6" s="1127" t="s">
        <v>4185</v>
      </c>
      <c r="D6" s="1128"/>
      <c r="E6" s="1128"/>
      <c r="F6" s="1128"/>
      <c r="G6" s="1129">
        <f>'表16-1-1'!N194</f>
        <v>0</v>
      </c>
      <c r="H6" s="1129">
        <f>'表16-1-1'!O194</f>
        <v>0</v>
      </c>
      <c r="I6" s="1129">
        <f>'表16-1-1'!P194</f>
        <v>0</v>
      </c>
      <c r="J6" s="1130">
        <f>'表16-1-1'!N201</f>
        <v>0</v>
      </c>
      <c r="K6" s="1131">
        <f>'表16-1-1'!O201</f>
        <v>0</v>
      </c>
      <c r="L6" s="1132">
        <f>'表16-1-1'!P201</f>
        <v>0</v>
      </c>
    </row>
    <row r="7" spans="1:13" ht="23.25" customHeight="1">
      <c r="A7" s="1133">
        <v>2</v>
      </c>
      <c r="B7" s="2978"/>
      <c r="C7" s="1134" t="s">
        <v>4186</v>
      </c>
      <c r="D7" s="1135"/>
      <c r="E7" s="1135"/>
      <c r="F7" s="1135"/>
      <c r="G7" s="1136">
        <f>'表16-1-4'!N115</f>
        <v>0</v>
      </c>
      <c r="H7" s="1136">
        <f>'表16-1-4'!O115</f>
        <v>0</v>
      </c>
      <c r="I7" s="1136">
        <f>'表16-1-4'!P115</f>
        <v>0</v>
      </c>
      <c r="J7" s="1137">
        <f>'表16-1-4'!N122</f>
        <v>0</v>
      </c>
      <c r="K7" s="1136">
        <f>'表16-1-4'!O122</f>
        <v>0</v>
      </c>
      <c r="L7" s="1138">
        <f>'表16-1-4'!P122</f>
        <v>0</v>
      </c>
    </row>
    <row r="8" spans="1:13">
      <c r="A8" s="1133">
        <v>3</v>
      </c>
      <c r="B8" s="2978"/>
      <c r="C8" s="1134" t="s">
        <v>4187</v>
      </c>
      <c r="D8" s="1135"/>
      <c r="E8" s="1135"/>
      <c r="F8" s="1135"/>
      <c r="G8" s="1136">
        <f>'表16-1-5'!N172</f>
        <v>0</v>
      </c>
      <c r="H8" s="1136">
        <f>'表16-1-5'!O172</f>
        <v>0</v>
      </c>
      <c r="I8" s="1136">
        <f>'表16-1-5'!P172</f>
        <v>0</v>
      </c>
      <c r="J8" s="1137">
        <f>'表16-1-5'!N179</f>
        <v>0</v>
      </c>
      <c r="K8" s="1136">
        <f>'表16-1-5'!O179</f>
        <v>0</v>
      </c>
      <c r="L8" s="1138">
        <f>'表16-1-5'!P179</f>
        <v>0</v>
      </c>
    </row>
    <row r="9" spans="1:13" ht="16.5" thickBot="1">
      <c r="A9" s="1139">
        <v>4</v>
      </c>
      <c r="B9" s="3040"/>
      <c r="C9" s="1140" t="s">
        <v>4188</v>
      </c>
      <c r="D9" s="1141"/>
      <c r="E9" s="1141"/>
      <c r="F9" s="1141"/>
      <c r="G9" s="1142">
        <f t="shared" ref="G9:L9" si="0">SUM(G6:G8)</f>
        <v>0</v>
      </c>
      <c r="H9" s="1142">
        <f t="shared" si="0"/>
        <v>0</v>
      </c>
      <c r="I9" s="1142">
        <f t="shared" si="0"/>
        <v>0</v>
      </c>
      <c r="J9" s="1143">
        <f t="shared" si="0"/>
        <v>0</v>
      </c>
      <c r="K9" s="1142">
        <f t="shared" si="0"/>
        <v>0</v>
      </c>
      <c r="L9" s="1144">
        <f t="shared" si="0"/>
        <v>0</v>
      </c>
    </row>
    <row r="10" spans="1:13">
      <c r="A10" s="1126">
        <v>5</v>
      </c>
      <c r="B10" s="3038" t="s">
        <v>4189</v>
      </c>
      <c r="C10" s="1127" t="s">
        <v>4185</v>
      </c>
      <c r="D10" s="1131">
        <f>'表16-1-1'!N208</f>
        <v>0</v>
      </c>
      <c r="E10" s="1131">
        <f>'表16-1-1'!O208</f>
        <v>0</v>
      </c>
      <c r="F10" s="1131">
        <f>'表16-1-1'!P208</f>
        <v>0</v>
      </c>
      <c r="G10" s="1131">
        <f>'表16-1-1'!N215</f>
        <v>0</v>
      </c>
      <c r="H10" s="1131">
        <f>'表16-1-1'!O215</f>
        <v>0</v>
      </c>
      <c r="I10" s="1131">
        <f>'表16-1-1'!P215</f>
        <v>0</v>
      </c>
      <c r="J10" s="1130">
        <f>'表16-1-1'!N222</f>
        <v>0</v>
      </c>
      <c r="K10" s="1131">
        <f>'表16-1-1'!O222</f>
        <v>0</v>
      </c>
      <c r="L10" s="1132">
        <f>'表16-1-1'!P222</f>
        <v>0</v>
      </c>
    </row>
    <row r="11" spans="1:13">
      <c r="A11" s="1133">
        <v>6</v>
      </c>
      <c r="B11" s="3039"/>
      <c r="C11" s="1134" t="s">
        <v>4186</v>
      </c>
      <c r="D11" s="1136">
        <f>'表16-1-4'!N129</f>
        <v>0</v>
      </c>
      <c r="E11" s="1136">
        <f>'表16-1-4'!O129</f>
        <v>0</v>
      </c>
      <c r="F11" s="1136">
        <f>'表16-1-4'!P129</f>
        <v>0</v>
      </c>
      <c r="G11" s="1136">
        <f>'表16-1-4'!N136</f>
        <v>0</v>
      </c>
      <c r="H11" s="1136">
        <f>'表16-1-4'!O136</f>
        <v>0</v>
      </c>
      <c r="I11" s="1136">
        <f>'表16-1-4'!P136</f>
        <v>0</v>
      </c>
      <c r="J11" s="1137">
        <f>'表16-1-4'!N143</f>
        <v>0</v>
      </c>
      <c r="K11" s="1136">
        <f>'表16-1-4'!O143</f>
        <v>0</v>
      </c>
      <c r="L11" s="1138">
        <f>'表16-1-4'!P143</f>
        <v>0</v>
      </c>
    </row>
    <row r="12" spans="1:13">
      <c r="A12" s="1133">
        <v>7</v>
      </c>
      <c r="B12" s="3039"/>
      <c r="C12" s="1134" t="s">
        <v>4187</v>
      </c>
      <c r="D12" s="1136">
        <f>'表16-1-5'!N186</f>
        <v>0</v>
      </c>
      <c r="E12" s="1136">
        <f>'表16-1-5'!O186</f>
        <v>0</v>
      </c>
      <c r="F12" s="1136">
        <f>'表16-1-5'!P186</f>
        <v>0</v>
      </c>
      <c r="G12" s="1136">
        <f>'表16-1-5'!N193</f>
        <v>0</v>
      </c>
      <c r="H12" s="1136">
        <f>'表16-1-5'!O193</f>
        <v>0</v>
      </c>
      <c r="I12" s="1136">
        <f>'表16-1-5'!P193</f>
        <v>0</v>
      </c>
      <c r="J12" s="1137">
        <f>'表16-1-5'!N200</f>
        <v>0</v>
      </c>
      <c r="K12" s="1136">
        <f>'表16-1-5'!O200</f>
        <v>0</v>
      </c>
      <c r="L12" s="1138">
        <f>'表16-1-5'!P200</f>
        <v>0</v>
      </c>
    </row>
    <row r="13" spans="1:13" ht="16.5" thickBot="1">
      <c r="A13" s="1139">
        <v>8</v>
      </c>
      <c r="B13" s="3056"/>
      <c r="C13" s="1140" t="s">
        <v>4190</v>
      </c>
      <c r="D13" s="1142">
        <f t="shared" ref="D13:L13" si="1">SUM(D10:D12)</f>
        <v>0</v>
      </c>
      <c r="E13" s="1142">
        <f t="shared" si="1"/>
        <v>0</v>
      </c>
      <c r="F13" s="1142">
        <f t="shared" si="1"/>
        <v>0</v>
      </c>
      <c r="G13" s="1142">
        <f t="shared" si="1"/>
        <v>0</v>
      </c>
      <c r="H13" s="1142">
        <f t="shared" si="1"/>
        <v>0</v>
      </c>
      <c r="I13" s="1142">
        <f t="shared" si="1"/>
        <v>0</v>
      </c>
      <c r="J13" s="1143">
        <f t="shared" si="1"/>
        <v>0</v>
      </c>
      <c r="K13" s="1142">
        <f t="shared" si="1"/>
        <v>0</v>
      </c>
      <c r="L13" s="1144">
        <f t="shared" si="1"/>
        <v>0</v>
      </c>
    </row>
    <row r="14" spans="1:13">
      <c r="A14" s="1126">
        <v>9</v>
      </c>
      <c r="B14" s="3038" t="s">
        <v>4191</v>
      </c>
      <c r="C14" s="1127" t="s">
        <v>4185</v>
      </c>
      <c r="D14" s="1129">
        <f>'表16-1-1'!N229</f>
        <v>0</v>
      </c>
      <c r="E14" s="1129">
        <f>'表16-1-1'!O229</f>
        <v>0</v>
      </c>
      <c r="F14" s="1129">
        <f>'表16-1-1'!P229</f>
        <v>0</v>
      </c>
      <c r="G14" s="1131">
        <f>'表16-1-1'!N236</f>
        <v>0</v>
      </c>
      <c r="H14" s="1131">
        <f>'表16-1-1'!O236</f>
        <v>0</v>
      </c>
      <c r="I14" s="1131">
        <f>'表16-1-1'!P236</f>
        <v>0</v>
      </c>
      <c r="J14" s="1130">
        <f>'表16-1-1'!N243</f>
        <v>0</v>
      </c>
      <c r="K14" s="1131">
        <f>'表16-1-1'!O243</f>
        <v>0</v>
      </c>
      <c r="L14" s="1132">
        <f>'表16-1-1'!P243</f>
        <v>0</v>
      </c>
    </row>
    <row r="15" spans="1:13">
      <c r="A15" s="1133">
        <v>10</v>
      </c>
      <c r="B15" s="3039"/>
      <c r="C15" s="1134" t="s">
        <v>4186</v>
      </c>
      <c r="D15" s="1136">
        <f>'表16-1-4'!N150</f>
        <v>0</v>
      </c>
      <c r="E15" s="1136">
        <f>'表16-1-4'!O150</f>
        <v>0</v>
      </c>
      <c r="F15" s="1136">
        <f>'表16-1-4'!P150</f>
        <v>0</v>
      </c>
      <c r="G15" s="1136">
        <f>'表16-1-4'!N157</f>
        <v>0</v>
      </c>
      <c r="H15" s="1136">
        <f>'表16-1-4'!O157</f>
        <v>0</v>
      </c>
      <c r="I15" s="1136">
        <f>'表16-1-4'!P157</f>
        <v>0</v>
      </c>
      <c r="J15" s="1137">
        <f>'表16-1-4'!N164</f>
        <v>0</v>
      </c>
      <c r="K15" s="1136">
        <f>'表16-1-4'!O164</f>
        <v>0</v>
      </c>
      <c r="L15" s="1138">
        <f>'表16-1-4'!P164</f>
        <v>0</v>
      </c>
    </row>
    <row r="16" spans="1:13">
      <c r="A16" s="1133">
        <v>11</v>
      </c>
      <c r="B16" s="3039"/>
      <c r="C16" s="1134" t="s">
        <v>4187</v>
      </c>
      <c r="D16" s="1136">
        <f>'表16-1-5'!N207</f>
        <v>0</v>
      </c>
      <c r="E16" s="1136">
        <f>'表16-1-5'!O207</f>
        <v>0</v>
      </c>
      <c r="F16" s="1136">
        <f>'表16-1-5'!P207</f>
        <v>0</v>
      </c>
      <c r="G16" s="1136">
        <f>'表16-1-5'!N214</f>
        <v>0</v>
      </c>
      <c r="H16" s="1136">
        <f>'表16-1-5'!O214</f>
        <v>0</v>
      </c>
      <c r="I16" s="1136">
        <f>'表16-1-5'!P214</f>
        <v>0</v>
      </c>
      <c r="J16" s="1137">
        <f>'表16-1-5'!N221</f>
        <v>0</v>
      </c>
      <c r="K16" s="1136">
        <f>'表16-1-5'!O221</f>
        <v>0</v>
      </c>
      <c r="L16" s="1138">
        <f>'表16-1-5'!P221</f>
        <v>0</v>
      </c>
    </row>
    <row r="17" spans="1:13" ht="16.5" thickBot="1">
      <c r="A17" s="1139">
        <v>12</v>
      </c>
      <c r="B17" s="3056"/>
      <c r="C17" s="1140" t="s">
        <v>4192</v>
      </c>
      <c r="D17" s="1142">
        <f t="shared" ref="D17:L17" si="2">SUM(D14:D16)</f>
        <v>0</v>
      </c>
      <c r="E17" s="1142">
        <f t="shared" si="2"/>
        <v>0</v>
      </c>
      <c r="F17" s="1142">
        <f t="shared" si="2"/>
        <v>0</v>
      </c>
      <c r="G17" s="1142">
        <f t="shared" si="2"/>
        <v>0</v>
      </c>
      <c r="H17" s="1142">
        <f t="shared" si="2"/>
        <v>0</v>
      </c>
      <c r="I17" s="1142">
        <f t="shared" si="2"/>
        <v>0</v>
      </c>
      <c r="J17" s="1143">
        <f t="shared" si="2"/>
        <v>0</v>
      </c>
      <c r="K17" s="1142">
        <f t="shared" si="2"/>
        <v>0</v>
      </c>
      <c r="L17" s="1144">
        <f t="shared" si="2"/>
        <v>0</v>
      </c>
    </row>
    <row r="18" spans="1:13" ht="16.5" thickBot="1">
      <c r="A18" s="1145">
        <v>13</v>
      </c>
      <c r="B18" s="3057" t="s">
        <v>4152</v>
      </c>
      <c r="C18" s="3058"/>
      <c r="D18" s="1146">
        <f t="shared" ref="D18:L18" si="3">D17+D13+D9</f>
        <v>0</v>
      </c>
      <c r="E18" s="1147">
        <f t="shared" si="3"/>
        <v>0</v>
      </c>
      <c r="F18" s="1147">
        <f t="shared" si="3"/>
        <v>0</v>
      </c>
      <c r="G18" s="1146">
        <f t="shared" si="3"/>
        <v>0</v>
      </c>
      <c r="H18" s="1147">
        <f t="shared" si="3"/>
        <v>0</v>
      </c>
      <c r="I18" s="1147">
        <f t="shared" si="3"/>
        <v>0</v>
      </c>
      <c r="J18" s="1148">
        <f t="shared" si="3"/>
        <v>0</v>
      </c>
      <c r="K18" s="1147">
        <f t="shared" si="3"/>
        <v>0</v>
      </c>
      <c r="L18" s="1149">
        <f t="shared" si="3"/>
        <v>0</v>
      </c>
    </row>
    <row r="19" spans="1:13">
      <c r="B19" s="26"/>
      <c r="C19" s="26"/>
      <c r="D19" s="26"/>
      <c r="E19" s="26"/>
      <c r="F19" s="26"/>
      <c r="G19" s="26"/>
      <c r="H19" s="26"/>
      <c r="I19" s="26"/>
      <c r="J19" s="26"/>
      <c r="K19" s="26"/>
      <c r="L19" s="26"/>
      <c r="M19" s="26"/>
    </row>
    <row r="20" spans="1:13" ht="16.5">
      <c r="A20" s="1150" t="s">
        <v>3483</v>
      </c>
      <c r="B20" s="26" t="s">
        <v>4193</v>
      </c>
      <c r="D20" s="26"/>
      <c r="E20" s="26"/>
      <c r="F20" s="26"/>
      <c r="G20" s="26"/>
      <c r="H20" s="26"/>
      <c r="I20" s="26"/>
      <c r="J20" s="26"/>
      <c r="K20" s="26"/>
      <c r="L20" s="26"/>
      <c r="M20" s="26"/>
    </row>
    <row r="21" spans="1:13">
      <c r="A21" s="1151"/>
      <c r="D21" s="26"/>
      <c r="E21" s="26"/>
      <c r="F21" s="26"/>
      <c r="G21" s="26"/>
      <c r="H21" s="26"/>
      <c r="I21" s="26"/>
      <c r="J21" s="26"/>
      <c r="K21" s="26"/>
      <c r="L21" s="26"/>
    </row>
  </sheetData>
  <mergeCells count="10">
    <mergeCell ref="A3:A5"/>
    <mergeCell ref="B3:C4"/>
    <mergeCell ref="D3:F3"/>
    <mergeCell ref="G3:I3"/>
    <mergeCell ref="B18:C18"/>
    <mergeCell ref="J3:L3"/>
    <mergeCell ref="B5:C5"/>
    <mergeCell ref="B6:B9"/>
    <mergeCell ref="B10:B13"/>
    <mergeCell ref="B14:B17"/>
  </mergeCells>
  <phoneticPr fontId="30"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heetViews>
  <sheetFormatPr defaultColWidth="9" defaultRowHeight="14.25"/>
  <cols>
    <col min="1" max="1" width="5.125" style="55" customWidth="1"/>
    <col min="2" max="2" width="8.25" style="55" customWidth="1"/>
    <col min="3" max="3" width="15.5" style="55" customWidth="1"/>
    <col min="4" max="4" width="8.125" style="55" customWidth="1"/>
    <col min="5" max="5" width="5.625" style="55" customWidth="1"/>
    <col min="6" max="6" width="7.5" style="55" customWidth="1"/>
    <col min="7" max="7" width="8.625" style="55" customWidth="1"/>
    <col min="8" max="8" width="17.125" style="55" customWidth="1"/>
    <col min="9" max="9" width="5.625" style="55" customWidth="1"/>
    <col min="10" max="11" width="9.625" style="47" customWidth="1"/>
    <col min="12" max="12" width="12.625" style="47" customWidth="1"/>
    <col min="13" max="13" width="14.375" style="47" customWidth="1"/>
    <col min="14" max="14" width="12.625" style="47" customWidth="1"/>
    <col min="15" max="15" width="7.625" style="47" customWidth="1"/>
    <col min="16" max="16" width="13.625" style="47" customWidth="1"/>
    <col min="17" max="17" width="11" style="47" customWidth="1"/>
    <col min="18" max="18" width="11.875" style="47" customWidth="1"/>
    <col min="19" max="19" width="6.625" style="47" customWidth="1"/>
    <col min="20" max="20" width="9.5" style="47" customWidth="1"/>
    <col min="21" max="16384" width="9" style="47"/>
  </cols>
  <sheetData>
    <row r="1" spans="1:19" ht="16.5">
      <c r="A1" s="2186" t="str">
        <f>+封面!A3&amp;" "&amp;封面!A2</f>
        <v xml:space="preserve"> 中央再保險股份有限公司 年度檢查報表</v>
      </c>
      <c r="B1" s="1054"/>
      <c r="C1" s="1054"/>
      <c r="D1" s="1054"/>
      <c r="E1" s="1054"/>
      <c r="F1" s="56"/>
      <c r="G1" s="56"/>
      <c r="H1" s="56"/>
      <c r="I1" s="56"/>
      <c r="J1" s="56"/>
      <c r="K1" s="56"/>
      <c r="L1" s="56"/>
      <c r="M1" s="56"/>
      <c r="N1" s="56"/>
      <c r="O1" s="56"/>
      <c r="P1" s="56"/>
    </row>
    <row r="2" spans="1:19">
      <c r="A2" s="47" t="s">
        <v>151</v>
      </c>
      <c r="B2" s="47"/>
      <c r="C2" s="47"/>
      <c r="D2" s="47"/>
      <c r="E2" s="47"/>
      <c r="R2" s="1056" t="s">
        <v>152</v>
      </c>
    </row>
    <row r="3" spans="1:19" ht="14.25" customHeight="1">
      <c r="A3" s="3077" t="s">
        <v>179</v>
      </c>
      <c r="B3" s="3080" t="s">
        <v>149</v>
      </c>
      <c r="C3" s="3080"/>
      <c r="D3" s="3080"/>
      <c r="E3" s="3080"/>
      <c r="F3" s="3080"/>
      <c r="G3" s="3081" t="s">
        <v>153</v>
      </c>
      <c r="H3" s="3082"/>
      <c r="I3" s="3083"/>
      <c r="J3" s="3070" t="s">
        <v>437</v>
      </c>
      <c r="K3" s="3070" t="s">
        <v>443</v>
      </c>
      <c r="L3" s="3070" t="s">
        <v>691</v>
      </c>
      <c r="M3" s="3075" t="s">
        <v>692</v>
      </c>
      <c r="N3" s="3076" t="s">
        <v>693</v>
      </c>
      <c r="O3" s="3075" t="s">
        <v>155</v>
      </c>
      <c r="P3" s="3070" t="s">
        <v>156</v>
      </c>
      <c r="Q3" s="3070" t="s">
        <v>157</v>
      </c>
      <c r="R3" s="3070" t="s">
        <v>158</v>
      </c>
      <c r="S3" s="3070" t="s">
        <v>121</v>
      </c>
    </row>
    <row r="4" spans="1:19" s="955" customFormat="1" ht="28.5">
      <c r="A4" s="3078"/>
      <c r="B4" s="1083" t="s">
        <v>159</v>
      </c>
      <c r="C4" s="1083" t="s">
        <v>160</v>
      </c>
      <c r="D4" s="1083" t="s">
        <v>161</v>
      </c>
      <c r="E4" s="1083" t="s">
        <v>162</v>
      </c>
      <c r="F4" s="1083" t="s">
        <v>163</v>
      </c>
      <c r="G4" s="1084" t="s">
        <v>164</v>
      </c>
      <c r="H4" s="1084" t="s">
        <v>165</v>
      </c>
      <c r="I4" s="1084" t="s">
        <v>166</v>
      </c>
      <c r="J4" s="3071"/>
      <c r="K4" s="3071"/>
      <c r="L4" s="3074"/>
      <c r="M4" s="3071"/>
      <c r="N4" s="3074"/>
      <c r="O4" s="3071"/>
      <c r="P4" s="3071"/>
      <c r="Q4" s="3071"/>
      <c r="R4" s="3071"/>
      <c r="S4" s="3071"/>
    </row>
    <row r="5" spans="1:19" s="955" customFormat="1" ht="28.5">
      <c r="A5" s="3079"/>
      <c r="B5" s="1100" t="s">
        <v>122</v>
      </c>
      <c r="C5" s="1100" t="s">
        <v>67</v>
      </c>
      <c r="D5" s="1100" t="s">
        <v>68</v>
      </c>
      <c r="E5" s="1100" t="s">
        <v>69</v>
      </c>
      <c r="F5" s="1100" t="s">
        <v>70</v>
      </c>
      <c r="G5" s="1100" t="s">
        <v>71</v>
      </c>
      <c r="H5" s="1100" t="s">
        <v>72</v>
      </c>
      <c r="I5" s="1100" t="s">
        <v>73</v>
      </c>
      <c r="J5" s="1100" t="s">
        <v>455</v>
      </c>
      <c r="K5" s="1100" t="s">
        <v>75</v>
      </c>
      <c r="L5" s="1100" t="s">
        <v>225</v>
      </c>
      <c r="M5" s="1100" t="s">
        <v>226</v>
      </c>
      <c r="N5" s="1100" t="s">
        <v>274</v>
      </c>
      <c r="O5" s="1100" t="s">
        <v>275</v>
      </c>
      <c r="P5" s="1101" t="s">
        <v>487</v>
      </c>
      <c r="Q5" s="1100" t="s">
        <v>277</v>
      </c>
      <c r="R5" s="1100" t="s">
        <v>278</v>
      </c>
      <c r="S5" s="1100" t="s">
        <v>138</v>
      </c>
    </row>
    <row r="6" spans="1:19" s="955" customFormat="1">
      <c r="A6" s="947">
        <v>1</v>
      </c>
      <c r="B6" s="1102"/>
      <c r="C6" s="1103"/>
      <c r="D6" s="947"/>
      <c r="E6" s="947"/>
      <c r="F6" s="947"/>
      <c r="G6" s="1104"/>
      <c r="H6" s="1104"/>
      <c r="I6" s="1104"/>
      <c r="J6" s="1105"/>
      <c r="K6" s="1105"/>
      <c r="L6" s="1093"/>
      <c r="M6" s="1093"/>
      <c r="N6" s="1104"/>
      <c r="O6" s="1104"/>
      <c r="P6" s="1092"/>
      <c r="Q6" s="1091"/>
      <c r="R6" s="1091"/>
      <c r="S6" s="1104"/>
    </row>
    <row r="7" spans="1:19">
      <c r="A7" s="947">
        <f>A6+1</f>
        <v>2</v>
      </c>
      <c r="B7" s="947"/>
      <c r="C7" s="1106"/>
      <c r="D7" s="947"/>
      <c r="E7" s="947"/>
      <c r="F7" s="947"/>
      <c r="G7" s="947"/>
      <c r="H7" s="1107"/>
      <c r="I7" s="947"/>
      <c r="J7" s="1105"/>
      <c r="K7" s="1105"/>
      <c r="L7" s="1093"/>
      <c r="M7" s="1093"/>
      <c r="N7" s="1091"/>
      <c r="O7" s="1091"/>
      <c r="P7" s="1092"/>
      <c r="Q7" s="1091"/>
      <c r="R7" s="1091"/>
      <c r="S7" s="945"/>
    </row>
    <row r="8" spans="1:19">
      <c r="A8" s="947">
        <f t="shared" ref="A8:A30" si="0">A7+1</f>
        <v>3</v>
      </c>
      <c r="B8" s="947"/>
      <c r="C8" s="1106"/>
      <c r="D8" s="947"/>
      <c r="E8" s="947"/>
      <c r="F8" s="947"/>
      <c r="G8" s="947"/>
      <c r="H8" s="1108"/>
      <c r="I8" s="947"/>
      <c r="J8" s="1105"/>
      <c r="K8" s="1105"/>
      <c r="L8" s="1093"/>
      <c r="M8" s="1093"/>
      <c r="N8" s="1091"/>
      <c r="O8" s="1091"/>
      <c r="P8" s="1092"/>
      <c r="Q8" s="1091"/>
      <c r="R8" s="1091"/>
      <c r="S8" s="945"/>
    </row>
    <row r="9" spans="1:19">
      <c r="A9" s="947">
        <f t="shared" si="0"/>
        <v>4</v>
      </c>
      <c r="B9" s="947"/>
      <c r="C9" s="1106"/>
      <c r="D9" s="947"/>
      <c r="E9" s="947"/>
      <c r="F9" s="947"/>
      <c r="G9" s="947"/>
      <c r="H9" s="1108"/>
      <c r="I9" s="947"/>
      <c r="J9" s="1105"/>
      <c r="K9" s="1105"/>
      <c r="L9" s="1093"/>
      <c r="M9" s="1093"/>
      <c r="N9" s="1091"/>
      <c r="O9" s="1091"/>
      <c r="P9" s="1092"/>
      <c r="Q9" s="1091"/>
      <c r="R9" s="1091"/>
      <c r="S9" s="945"/>
    </row>
    <row r="10" spans="1:19">
      <c r="A10" s="947">
        <f t="shared" si="0"/>
        <v>5</v>
      </c>
      <c r="B10" s="947"/>
      <c r="C10" s="1106"/>
      <c r="D10" s="947"/>
      <c r="E10" s="947"/>
      <c r="F10" s="947"/>
      <c r="G10" s="947"/>
      <c r="H10" s="1108"/>
      <c r="I10" s="947"/>
      <c r="J10" s="1105"/>
      <c r="K10" s="1105"/>
      <c r="L10" s="1093"/>
      <c r="M10" s="1093"/>
      <c r="N10" s="1091"/>
      <c r="O10" s="1091"/>
      <c r="P10" s="1092"/>
      <c r="Q10" s="1091"/>
      <c r="R10" s="1091"/>
      <c r="S10" s="945"/>
    </row>
    <row r="11" spans="1:19">
      <c r="A11" s="947">
        <f t="shared" si="0"/>
        <v>6</v>
      </c>
      <c r="B11" s="947"/>
      <c r="C11" s="1106"/>
      <c r="D11" s="947"/>
      <c r="E11" s="947"/>
      <c r="F11" s="947"/>
      <c r="G11" s="947"/>
      <c r="H11" s="1108"/>
      <c r="I11" s="947"/>
      <c r="J11" s="1105"/>
      <c r="K11" s="1105"/>
      <c r="L11" s="1093"/>
      <c r="M11" s="1093"/>
      <c r="N11" s="1091"/>
      <c r="O11" s="1091"/>
      <c r="P11" s="1092"/>
      <c r="Q11" s="1091"/>
      <c r="R11" s="1091"/>
      <c r="S11" s="945"/>
    </row>
    <row r="12" spans="1:19">
      <c r="A12" s="947">
        <f t="shared" si="0"/>
        <v>7</v>
      </c>
      <c r="B12" s="947"/>
      <c r="C12" s="1106"/>
      <c r="D12" s="947"/>
      <c r="E12" s="947"/>
      <c r="F12" s="947"/>
      <c r="G12" s="947"/>
      <c r="H12" s="1108"/>
      <c r="I12" s="947"/>
      <c r="J12" s="1105"/>
      <c r="K12" s="1105"/>
      <c r="L12" s="1093"/>
      <c r="M12" s="1093"/>
      <c r="N12" s="1091"/>
      <c r="O12" s="1091"/>
      <c r="P12" s="1092"/>
      <c r="Q12" s="1091"/>
      <c r="R12" s="1091"/>
      <c r="S12" s="945"/>
    </row>
    <row r="13" spans="1:19">
      <c r="A13" s="947">
        <f t="shared" si="0"/>
        <v>8</v>
      </c>
      <c r="B13" s="947"/>
      <c r="C13" s="1106"/>
      <c r="D13" s="947"/>
      <c r="E13" s="947"/>
      <c r="F13" s="947"/>
      <c r="G13" s="947"/>
      <c r="H13" s="1108"/>
      <c r="I13" s="947"/>
      <c r="J13" s="1105"/>
      <c r="K13" s="1105"/>
      <c r="L13" s="1093"/>
      <c r="M13" s="1093"/>
      <c r="N13" s="1091"/>
      <c r="O13" s="1091"/>
      <c r="P13" s="1092"/>
      <c r="Q13" s="1091"/>
      <c r="R13" s="1091"/>
      <c r="S13" s="945"/>
    </row>
    <row r="14" spans="1:19">
      <c r="A14" s="947">
        <f t="shared" si="0"/>
        <v>9</v>
      </c>
      <c r="B14" s="947"/>
      <c r="C14" s="1106"/>
      <c r="D14" s="947"/>
      <c r="E14" s="947"/>
      <c r="F14" s="947"/>
      <c r="G14" s="947"/>
      <c r="H14" s="1108"/>
      <c r="I14" s="947"/>
      <c r="J14" s="1105"/>
      <c r="K14" s="1105"/>
      <c r="L14" s="1093"/>
      <c r="M14" s="1093"/>
      <c r="N14" s="1091"/>
      <c r="O14" s="1091"/>
      <c r="P14" s="1092"/>
      <c r="Q14" s="1091"/>
      <c r="R14" s="1091"/>
      <c r="S14" s="945"/>
    </row>
    <row r="15" spans="1:19">
      <c r="A15" s="947">
        <f t="shared" si="0"/>
        <v>10</v>
      </c>
      <c r="B15" s="947"/>
      <c r="C15" s="1106"/>
      <c r="D15" s="947"/>
      <c r="E15" s="947"/>
      <c r="F15" s="947"/>
      <c r="G15" s="947"/>
      <c r="H15" s="1108"/>
      <c r="I15" s="947"/>
      <c r="J15" s="1105"/>
      <c r="K15" s="1105"/>
      <c r="L15" s="1093"/>
      <c r="M15" s="1093"/>
      <c r="N15" s="1091"/>
      <c r="O15" s="1091"/>
      <c r="P15" s="1092"/>
      <c r="Q15" s="1091"/>
      <c r="R15" s="1091"/>
      <c r="S15" s="945"/>
    </row>
    <row r="16" spans="1:19">
      <c r="A16" s="947">
        <f t="shared" si="0"/>
        <v>11</v>
      </c>
      <c r="B16" s="947"/>
      <c r="C16" s="1106"/>
      <c r="D16" s="947"/>
      <c r="E16" s="947"/>
      <c r="F16" s="947"/>
      <c r="G16" s="947"/>
      <c r="H16" s="1108"/>
      <c r="I16" s="947"/>
      <c r="J16" s="1105"/>
      <c r="K16" s="1105"/>
      <c r="L16" s="1093"/>
      <c r="M16" s="1093"/>
      <c r="N16" s="1091"/>
      <c r="O16" s="1091"/>
      <c r="P16" s="1092"/>
      <c r="Q16" s="1091"/>
      <c r="R16" s="1091"/>
      <c r="S16" s="945"/>
    </row>
    <row r="17" spans="1:34">
      <c r="A17" s="947">
        <f t="shared" si="0"/>
        <v>12</v>
      </c>
      <c r="B17" s="1109"/>
      <c r="C17" s="1110"/>
      <c r="D17" s="947"/>
      <c r="E17" s="947"/>
      <c r="F17" s="947"/>
      <c r="G17" s="943"/>
      <c r="H17" s="1111"/>
      <c r="I17" s="947"/>
      <c r="J17" s="1112"/>
      <c r="K17" s="1112"/>
      <c r="L17" s="1091"/>
      <c r="M17" s="1091"/>
      <c r="N17" s="1091"/>
      <c r="O17" s="1091"/>
      <c r="P17" s="1092"/>
      <c r="Q17" s="1091"/>
      <c r="R17" s="1091"/>
      <c r="S17" s="945"/>
    </row>
    <row r="18" spans="1:34">
      <c r="A18" s="947">
        <f t="shared" si="0"/>
        <v>13</v>
      </c>
      <c r="B18" s="1109"/>
      <c r="C18" s="1110"/>
      <c r="D18" s="947"/>
      <c r="E18" s="947"/>
      <c r="F18" s="947"/>
      <c r="G18" s="943"/>
      <c r="H18" s="1111"/>
      <c r="I18" s="947"/>
      <c r="J18" s="1112"/>
      <c r="K18" s="1112"/>
      <c r="L18" s="1091"/>
      <c r="M18" s="1091"/>
      <c r="N18" s="1091"/>
      <c r="O18" s="1091"/>
      <c r="P18" s="1092"/>
      <c r="Q18" s="1091"/>
      <c r="R18" s="1091"/>
      <c r="S18" s="945"/>
    </row>
    <row r="19" spans="1:34">
      <c r="A19" s="947">
        <f t="shared" si="0"/>
        <v>14</v>
      </c>
      <c r="B19" s="947"/>
      <c r="C19" s="1106"/>
      <c r="D19" s="947"/>
      <c r="E19" s="947"/>
      <c r="F19" s="947"/>
      <c r="G19" s="947"/>
      <c r="H19" s="1108"/>
      <c r="I19" s="947"/>
      <c r="J19" s="1105"/>
      <c r="K19" s="1105"/>
      <c r="L19" s="1093"/>
      <c r="M19" s="1093"/>
      <c r="N19" s="1091"/>
      <c r="O19" s="1091"/>
      <c r="P19" s="1092"/>
      <c r="Q19" s="1091"/>
      <c r="R19" s="1091"/>
      <c r="S19" s="945"/>
    </row>
    <row r="20" spans="1:34">
      <c r="A20" s="947">
        <f t="shared" si="0"/>
        <v>15</v>
      </c>
      <c r="B20" s="947"/>
      <c r="C20" s="1106"/>
      <c r="D20" s="1089"/>
      <c r="E20" s="1089"/>
      <c r="F20" s="947"/>
      <c r="G20" s="1107"/>
      <c r="H20" s="1106"/>
      <c r="I20" s="947"/>
      <c r="J20" s="1105"/>
      <c r="K20" s="1105"/>
      <c r="L20" s="1093"/>
      <c r="M20" s="1093"/>
      <c r="N20" s="1091"/>
      <c r="O20" s="1091"/>
      <c r="P20" s="1092"/>
      <c r="Q20" s="1091"/>
      <c r="R20" s="1091"/>
      <c r="S20" s="945"/>
    </row>
    <row r="21" spans="1:34">
      <c r="A21" s="947">
        <f t="shared" si="0"/>
        <v>16</v>
      </c>
      <c r="B21" s="1089"/>
      <c r="C21" s="1106"/>
      <c r="D21" s="1089"/>
      <c r="E21" s="1089"/>
      <c r="F21" s="947"/>
      <c r="G21" s="1107"/>
      <c r="H21" s="1106"/>
      <c r="I21" s="947"/>
      <c r="J21" s="1105"/>
      <c r="K21" s="1105"/>
      <c r="L21" s="1093"/>
      <c r="M21" s="1093"/>
      <c r="N21" s="1091"/>
      <c r="O21" s="1091"/>
      <c r="P21" s="1092"/>
      <c r="Q21" s="1091"/>
      <c r="R21" s="1091"/>
      <c r="S21" s="945"/>
    </row>
    <row r="22" spans="1:34">
      <c r="A22" s="947">
        <f t="shared" si="0"/>
        <v>17</v>
      </c>
      <c r="B22" s="1089"/>
      <c r="C22" s="1113"/>
      <c r="D22" s="1089"/>
      <c r="E22" s="1089"/>
      <c r="F22" s="947"/>
      <c r="G22" s="1107"/>
      <c r="H22" s="1106"/>
      <c r="I22" s="947"/>
      <c r="J22" s="1105"/>
      <c r="K22" s="1105"/>
      <c r="L22" s="1093"/>
      <c r="M22" s="1093"/>
      <c r="N22" s="1091"/>
      <c r="O22" s="1091"/>
      <c r="P22" s="1092"/>
      <c r="Q22" s="1091"/>
      <c r="R22" s="1091"/>
      <c r="S22" s="945"/>
    </row>
    <row r="23" spans="1:34">
      <c r="A23" s="947">
        <f t="shared" si="0"/>
        <v>18</v>
      </c>
      <c r="B23" s="1089"/>
      <c r="C23" s="1113"/>
      <c r="D23" s="1089"/>
      <c r="E23" s="1089"/>
      <c r="F23" s="947"/>
      <c r="G23" s="1107"/>
      <c r="H23" s="1106"/>
      <c r="I23" s="947"/>
      <c r="J23" s="1105"/>
      <c r="K23" s="1105"/>
      <c r="L23" s="1093"/>
      <c r="M23" s="1093"/>
      <c r="N23" s="1091"/>
      <c r="O23" s="1091"/>
      <c r="P23" s="1092"/>
      <c r="Q23" s="1091"/>
      <c r="R23" s="1091"/>
      <c r="S23" s="945"/>
    </row>
    <row r="24" spans="1:34">
      <c r="A24" s="947">
        <f t="shared" si="0"/>
        <v>19</v>
      </c>
      <c r="B24" s="1089"/>
      <c r="C24" s="1113"/>
      <c r="D24" s="1089"/>
      <c r="E24" s="1089"/>
      <c r="F24" s="947"/>
      <c r="G24" s="1107"/>
      <c r="H24" s="1106"/>
      <c r="I24" s="947"/>
      <c r="J24" s="1105"/>
      <c r="K24" s="1105"/>
      <c r="L24" s="1093"/>
      <c r="M24" s="1093"/>
      <c r="N24" s="1091"/>
      <c r="O24" s="1091"/>
      <c r="P24" s="1092"/>
      <c r="Q24" s="1091"/>
      <c r="R24" s="1091"/>
      <c r="S24" s="945"/>
    </row>
    <row r="25" spans="1:34">
      <c r="A25" s="947">
        <f t="shared" si="0"/>
        <v>20</v>
      </c>
      <c r="B25" s="1089"/>
      <c r="C25" s="1113"/>
      <c r="D25" s="1089"/>
      <c r="E25" s="1089"/>
      <c r="F25" s="947"/>
      <c r="G25" s="1107"/>
      <c r="H25" s="1107"/>
      <c r="I25" s="947"/>
      <c r="J25" s="1105"/>
      <c r="K25" s="1105"/>
      <c r="L25" s="1093"/>
      <c r="M25" s="1093"/>
      <c r="N25" s="1091"/>
      <c r="O25" s="1091"/>
      <c r="P25" s="1092"/>
      <c r="Q25" s="1091"/>
      <c r="R25" s="1091"/>
      <c r="S25" s="945"/>
    </row>
    <row r="26" spans="1:34">
      <c r="A26" s="947">
        <f t="shared" si="0"/>
        <v>21</v>
      </c>
      <c r="B26" s="1089"/>
      <c r="C26" s="1113"/>
      <c r="D26" s="1089"/>
      <c r="E26" s="1089"/>
      <c r="F26" s="947"/>
      <c r="G26" s="1107"/>
      <c r="H26" s="1106"/>
      <c r="I26" s="947"/>
      <c r="J26" s="1105"/>
      <c r="K26" s="1105"/>
      <c r="L26" s="1093"/>
      <c r="M26" s="1093"/>
      <c r="N26" s="1091"/>
      <c r="O26" s="1091"/>
      <c r="P26" s="1092"/>
      <c r="Q26" s="1091"/>
      <c r="R26" s="1091"/>
      <c r="S26" s="945"/>
    </row>
    <row r="27" spans="1:34">
      <c r="A27" s="947">
        <f t="shared" si="0"/>
        <v>22</v>
      </c>
      <c r="B27" s="1089"/>
      <c r="C27" s="1113"/>
      <c r="D27" s="1089"/>
      <c r="E27" s="1089"/>
      <c r="F27" s="947"/>
      <c r="G27" s="1107"/>
      <c r="H27" s="1107"/>
      <c r="I27" s="947"/>
      <c r="J27" s="1105"/>
      <c r="K27" s="1105"/>
      <c r="L27" s="1093"/>
      <c r="M27" s="1093"/>
      <c r="N27" s="1091"/>
      <c r="O27" s="1091"/>
      <c r="P27" s="1092"/>
      <c r="Q27" s="1091"/>
      <c r="R27" s="1091"/>
      <c r="S27" s="945"/>
    </row>
    <row r="28" spans="1:34">
      <c r="A28" s="947">
        <f t="shared" si="0"/>
        <v>23</v>
      </c>
      <c r="B28" s="1089"/>
      <c r="C28" s="1113"/>
      <c r="D28" s="1089"/>
      <c r="E28" s="1089"/>
      <c r="F28" s="947"/>
      <c r="G28" s="1107"/>
      <c r="H28" s="1107"/>
      <c r="I28" s="947"/>
      <c r="J28" s="1105"/>
      <c r="K28" s="1105"/>
      <c r="L28" s="1093"/>
      <c r="M28" s="1093"/>
      <c r="N28" s="1091"/>
      <c r="O28" s="1091"/>
      <c r="P28" s="1092"/>
      <c r="Q28" s="1091"/>
      <c r="R28" s="1091"/>
      <c r="S28" s="945"/>
    </row>
    <row r="29" spans="1:34">
      <c r="A29" s="947">
        <f t="shared" si="0"/>
        <v>24</v>
      </c>
      <c r="B29" s="1089"/>
      <c r="C29" s="1113"/>
      <c r="D29" s="1089"/>
      <c r="E29" s="1089"/>
      <c r="F29" s="947"/>
      <c r="G29" s="947"/>
      <c r="H29" s="943"/>
      <c r="I29" s="947"/>
      <c r="J29" s="1112"/>
      <c r="K29" s="1112"/>
      <c r="L29" s="1095"/>
      <c r="M29" s="1091"/>
      <c r="N29" s="1091"/>
      <c r="O29" s="1091"/>
      <c r="P29" s="1092"/>
      <c r="Q29" s="1091"/>
      <c r="R29" s="1091"/>
      <c r="S29" s="945"/>
    </row>
    <row r="30" spans="1:34">
      <c r="A30" s="947">
        <f t="shared" si="0"/>
        <v>25</v>
      </c>
      <c r="B30" s="3073" t="s">
        <v>3515</v>
      </c>
      <c r="C30" s="3073"/>
      <c r="D30" s="3073"/>
      <c r="E30" s="3073"/>
      <c r="F30" s="3073"/>
      <c r="G30" s="947"/>
      <c r="H30" s="947"/>
      <c r="I30" s="947"/>
      <c r="J30" s="1114">
        <f t="shared" ref="J30:R30" si="1">SUM(J6:J29)</f>
        <v>0</v>
      </c>
      <c r="K30" s="1114">
        <f t="shared" si="1"/>
        <v>0</v>
      </c>
      <c r="L30" s="1114">
        <f t="shared" si="1"/>
        <v>0</v>
      </c>
      <c r="M30" s="1114">
        <f t="shared" si="1"/>
        <v>0</v>
      </c>
      <c r="N30" s="1114">
        <f t="shared" si="1"/>
        <v>0</v>
      </c>
      <c r="O30" s="1114">
        <f t="shared" si="1"/>
        <v>0</v>
      </c>
      <c r="P30" s="1114">
        <f t="shared" si="1"/>
        <v>0</v>
      </c>
      <c r="Q30" s="1114">
        <f t="shared" si="1"/>
        <v>0</v>
      </c>
      <c r="R30" s="1114">
        <f t="shared" si="1"/>
        <v>0</v>
      </c>
      <c r="S30" s="1114"/>
    </row>
    <row r="31" spans="1:34" s="1071" customFormat="1">
      <c r="A31" s="1071" t="s">
        <v>477</v>
      </c>
      <c r="B31" s="1072"/>
      <c r="C31" s="1072"/>
      <c r="D31" s="1072"/>
      <c r="E31" s="1072"/>
      <c r="F31" s="1072"/>
      <c r="G31" s="1072"/>
      <c r="H31" s="1072"/>
      <c r="I31" s="1072"/>
      <c r="J31" s="1072"/>
      <c r="K31" s="1072"/>
      <c r="L31" s="1072"/>
      <c r="M31" s="1072"/>
      <c r="N31" s="1072"/>
      <c r="O31" s="1072"/>
      <c r="P31" s="1115"/>
      <c r="Q31" s="1072"/>
      <c r="R31" s="1072"/>
      <c r="S31" s="1072"/>
      <c r="T31" s="1072"/>
      <c r="V31" s="1073"/>
      <c r="W31" s="1073"/>
      <c r="X31" s="1073"/>
      <c r="Y31" s="1073"/>
      <c r="Z31" s="1073"/>
      <c r="AA31" s="1073"/>
      <c r="AB31" s="1073"/>
      <c r="AC31" s="1073"/>
      <c r="AD31" s="1073"/>
      <c r="AE31" s="1073"/>
      <c r="AF31" s="1073"/>
      <c r="AG31" s="1073"/>
      <c r="AH31" s="1073"/>
    </row>
    <row r="32" spans="1:34" s="1071" customFormat="1">
      <c r="A32" s="1074">
        <v>1</v>
      </c>
      <c r="B32" s="3072" t="s">
        <v>480</v>
      </c>
      <c r="C32" s="3072"/>
      <c r="D32" s="3072"/>
      <c r="E32" s="3072"/>
      <c r="F32" s="3072"/>
      <c r="G32" s="3072"/>
      <c r="H32" s="3072"/>
      <c r="I32" s="3072"/>
      <c r="J32" s="3072"/>
      <c r="K32" s="3072"/>
      <c r="L32" s="3072"/>
      <c r="M32" s="3072"/>
      <c r="N32" s="3072"/>
      <c r="O32" s="3072"/>
      <c r="P32" s="3072"/>
      <c r="Q32" s="3072"/>
      <c r="R32" s="3072"/>
      <c r="S32" s="1072"/>
      <c r="T32" s="1072"/>
      <c r="V32" s="1073"/>
      <c r="W32" s="1073"/>
      <c r="X32" s="1073"/>
      <c r="Y32" s="1073"/>
      <c r="Z32" s="1073"/>
      <c r="AA32" s="1073"/>
      <c r="AB32" s="1073"/>
      <c r="AC32" s="1073"/>
      <c r="AD32" s="1073"/>
      <c r="AE32" s="1073"/>
      <c r="AF32" s="1073"/>
      <c r="AG32" s="1073"/>
      <c r="AH32" s="1073"/>
    </row>
    <row r="33" spans="1:34" s="1071" customFormat="1">
      <c r="A33" s="1074">
        <v>2</v>
      </c>
      <c r="B33" s="3072" t="s">
        <v>481</v>
      </c>
      <c r="C33" s="3072"/>
      <c r="D33" s="3072"/>
      <c r="E33" s="3072"/>
      <c r="F33" s="3072"/>
      <c r="G33" s="3072"/>
      <c r="H33" s="3072"/>
      <c r="I33" s="3072"/>
      <c r="J33" s="3072"/>
      <c r="K33" s="1072"/>
      <c r="L33" s="1072"/>
      <c r="M33" s="1072"/>
      <c r="N33" s="1072"/>
      <c r="O33" s="1072"/>
      <c r="P33" s="1072"/>
      <c r="Q33" s="1072"/>
      <c r="R33" s="1072"/>
      <c r="S33" s="3072"/>
      <c r="T33" s="3072"/>
      <c r="V33" s="1073"/>
      <c r="W33" s="1073"/>
      <c r="X33" s="1073"/>
      <c r="Y33" s="1073"/>
      <c r="Z33" s="1073"/>
      <c r="AA33" s="1073"/>
      <c r="AB33" s="1073"/>
      <c r="AC33" s="1073"/>
      <c r="AD33" s="1073"/>
      <c r="AE33" s="1073"/>
      <c r="AF33" s="1073"/>
      <c r="AG33" s="1073"/>
      <c r="AH33" s="1073"/>
    </row>
    <row r="34" spans="1:34" s="1071" customFormat="1">
      <c r="A34" s="1074">
        <v>3</v>
      </c>
      <c r="B34" s="1097" t="s">
        <v>5609</v>
      </c>
      <c r="C34" s="1072"/>
      <c r="D34" s="1072"/>
      <c r="E34" s="1072"/>
      <c r="F34" s="1072"/>
      <c r="G34" s="1072"/>
      <c r="H34" s="1072"/>
      <c r="I34" s="1072"/>
      <c r="J34" s="1072"/>
      <c r="K34" s="1072"/>
      <c r="L34" s="1072"/>
      <c r="M34" s="1072"/>
      <c r="N34" s="1072"/>
      <c r="O34" s="1072"/>
      <c r="P34" s="1072"/>
      <c r="Q34" s="1072"/>
      <c r="R34" s="1072"/>
      <c r="S34" s="1072"/>
      <c r="T34" s="1072"/>
      <c r="V34" s="1073"/>
      <c r="W34" s="1073"/>
      <c r="X34" s="1073"/>
      <c r="Y34" s="1073"/>
      <c r="Z34" s="1073"/>
      <c r="AA34" s="1073"/>
      <c r="AB34" s="1073"/>
      <c r="AC34" s="1073"/>
      <c r="AD34" s="1073"/>
      <c r="AE34" s="1073"/>
      <c r="AF34" s="1073"/>
      <c r="AG34" s="1073"/>
      <c r="AH34" s="1073"/>
    </row>
    <row r="35" spans="1:34" s="1071" customFormat="1">
      <c r="A35" s="1074">
        <v>4</v>
      </c>
      <c r="B35" s="1098" t="s">
        <v>150</v>
      </c>
      <c r="C35" s="1072"/>
      <c r="D35" s="1072"/>
      <c r="E35" s="1072"/>
      <c r="F35" s="1072"/>
      <c r="G35" s="1072"/>
      <c r="H35" s="1072"/>
      <c r="I35" s="1072"/>
      <c r="J35" s="1072"/>
      <c r="K35" s="1072"/>
      <c r="L35" s="1072"/>
      <c r="M35" s="1072"/>
      <c r="N35" s="1072"/>
      <c r="O35" s="1072"/>
      <c r="P35" s="1072"/>
      <c r="Q35" s="1072"/>
      <c r="R35" s="1072"/>
      <c r="S35" s="1072"/>
      <c r="T35" s="1072"/>
      <c r="V35" s="1073"/>
      <c r="W35" s="1073"/>
      <c r="X35" s="1073"/>
      <c r="Y35" s="1073"/>
      <c r="Z35" s="1073"/>
      <c r="AA35" s="1073"/>
      <c r="AB35" s="1073"/>
      <c r="AC35" s="1073"/>
      <c r="AD35" s="1073"/>
      <c r="AE35" s="1073"/>
      <c r="AF35" s="1073"/>
      <c r="AG35" s="1073"/>
      <c r="AH35" s="1073"/>
    </row>
    <row r="36" spans="1:34" s="1071" customFormat="1">
      <c r="A36" s="1074">
        <v>5</v>
      </c>
      <c r="B36" s="1116" t="s">
        <v>1016</v>
      </c>
      <c r="C36" s="1072"/>
      <c r="D36" s="1072"/>
      <c r="E36" s="1072"/>
      <c r="F36" s="1072"/>
      <c r="G36" s="1072"/>
      <c r="H36" s="1072"/>
      <c r="I36" s="1072"/>
      <c r="J36" s="1072"/>
      <c r="K36" s="1072"/>
      <c r="L36" s="1072"/>
      <c r="M36" s="1072"/>
      <c r="N36" s="1072"/>
      <c r="O36" s="1072"/>
      <c r="P36" s="1072"/>
      <c r="Q36" s="1072"/>
      <c r="R36" s="1072"/>
      <c r="S36" s="1072"/>
      <c r="T36" s="1072"/>
      <c r="V36" s="1073"/>
      <c r="W36" s="1073"/>
      <c r="X36" s="1073"/>
      <c r="Y36" s="1073"/>
      <c r="Z36" s="1073"/>
      <c r="AA36" s="1073"/>
      <c r="AB36" s="1073"/>
      <c r="AC36" s="1073"/>
      <c r="AD36" s="1073"/>
      <c r="AE36" s="1073"/>
      <c r="AF36" s="1073"/>
      <c r="AG36" s="1073"/>
      <c r="AH36" s="1073"/>
    </row>
    <row r="37" spans="1:34" s="1071" customFormat="1">
      <c r="A37" s="1074">
        <v>6</v>
      </c>
      <c r="B37" s="55" t="s">
        <v>483</v>
      </c>
      <c r="C37" s="1072"/>
      <c r="D37" s="1072"/>
      <c r="E37" s="1072"/>
      <c r="F37" s="1072"/>
      <c r="G37" s="1072"/>
      <c r="H37" s="1072"/>
      <c r="I37" s="1072"/>
      <c r="J37" s="1072"/>
      <c r="K37" s="1072"/>
      <c r="L37" s="1072"/>
      <c r="M37" s="1072"/>
      <c r="N37" s="1072"/>
      <c r="O37" s="1072"/>
      <c r="P37" s="1072"/>
      <c r="Q37" s="1072"/>
      <c r="R37" s="1072"/>
      <c r="S37" s="1072"/>
      <c r="T37" s="1072"/>
      <c r="V37" s="1073"/>
      <c r="W37" s="1073"/>
      <c r="X37" s="1073"/>
      <c r="Y37" s="1073"/>
      <c r="Z37" s="1073"/>
      <c r="AA37" s="1073"/>
      <c r="AB37" s="1073"/>
      <c r="AC37" s="1073"/>
      <c r="AD37" s="1073"/>
      <c r="AE37" s="1073"/>
      <c r="AF37" s="1073"/>
      <c r="AG37" s="1073"/>
      <c r="AH37" s="1073"/>
    </row>
    <row r="38" spans="1:34" s="1071" customFormat="1">
      <c r="A38" s="1074">
        <v>7</v>
      </c>
      <c r="B38" s="55" t="s">
        <v>484</v>
      </c>
      <c r="C38" s="1072"/>
      <c r="D38" s="1072"/>
      <c r="E38" s="1072"/>
      <c r="F38" s="1072"/>
      <c r="G38" s="1072"/>
      <c r="H38" s="1072"/>
      <c r="I38" s="1072"/>
      <c r="J38" s="1072"/>
      <c r="K38" s="1072"/>
      <c r="L38" s="1072"/>
      <c r="M38" s="1072"/>
      <c r="N38" s="1072"/>
      <c r="O38" s="1072"/>
      <c r="P38" s="1072"/>
      <c r="Q38" s="1072"/>
      <c r="R38" s="1072"/>
      <c r="S38" s="1072"/>
      <c r="T38" s="1072"/>
      <c r="V38" s="1073"/>
      <c r="W38" s="1073"/>
      <c r="X38" s="1073"/>
      <c r="Y38" s="1073"/>
      <c r="Z38" s="1073"/>
      <c r="AA38" s="1073"/>
      <c r="AB38" s="1073"/>
      <c r="AC38" s="1073"/>
      <c r="AD38" s="1073"/>
      <c r="AE38" s="1073"/>
      <c r="AF38" s="1073"/>
      <c r="AG38" s="1073"/>
      <c r="AH38" s="1073"/>
    </row>
    <row r="39" spans="1:34">
      <c r="A39" s="1074">
        <v>8</v>
      </c>
      <c r="B39" s="3072" t="s">
        <v>1372</v>
      </c>
      <c r="C39" s="3072"/>
      <c r="D39" s="3072"/>
      <c r="E39" s="3072"/>
      <c r="F39" s="3072"/>
      <c r="G39" s="3072"/>
      <c r="H39" s="3072"/>
      <c r="I39" s="3072"/>
      <c r="J39" s="3072"/>
      <c r="K39" s="3072"/>
      <c r="L39" s="3072"/>
      <c r="M39" s="3072"/>
      <c r="N39" s="3072"/>
      <c r="O39" s="3072"/>
      <c r="P39" s="3072"/>
      <c r="Q39" s="3072"/>
      <c r="R39" s="3072"/>
    </row>
    <row r="40" spans="1:34">
      <c r="A40" s="1074">
        <v>9</v>
      </c>
      <c r="B40" s="55" t="s">
        <v>488</v>
      </c>
    </row>
    <row r="41" spans="1:34">
      <c r="A41" s="1074">
        <v>10</v>
      </c>
      <c r="B41" s="55" t="s">
        <v>486</v>
      </c>
    </row>
    <row r="42" spans="1:34">
      <c r="A42" s="1074">
        <v>11</v>
      </c>
      <c r="B42" s="55" t="s">
        <v>489</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30"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heetViews>
  <sheetFormatPr defaultColWidth="9" defaultRowHeight="14.25"/>
  <cols>
    <col min="1" max="1" width="5.125" style="55" customWidth="1"/>
    <col min="2" max="2" width="8.875" style="55" customWidth="1"/>
    <col min="3" max="3" width="20.75" style="55" customWidth="1"/>
    <col min="4" max="4" width="6.75" style="55" customWidth="1"/>
    <col min="5" max="5" width="5" style="55" customWidth="1"/>
    <col min="6" max="6" width="6.625" style="55" customWidth="1"/>
    <col min="7" max="7" width="17.125" style="55" customWidth="1"/>
    <col min="8" max="8" width="6.625" style="55" customWidth="1"/>
    <col min="9" max="9" width="5" style="55" customWidth="1"/>
    <col min="10" max="10" width="11.25" style="47" bestFit="1" customWidth="1"/>
    <col min="11" max="11" width="12.25" style="47" bestFit="1" customWidth="1"/>
    <col min="12" max="12" width="13.75" style="47" customWidth="1"/>
    <col min="13" max="13" width="16.625" style="47" customWidth="1"/>
    <col min="14" max="14" width="11.625" style="47" customWidth="1"/>
    <col min="15" max="15" width="10.5" style="47" customWidth="1"/>
    <col min="16" max="16" width="16.75" style="47" customWidth="1"/>
    <col min="17" max="18" width="16.25" style="47" customWidth="1"/>
    <col min="19" max="16384" width="9" style="47"/>
  </cols>
  <sheetData>
    <row r="1" spans="1:19" ht="16.5">
      <c r="A1" s="2186" t="str">
        <f>+封面!A3&amp;" "&amp;封面!A2</f>
        <v xml:space="preserve"> 中央再保險股份有限公司 年度檢查報表</v>
      </c>
      <c r="B1" s="47"/>
      <c r="C1" s="47"/>
      <c r="D1" s="47"/>
      <c r="E1" s="47"/>
      <c r="F1" s="47"/>
      <c r="G1" s="47"/>
      <c r="H1" s="47"/>
      <c r="I1" s="47"/>
    </row>
    <row r="2" spans="1:19">
      <c r="A2" s="47" t="s">
        <v>982</v>
      </c>
      <c r="B2" s="47"/>
      <c r="C2" s="47"/>
      <c r="D2" s="47"/>
      <c r="E2" s="47"/>
      <c r="R2" s="286" t="s">
        <v>169</v>
      </c>
    </row>
    <row r="3" spans="1:19" ht="16.5" customHeight="1">
      <c r="A3" s="3077" t="s">
        <v>227</v>
      </c>
      <c r="B3" s="3080" t="s">
        <v>149</v>
      </c>
      <c r="C3" s="3080"/>
      <c r="D3" s="3080"/>
      <c r="E3" s="3080"/>
      <c r="F3" s="3080"/>
      <c r="G3" s="3081" t="s">
        <v>153</v>
      </c>
      <c r="H3" s="3082"/>
      <c r="I3" s="3089" t="s">
        <v>166</v>
      </c>
      <c r="J3" s="3070" t="s">
        <v>437</v>
      </c>
      <c r="K3" s="3070" t="s">
        <v>167</v>
      </c>
      <c r="L3" s="3070" t="s">
        <v>691</v>
      </c>
      <c r="M3" s="3075" t="s">
        <v>154</v>
      </c>
      <c r="N3" s="3076" t="s">
        <v>561</v>
      </c>
      <c r="O3" s="3085" t="s">
        <v>168</v>
      </c>
      <c r="P3" s="3070" t="s">
        <v>170</v>
      </c>
      <c r="Q3" s="3070" t="s">
        <v>171</v>
      </c>
      <c r="R3" s="3070" t="s">
        <v>172</v>
      </c>
      <c r="S3" s="3070" t="s">
        <v>228</v>
      </c>
    </row>
    <row r="4" spans="1:19" s="955" customFormat="1" ht="48.75" customHeight="1">
      <c r="A4" s="3078"/>
      <c r="B4" s="1083" t="s">
        <v>147</v>
      </c>
      <c r="C4" s="1083" t="s">
        <v>222</v>
      </c>
      <c r="D4" s="1083" t="s">
        <v>224</v>
      </c>
      <c r="E4" s="1083" t="s">
        <v>223</v>
      </c>
      <c r="F4" s="1083" t="s">
        <v>148</v>
      </c>
      <c r="G4" s="1084" t="s">
        <v>164</v>
      </c>
      <c r="H4" s="1085" t="s">
        <v>165</v>
      </c>
      <c r="I4" s="3090"/>
      <c r="J4" s="3084"/>
      <c r="K4" s="3084"/>
      <c r="L4" s="3074"/>
      <c r="M4" s="3071"/>
      <c r="N4" s="3074"/>
      <c r="O4" s="3084"/>
      <c r="P4" s="3084"/>
      <c r="Q4" s="3084"/>
      <c r="R4" s="3084"/>
      <c r="S4" s="3084"/>
    </row>
    <row r="5" spans="1:19" s="955" customFormat="1">
      <c r="A5" s="3079"/>
      <c r="B5" s="1086" t="s">
        <v>66</v>
      </c>
      <c r="C5" s="1086" t="s">
        <v>67</v>
      </c>
      <c r="D5" s="1086" t="s">
        <v>68</v>
      </c>
      <c r="E5" s="1086" t="s">
        <v>69</v>
      </c>
      <c r="F5" s="1086" t="s">
        <v>70</v>
      </c>
      <c r="G5" s="1086" t="s">
        <v>71</v>
      </c>
      <c r="H5" s="1086" t="s">
        <v>72</v>
      </c>
      <c r="I5" s="1086" t="s">
        <v>73</v>
      </c>
      <c r="J5" s="1086" t="s">
        <v>74</v>
      </c>
      <c r="K5" s="1086" t="s">
        <v>75</v>
      </c>
      <c r="L5" s="1086" t="s">
        <v>225</v>
      </c>
      <c r="M5" s="1086" t="s">
        <v>226</v>
      </c>
      <c r="N5" s="1086" t="s">
        <v>274</v>
      </c>
      <c r="O5" s="1086" t="s">
        <v>275</v>
      </c>
      <c r="P5" s="1086" t="s">
        <v>276</v>
      </c>
      <c r="Q5" s="1086" t="s">
        <v>277</v>
      </c>
      <c r="R5" s="1086" t="s">
        <v>278</v>
      </c>
      <c r="S5" s="1086" t="s">
        <v>138</v>
      </c>
    </row>
    <row r="6" spans="1:19">
      <c r="A6" s="947">
        <v>1</v>
      </c>
      <c r="B6" s="1087"/>
      <c r="C6" s="1088"/>
      <c r="D6" s="1089"/>
      <c r="E6" s="1089"/>
      <c r="F6" s="947"/>
      <c r="G6" s="943"/>
      <c r="H6" s="943"/>
      <c r="I6" s="943"/>
      <c r="J6" s="1090"/>
      <c r="K6" s="1090"/>
      <c r="L6" s="1091"/>
      <c r="M6" s="1091"/>
      <c r="N6" s="1091"/>
      <c r="O6" s="1091"/>
      <c r="P6" s="1092"/>
      <c r="Q6" s="1091"/>
      <c r="R6" s="1091"/>
      <c r="S6" s="945"/>
    </row>
    <row r="7" spans="1:19">
      <c r="A7" s="947">
        <v>2</v>
      </c>
      <c r="B7" s="1089"/>
      <c r="C7" s="1089"/>
      <c r="D7" s="1089"/>
      <c r="E7" s="1089"/>
      <c r="F7" s="943"/>
      <c r="G7" s="943"/>
      <c r="H7" s="943"/>
      <c r="I7" s="943"/>
      <c r="J7" s="1093"/>
      <c r="K7" s="1093"/>
      <c r="L7" s="1091"/>
      <c r="M7" s="1091"/>
      <c r="N7" s="1091"/>
      <c r="O7" s="1091"/>
      <c r="P7" s="1092"/>
      <c r="Q7" s="1091"/>
      <c r="R7" s="1091"/>
      <c r="S7" s="945"/>
    </row>
    <row r="8" spans="1:19">
      <c r="A8" s="947">
        <v>3</v>
      </c>
      <c r="B8" s="1089"/>
      <c r="C8" s="1089"/>
      <c r="D8" s="1089"/>
      <c r="E8" s="1089"/>
      <c r="F8" s="943"/>
      <c r="G8" s="943"/>
      <c r="H8" s="943"/>
      <c r="I8" s="943"/>
      <c r="J8" s="1093"/>
      <c r="K8" s="1093"/>
      <c r="L8" s="1091"/>
      <c r="M8" s="1091"/>
      <c r="N8" s="1091"/>
      <c r="O8" s="1091"/>
      <c r="P8" s="1092"/>
      <c r="Q8" s="1091"/>
      <c r="R8" s="1091"/>
      <c r="S8" s="945"/>
    </row>
    <row r="9" spans="1:19" ht="15.75" customHeight="1">
      <c r="A9" s="947">
        <v>4</v>
      </c>
      <c r="B9" s="1089"/>
      <c r="C9" s="1089"/>
      <c r="D9" s="1089"/>
      <c r="E9" s="1089"/>
      <c r="F9" s="943"/>
      <c r="G9" s="943"/>
      <c r="H9" s="943"/>
      <c r="I9" s="943"/>
      <c r="J9" s="1093"/>
      <c r="K9" s="1093"/>
      <c r="L9" s="1091"/>
      <c r="M9" s="1091"/>
      <c r="N9" s="1091"/>
      <c r="O9" s="1091"/>
      <c r="P9" s="1092"/>
      <c r="Q9" s="1091"/>
      <c r="R9" s="1091"/>
      <c r="S9" s="945"/>
    </row>
    <row r="10" spans="1:19">
      <c r="A10" s="947">
        <v>5</v>
      </c>
      <c r="B10" s="1094"/>
      <c r="C10" s="1089"/>
      <c r="D10" s="1089"/>
      <c r="E10" s="1089"/>
      <c r="F10" s="943"/>
      <c r="G10" s="943"/>
      <c r="H10" s="943"/>
      <c r="I10" s="943"/>
      <c r="J10" s="1093"/>
      <c r="K10" s="1093"/>
      <c r="L10" s="1091"/>
      <c r="M10" s="1091"/>
      <c r="N10" s="1091"/>
      <c r="O10" s="1091"/>
      <c r="P10" s="1092"/>
      <c r="Q10" s="1091"/>
      <c r="R10" s="1091"/>
      <c r="S10" s="945"/>
    </row>
    <row r="11" spans="1:19">
      <c r="A11" s="947">
        <v>6</v>
      </c>
      <c r="B11" s="1089"/>
      <c r="C11" s="1089"/>
      <c r="D11" s="1089"/>
      <c r="E11" s="1089"/>
      <c r="F11" s="943"/>
      <c r="G11" s="943"/>
      <c r="H11" s="943"/>
      <c r="I11" s="943"/>
      <c r="J11" s="1093"/>
      <c r="K11" s="1093"/>
      <c r="L11" s="1091"/>
      <c r="M11" s="1091"/>
      <c r="N11" s="1091"/>
      <c r="O11" s="1091"/>
      <c r="P11" s="1092"/>
      <c r="Q11" s="1091"/>
      <c r="R11" s="1091"/>
      <c r="S11" s="945"/>
    </row>
    <row r="12" spans="1:19">
      <c r="A12" s="947">
        <v>7</v>
      </c>
      <c r="B12" s="1089"/>
      <c r="C12" s="1089"/>
      <c r="D12" s="1089"/>
      <c r="E12" s="1089"/>
      <c r="F12" s="943"/>
      <c r="G12" s="943"/>
      <c r="H12" s="943"/>
      <c r="I12" s="943"/>
      <c r="J12" s="1093"/>
      <c r="K12" s="1093"/>
      <c r="L12" s="1091"/>
      <c r="M12" s="1091"/>
      <c r="N12" s="1091"/>
      <c r="O12" s="1091"/>
      <c r="P12" s="1092"/>
      <c r="Q12" s="1091"/>
      <c r="R12" s="1091"/>
      <c r="S12" s="945"/>
    </row>
    <row r="13" spans="1:19">
      <c r="A13" s="947">
        <v>8</v>
      </c>
      <c r="B13" s="1089"/>
      <c r="C13" s="1089"/>
      <c r="D13" s="1089"/>
      <c r="E13" s="1089"/>
      <c r="F13" s="943"/>
      <c r="G13" s="943"/>
      <c r="H13" s="943"/>
      <c r="I13" s="943"/>
      <c r="J13" s="1093"/>
      <c r="K13" s="1093"/>
      <c r="L13" s="1091"/>
      <c r="M13" s="1091"/>
      <c r="N13" s="1091"/>
      <c r="O13" s="1091"/>
      <c r="P13" s="1092"/>
      <c r="Q13" s="1091"/>
      <c r="R13" s="1091"/>
      <c r="S13" s="945"/>
    </row>
    <row r="14" spans="1:19">
      <c r="A14" s="947">
        <v>9</v>
      </c>
      <c r="B14" s="1089"/>
      <c r="C14" s="1089"/>
      <c r="D14" s="1089"/>
      <c r="E14" s="1089"/>
      <c r="F14" s="943"/>
      <c r="G14" s="943"/>
      <c r="H14" s="943"/>
      <c r="I14" s="943"/>
      <c r="J14" s="1093"/>
      <c r="K14" s="1093"/>
      <c r="L14" s="1091"/>
      <c r="M14" s="1091"/>
      <c r="N14" s="1091"/>
      <c r="O14" s="1091"/>
      <c r="P14" s="1092"/>
      <c r="Q14" s="1091"/>
      <c r="R14" s="1091"/>
      <c r="S14" s="945"/>
    </row>
    <row r="15" spans="1:19">
      <c r="A15" s="947">
        <v>10</v>
      </c>
      <c r="B15" s="1089"/>
      <c r="C15" s="1089"/>
      <c r="D15" s="1089"/>
      <c r="E15" s="1089"/>
      <c r="F15" s="943"/>
      <c r="G15" s="943"/>
      <c r="H15" s="943"/>
      <c r="I15" s="943"/>
      <c r="J15" s="1093"/>
      <c r="K15" s="1093"/>
      <c r="L15" s="1091"/>
      <c r="M15" s="1091"/>
      <c r="N15" s="1091"/>
      <c r="O15" s="1091"/>
      <c r="P15" s="1092"/>
      <c r="Q15" s="1091"/>
      <c r="R15" s="1091"/>
      <c r="S15" s="945"/>
    </row>
    <row r="16" spans="1:19">
      <c r="A16" s="947">
        <v>11</v>
      </c>
      <c r="B16" s="1089"/>
      <c r="C16" s="1089"/>
      <c r="D16" s="1089"/>
      <c r="E16" s="1089"/>
      <c r="F16" s="943"/>
      <c r="G16" s="943"/>
      <c r="H16" s="943"/>
      <c r="I16" s="943"/>
      <c r="J16" s="1093"/>
      <c r="K16" s="1093"/>
      <c r="L16" s="1091"/>
      <c r="M16" s="1091"/>
      <c r="N16" s="1091"/>
      <c r="O16" s="1091"/>
      <c r="P16" s="1092"/>
      <c r="Q16" s="1091"/>
      <c r="R16" s="1091"/>
      <c r="S16" s="945"/>
    </row>
    <row r="17" spans="1:34">
      <c r="A17" s="947">
        <v>12</v>
      </c>
      <c r="B17" s="1089"/>
      <c r="C17" s="1089"/>
      <c r="D17" s="1089"/>
      <c r="E17" s="1089"/>
      <c r="F17" s="943"/>
      <c r="G17" s="943"/>
      <c r="H17" s="943"/>
      <c r="I17" s="943"/>
      <c r="J17" s="1093"/>
      <c r="K17" s="1093"/>
      <c r="L17" s="1091"/>
      <c r="M17" s="1091"/>
      <c r="N17" s="1091"/>
      <c r="O17" s="1091"/>
      <c r="P17" s="1092"/>
      <c r="Q17" s="1091"/>
      <c r="R17" s="1091"/>
      <c r="S17" s="945"/>
    </row>
    <row r="18" spans="1:34">
      <c r="A18" s="947">
        <v>13</v>
      </c>
      <c r="B18" s="1089"/>
      <c r="C18" s="1089"/>
      <c r="D18" s="1089"/>
      <c r="E18" s="1089"/>
      <c r="F18" s="943"/>
      <c r="G18" s="943"/>
      <c r="H18" s="943"/>
      <c r="I18" s="943"/>
      <c r="J18" s="1093"/>
      <c r="K18" s="1093"/>
      <c r="L18" s="1091"/>
      <c r="M18" s="1091"/>
      <c r="N18" s="1091"/>
      <c r="O18" s="1091"/>
      <c r="P18" s="1092"/>
      <c r="Q18" s="1091"/>
      <c r="R18" s="1091"/>
      <c r="S18" s="945"/>
    </row>
    <row r="19" spans="1:34">
      <c r="A19" s="947">
        <v>14</v>
      </c>
      <c r="B19" s="1089"/>
      <c r="C19" s="1089"/>
      <c r="D19" s="1089"/>
      <c r="E19" s="1089"/>
      <c r="F19" s="943"/>
      <c r="G19" s="943"/>
      <c r="H19" s="943"/>
      <c r="I19" s="943"/>
      <c r="J19" s="1093"/>
      <c r="K19" s="1093"/>
      <c r="L19" s="1091"/>
      <c r="M19" s="1091"/>
      <c r="N19" s="1091"/>
      <c r="O19" s="1091"/>
      <c r="P19" s="1092"/>
      <c r="Q19" s="1091"/>
      <c r="R19" s="1091"/>
      <c r="S19" s="945"/>
    </row>
    <row r="20" spans="1:34">
      <c r="A20" s="947">
        <v>15</v>
      </c>
      <c r="B20" s="1089"/>
      <c r="C20" s="1089"/>
      <c r="D20" s="1089"/>
      <c r="E20" s="1089"/>
      <c r="F20" s="943"/>
      <c r="G20" s="943"/>
      <c r="H20" s="943"/>
      <c r="I20" s="943"/>
      <c r="J20" s="1093"/>
      <c r="K20" s="1093"/>
      <c r="L20" s="1091"/>
      <c r="M20" s="1091"/>
      <c r="N20" s="1091"/>
      <c r="O20" s="1091"/>
      <c r="P20" s="1092"/>
      <c r="Q20" s="1091"/>
      <c r="R20" s="1091"/>
      <c r="S20" s="945"/>
    </row>
    <row r="21" spans="1:34">
      <c r="A21" s="947">
        <v>16</v>
      </c>
      <c r="B21" s="1089"/>
      <c r="C21" s="1089"/>
      <c r="D21" s="1089"/>
      <c r="E21" s="1089"/>
      <c r="F21" s="943"/>
      <c r="G21" s="943"/>
      <c r="H21" s="943"/>
      <c r="I21" s="943"/>
      <c r="J21" s="1093"/>
      <c r="K21" s="1093"/>
      <c r="L21" s="1091"/>
      <c r="M21" s="1091"/>
      <c r="N21" s="1091"/>
      <c r="O21" s="1091"/>
      <c r="P21" s="1092"/>
      <c r="Q21" s="1091"/>
      <c r="R21" s="1091"/>
      <c r="S21" s="945"/>
    </row>
    <row r="22" spans="1:34">
      <c r="A22" s="947">
        <v>17</v>
      </c>
      <c r="B22" s="1089"/>
      <c r="C22" s="1089"/>
      <c r="D22" s="1089"/>
      <c r="E22" s="1089"/>
      <c r="F22" s="943"/>
      <c r="G22" s="943"/>
      <c r="H22" s="943"/>
      <c r="I22" s="943"/>
      <c r="J22" s="1093"/>
      <c r="K22" s="1093"/>
      <c r="L22" s="1091"/>
      <c r="M22" s="1091"/>
      <c r="N22" s="1091"/>
      <c r="O22" s="1091"/>
      <c r="P22" s="1092"/>
      <c r="Q22" s="1091"/>
      <c r="R22" s="1091"/>
      <c r="S22" s="945"/>
    </row>
    <row r="23" spans="1:34">
      <c r="A23" s="947">
        <v>18</v>
      </c>
      <c r="B23" s="1089"/>
      <c r="C23" s="1089"/>
      <c r="D23" s="1089"/>
      <c r="E23" s="1089"/>
      <c r="F23" s="943"/>
      <c r="G23" s="943"/>
      <c r="H23" s="943"/>
      <c r="I23" s="943"/>
      <c r="J23" s="1093"/>
      <c r="K23" s="1093"/>
      <c r="L23" s="1091"/>
      <c r="M23" s="1091"/>
      <c r="N23" s="1091"/>
      <c r="O23" s="1091"/>
      <c r="P23" s="1092"/>
      <c r="Q23" s="1091"/>
      <c r="R23" s="1091"/>
      <c r="S23" s="945"/>
    </row>
    <row r="24" spans="1:34">
      <c r="A24" s="947">
        <v>19</v>
      </c>
      <c r="B24" s="1089"/>
      <c r="C24" s="1089"/>
      <c r="D24" s="1089"/>
      <c r="E24" s="1089"/>
      <c r="F24" s="943"/>
      <c r="G24" s="943"/>
      <c r="H24" s="943"/>
      <c r="I24" s="943"/>
      <c r="J24" s="1093"/>
      <c r="K24" s="1093"/>
      <c r="L24" s="1091"/>
      <c r="M24" s="1091"/>
      <c r="N24" s="1091"/>
      <c r="O24" s="1091"/>
      <c r="P24" s="1092"/>
      <c r="Q24" s="1091"/>
      <c r="R24" s="1091"/>
      <c r="S24" s="945"/>
    </row>
    <row r="25" spans="1:34">
      <c r="A25" s="947">
        <v>20</v>
      </c>
      <c r="B25" s="1089"/>
      <c r="C25" s="1089"/>
      <c r="D25" s="1089"/>
      <c r="E25" s="1089"/>
      <c r="F25" s="943"/>
      <c r="G25" s="943"/>
      <c r="H25" s="943"/>
      <c r="I25" s="943"/>
      <c r="J25" s="1093"/>
      <c r="K25" s="1093"/>
      <c r="L25" s="1095"/>
      <c r="M25" s="1091"/>
      <c r="N25" s="1091"/>
      <c r="O25" s="1091"/>
      <c r="P25" s="1092"/>
      <c r="Q25" s="1091"/>
      <c r="R25" s="1091"/>
      <c r="S25" s="945"/>
    </row>
    <row r="26" spans="1:34">
      <c r="A26" s="947">
        <v>21</v>
      </c>
      <c r="B26" s="1089"/>
      <c r="C26" s="1089"/>
      <c r="D26" s="1089"/>
      <c r="E26" s="1089"/>
      <c r="F26" s="943"/>
      <c r="G26" s="943"/>
      <c r="H26" s="943"/>
      <c r="I26" s="943"/>
      <c r="J26" s="1093"/>
      <c r="K26" s="1093"/>
      <c r="L26" s="1091"/>
      <c r="M26" s="1091"/>
      <c r="N26" s="1091"/>
      <c r="O26" s="1091"/>
      <c r="P26" s="1092"/>
      <c r="Q26" s="1091"/>
      <c r="R26" s="1091"/>
      <c r="S26" s="945"/>
    </row>
    <row r="27" spans="1:34">
      <c r="A27" s="947">
        <v>22</v>
      </c>
      <c r="B27" s="1089"/>
      <c r="C27" s="1089"/>
      <c r="D27" s="1089"/>
      <c r="E27" s="1089"/>
      <c r="F27" s="943"/>
      <c r="G27" s="943"/>
      <c r="H27" s="943"/>
      <c r="I27" s="943"/>
      <c r="J27" s="1093"/>
      <c r="K27" s="1093"/>
      <c r="L27" s="1091"/>
      <c r="M27" s="1091"/>
      <c r="N27" s="1091"/>
      <c r="O27" s="1091"/>
      <c r="P27" s="1092"/>
      <c r="Q27" s="1091"/>
      <c r="R27" s="1091"/>
      <c r="S27" s="945"/>
    </row>
    <row r="28" spans="1:34">
      <c r="A28" s="947">
        <v>23</v>
      </c>
      <c r="B28" s="1089"/>
      <c r="C28" s="1089"/>
      <c r="D28" s="1089"/>
      <c r="E28" s="1089"/>
      <c r="F28" s="943"/>
      <c r="G28" s="943"/>
      <c r="H28" s="943"/>
      <c r="I28" s="943"/>
      <c r="J28" s="1093"/>
      <c r="K28" s="1093"/>
      <c r="L28" s="1091"/>
      <c r="M28" s="1091"/>
      <c r="N28" s="1091"/>
      <c r="O28" s="1091"/>
      <c r="P28" s="1092"/>
      <c r="Q28" s="1091"/>
      <c r="R28" s="1091"/>
      <c r="S28" s="945"/>
    </row>
    <row r="29" spans="1:34">
      <c r="A29" s="947">
        <v>24</v>
      </c>
      <c r="B29" s="1089"/>
      <c r="C29" s="1089"/>
      <c r="D29" s="1089"/>
      <c r="E29" s="1089"/>
      <c r="F29" s="943"/>
      <c r="G29" s="943"/>
      <c r="H29" s="943"/>
      <c r="I29" s="943"/>
      <c r="J29" s="1093"/>
      <c r="K29" s="1093"/>
      <c r="L29" s="1091"/>
      <c r="M29" s="1091"/>
      <c r="N29" s="1091"/>
      <c r="O29" s="1091"/>
      <c r="P29" s="1092"/>
      <c r="Q29" s="1091"/>
      <c r="R29" s="1091"/>
      <c r="S29" s="945"/>
    </row>
    <row r="30" spans="1:34">
      <c r="A30" s="947">
        <v>25</v>
      </c>
      <c r="B30" s="3086" t="s">
        <v>4152</v>
      </c>
      <c r="C30" s="3087"/>
      <c r="D30" s="3087"/>
      <c r="E30" s="3087"/>
      <c r="F30" s="3088"/>
      <c r="G30" s="1096"/>
      <c r="H30" s="1096"/>
      <c r="I30" s="1096"/>
      <c r="J30" s="1093">
        <f>SUM(J6:J29)</f>
        <v>0</v>
      </c>
      <c r="K30" s="1093">
        <f t="shared" ref="K30:R30" si="0">SUM(K6:K29)</f>
        <v>0</v>
      </c>
      <c r="L30" s="1093">
        <f t="shared" si="0"/>
        <v>0</v>
      </c>
      <c r="M30" s="1093">
        <f t="shared" si="0"/>
        <v>0</v>
      </c>
      <c r="N30" s="1093">
        <f t="shared" si="0"/>
        <v>0</v>
      </c>
      <c r="O30" s="1093">
        <f t="shared" si="0"/>
        <v>0</v>
      </c>
      <c r="P30" s="1093">
        <f t="shared" si="0"/>
        <v>0</v>
      </c>
      <c r="Q30" s="1093">
        <f t="shared" si="0"/>
        <v>0</v>
      </c>
      <c r="R30" s="1093">
        <f t="shared" si="0"/>
        <v>0</v>
      </c>
      <c r="S30" s="945"/>
    </row>
    <row r="31" spans="1:34" s="1071" customFormat="1">
      <c r="A31" s="1071" t="s">
        <v>257</v>
      </c>
      <c r="B31" s="3072"/>
      <c r="C31" s="3072"/>
      <c r="D31" s="3072"/>
      <c r="E31" s="3072"/>
      <c r="F31" s="3072"/>
      <c r="G31" s="3072"/>
      <c r="H31" s="3072"/>
      <c r="I31" s="3072"/>
      <c r="J31" s="3072"/>
      <c r="K31" s="3072"/>
      <c r="L31" s="3072"/>
      <c r="M31" s="3072"/>
      <c r="N31" s="3072"/>
      <c r="O31" s="3072"/>
      <c r="P31" s="3072"/>
      <c r="Q31" s="3072"/>
      <c r="R31" s="3072"/>
      <c r="S31" s="3072"/>
      <c r="T31" s="3072"/>
      <c r="V31" s="1073"/>
      <c r="W31" s="1073"/>
      <c r="X31" s="1073"/>
      <c r="Y31" s="1073"/>
      <c r="Z31" s="1073"/>
      <c r="AA31" s="1073"/>
      <c r="AB31" s="1073"/>
      <c r="AC31" s="1073"/>
      <c r="AD31" s="1073"/>
      <c r="AE31" s="1073"/>
      <c r="AF31" s="1073"/>
      <c r="AG31" s="1073"/>
      <c r="AH31" s="1073"/>
    </row>
    <row r="32" spans="1:34" s="1071" customFormat="1">
      <c r="A32" s="1074">
        <v>1</v>
      </c>
      <c r="B32" s="3072" t="s">
        <v>480</v>
      </c>
      <c r="C32" s="3072"/>
      <c r="D32" s="3072"/>
      <c r="E32" s="3072"/>
      <c r="F32" s="3072"/>
      <c r="G32" s="3072"/>
      <c r="H32" s="3072"/>
      <c r="I32" s="3072"/>
      <c r="J32" s="3072"/>
      <c r="K32" s="3072"/>
      <c r="L32" s="3072"/>
      <c r="M32" s="3072"/>
      <c r="N32" s="3072"/>
      <c r="O32" s="3072"/>
      <c r="P32" s="3072"/>
      <c r="Q32" s="3072"/>
      <c r="R32" s="3072"/>
      <c r="S32" s="1072"/>
      <c r="T32" s="1072"/>
      <c r="V32" s="1073"/>
      <c r="W32" s="1073"/>
      <c r="X32" s="1073"/>
      <c r="Y32" s="1073"/>
      <c r="Z32" s="1073"/>
      <c r="AA32" s="1073"/>
      <c r="AB32" s="1073"/>
      <c r="AC32" s="1073"/>
      <c r="AD32" s="1073"/>
      <c r="AE32" s="1073"/>
      <c r="AF32" s="1073"/>
      <c r="AG32" s="1073"/>
      <c r="AH32" s="1073"/>
    </row>
    <row r="33" spans="1:34" s="1071" customFormat="1">
      <c r="A33" s="1074">
        <v>2</v>
      </c>
      <c r="B33" s="3072" t="s">
        <v>481</v>
      </c>
      <c r="C33" s="3072"/>
      <c r="D33" s="3072"/>
      <c r="E33" s="3072"/>
      <c r="F33" s="3072"/>
      <c r="G33" s="3072"/>
      <c r="H33" s="3072"/>
      <c r="I33" s="3072"/>
      <c r="J33" s="3072"/>
      <c r="K33" s="1072"/>
      <c r="L33" s="1072"/>
      <c r="M33" s="1072"/>
      <c r="N33" s="1072"/>
      <c r="O33" s="1072"/>
      <c r="P33" s="1072"/>
      <c r="Q33" s="1072"/>
      <c r="R33" s="1072"/>
      <c r="S33" s="3072"/>
      <c r="T33" s="3072"/>
      <c r="V33" s="1073"/>
      <c r="W33" s="1073"/>
      <c r="X33" s="1073"/>
      <c r="Y33" s="1073"/>
      <c r="Z33" s="1073"/>
      <c r="AA33" s="1073"/>
      <c r="AB33" s="1073"/>
      <c r="AC33" s="1073"/>
      <c r="AD33" s="1073"/>
      <c r="AE33" s="1073"/>
      <c r="AF33" s="1073"/>
      <c r="AG33" s="1073"/>
      <c r="AH33" s="1073"/>
    </row>
    <row r="34" spans="1:34" s="1071" customFormat="1">
      <c r="A34" s="1074">
        <v>3</v>
      </c>
      <c r="B34" s="1097" t="s">
        <v>5610</v>
      </c>
      <c r="C34" s="1072"/>
      <c r="D34" s="1072"/>
      <c r="E34" s="1072"/>
      <c r="F34" s="1072"/>
      <c r="G34" s="1072"/>
      <c r="H34" s="1072"/>
      <c r="I34" s="1072"/>
      <c r="J34" s="1072"/>
      <c r="K34" s="1072"/>
      <c r="L34" s="1072"/>
      <c r="M34" s="1072"/>
      <c r="N34" s="1072"/>
      <c r="O34" s="1072"/>
      <c r="P34" s="1072"/>
      <c r="Q34" s="1072"/>
      <c r="R34" s="1072"/>
      <c r="S34" s="1072"/>
      <c r="T34" s="1072"/>
      <c r="V34" s="1073"/>
      <c r="W34" s="1073"/>
      <c r="X34" s="1073"/>
      <c r="Y34" s="1073"/>
      <c r="Z34" s="1073"/>
      <c r="AA34" s="1073"/>
      <c r="AB34" s="1073"/>
      <c r="AC34" s="1073"/>
      <c r="AD34" s="1073"/>
      <c r="AE34" s="1073"/>
      <c r="AF34" s="1073"/>
      <c r="AG34" s="1073"/>
      <c r="AH34" s="1073"/>
    </row>
    <row r="35" spans="1:34" s="1071" customFormat="1">
      <c r="A35" s="1074">
        <v>4</v>
      </c>
      <c r="B35" s="1098" t="s">
        <v>482</v>
      </c>
      <c r="C35" s="1072"/>
      <c r="D35" s="1072"/>
      <c r="E35" s="1072"/>
      <c r="F35" s="1072"/>
      <c r="G35" s="1072"/>
      <c r="H35" s="1072"/>
      <c r="I35" s="1072"/>
      <c r="J35" s="1072"/>
      <c r="K35" s="1072"/>
      <c r="L35" s="1072"/>
      <c r="M35" s="1072"/>
      <c r="N35" s="1072"/>
      <c r="O35" s="1072"/>
      <c r="P35" s="1072"/>
      <c r="Q35" s="1072"/>
      <c r="R35" s="1072"/>
      <c r="S35" s="1072"/>
      <c r="T35" s="1072"/>
      <c r="V35" s="1073"/>
      <c r="W35" s="1073"/>
      <c r="X35" s="1073"/>
      <c r="Y35" s="1073"/>
      <c r="Z35" s="1073"/>
      <c r="AA35" s="1073"/>
      <c r="AB35" s="1073"/>
      <c r="AC35" s="1073"/>
      <c r="AD35" s="1073"/>
      <c r="AE35" s="1073"/>
      <c r="AF35" s="1073"/>
      <c r="AG35" s="1073"/>
      <c r="AH35" s="1073"/>
    </row>
    <row r="36" spans="1:34" s="1071" customFormat="1">
      <c r="A36" s="1074">
        <v>5</v>
      </c>
      <c r="B36" s="1099" t="s">
        <v>1017</v>
      </c>
      <c r="C36" s="1072"/>
      <c r="D36" s="1072"/>
      <c r="E36" s="1072"/>
      <c r="F36" s="1072"/>
      <c r="G36" s="1072"/>
      <c r="H36" s="1072"/>
      <c r="I36" s="1072"/>
      <c r="J36" s="1072"/>
      <c r="K36" s="1072"/>
      <c r="L36" s="1072"/>
      <c r="M36" s="1072"/>
      <c r="N36" s="1072"/>
      <c r="O36" s="1072"/>
      <c r="P36" s="1072"/>
      <c r="Q36" s="1072"/>
      <c r="R36" s="1072"/>
      <c r="S36" s="1072"/>
      <c r="T36" s="1072"/>
      <c r="V36" s="1073"/>
      <c r="W36" s="1073"/>
      <c r="X36" s="1073"/>
      <c r="Y36" s="1073"/>
      <c r="Z36" s="1073"/>
      <c r="AA36" s="1073"/>
      <c r="AB36" s="1073"/>
      <c r="AC36" s="1073"/>
      <c r="AD36" s="1073"/>
      <c r="AE36" s="1073"/>
      <c r="AF36" s="1073"/>
      <c r="AG36" s="1073"/>
      <c r="AH36" s="1073"/>
    </row>
    <row r="37" spans="1:34" s="1071" customFormat="1">
      <c r="A37" s="1074">
        <v>6</v>
      </c>
      <c r="B37" s="55" t="s">
        <v>483</v>
      </c>
      <c r="C37" s="1072"/>
      <c r="D37" s="1072"/>
      <c r="E37" s="1072"/>
      <c r="F37" s="1072"/>
      <c r="G37" s="1072"/>
      <c r="H37" s="1072"/>
      <c r="I37" s="1072"/>
      <c r="J37" s="1072"/>
      <c r="K37" s="1072"/>
      <c r="L37" s="1072"/>
      <c r="M37" s="1072"/>
      <c r="N37" s="1072"/>
      <c r="O37" s="1072"/>
      <c r="P37" s="1072"/>
      <c r="Q37" s="1072"/>
      <c r="R37" s="1072"/>
      <c r="S37" s="1072"/>
      <c r="T37" s="1072"/>
      <c r="V37" s="1073"/>
      <c r="W37" s="1073"/>
      <c r="X37" s="1073"/>
      <c r="Y37" s="1073"/>
      <c r="Z37" s="1073"/>
      <c r="AA37" s="1073"/>
      <c r="AB37" s="1073"/>
      <c r="AC37" s="1073"/>
      <c r="AD37" s="1073"/>
      <c r="AE37" s="1073"/>
      <c r="AF37" s="1073"/>
      <c r="AG37" s="1073"/>
      <c r="AH37" s="1073"/>
    </row>
    <row r="38" spans="1:34" s="1071" customFormat="1">
      <c r="A38" s="1074">
        <v>7</v>
      </c>
      <c r="B38" s="55" t="s">
        <v>484</v>
      </c>
      <c r="C38" s="1072"/>
      <c r="D38" s="1072"/>
      <c r="E38" s="1072"/>
      <c r="F38" s="1072"/>
      <c r="G38" s="1072"/>
      <c r="H38" s="1072"/>
      <c r="I38" s="1072"/>
      <c r="J38" s="1072"/>
      <c r="K38" s="1072"/>
      <c r="L38" s="1072"/>
      <c r="M38" s="1072"/>
      <c r="N38" s="1072"/>
      <c r="O38" s="1072"/>
      <c r="P38" s="1072"/>
      <c r="Q38" s="1072"/>
      <c r="R38" s="1072"/>
      <c r="S38" s="1072"/>
      <c r="T38" s="1072"/>
      <c r="V38" s="1073"/>
      <c r="W38" s="1073"/>
      <c r="X38" s="1073"/>
      <c r="Y38" s="1073"/>
      <c r="Z38" s="1073"/>
      <c r="AA38" s="1073"/>
      <c r="AB38" s="1073"/>
      <c r="AC38" s="1073"/>
      <c r="AD38" s="1073"/>
      <c r="AE38" s="1073"/>
      <c r="AF38" s="1073"/>
      <c r="AG38" s="1073"/>
      <c r="AH38" s="1073"/>
    </row>
    <row r="39" spans="1:34" ht="13.9" customHeight="1">
      <c r="A39" s="1074">
        <v>8</v>
      </c>
      <c r="B39" s="3072" t="s">
        <v>1373</v>
      </c>
      <c r="C39" s="3072"/>
      <c r="D39" s="3072"/>
      <c r="E39" s="3072"/>
      <c r="F39" s="3072"/>
      <c r="G39" s="3072"/>
      <c r="H39" s="3072"/>
      <c r="I39" s="3072"/>
      <c r="J39" s="3072"/>
      <c r="K39" s="3072"/>
      <c r="L39" s="3072"/>
      <c r="M39" s="3072"/>
      <c r="N39" s="3072"/>
      <c r="O39" s="3072"/>
      <c r="P39" s="3072"/>
      <c r="Q39" s="3072"/>
      <c r="R39" s="3072"/>
    </row>
    <row r="40" spans="1:34">
      <c r="A40" s="1074">
        <v>9</v>
      </c>
      <c r="B40" s="55" t="s">
        <v>485</v>
      </c>
    </row>
    <row r="41" spans="1:34">
      <c r="A41" s="1074">
        <v>10</v>
      </c>
      <c r="B41" s="55" t="s">
        <v>486</v>
      </c>
    </row>
    <row r="42" spans="1:34">
      <c r="A42" s="969"/>
      <c r="B42" s="47"/>
    </row>
    <row r="43" spans="1:34">
      <c r="B43" s="47"/>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30"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X42"/>
  <sheetViews>
    <sheetView view="pageBreakPreview" zoomScaleNormal="100" zoomScaleSheetLayoutView="100" workbookViewId="0">
      <pane xSplit="1" ySplit="7" topLeftCell="B8" activePane="bottomRight" state="frozen"/>
      <selection pane="topRight"/>
      <selection pane="bottomLeft"/>
      <selection pane="bottomRight" activeCell="A2" sqref="A2"/>
    </sheetView>
  </sheetViews>
  <sheetFormatPr defaultColWidth="9" defaultRowHeight="15.75"/>
  <cols>
    <col min="1" max="1" width="4.25" style="1075" customWidth="1"/>
    <col min="2" max="2" width="6.375" style="1075" customWidth="1"/>
    <col min="3" max="5" width="5" style="1075" customWidth="1"/>
    <col min="6" max="6" width="6" style="1075" customWidth="1"/>
    <col min="7" max="7" width="5.625" style="1075" customWidth="1"/>
    <col min="8" max="9" width="6.75" style="1075" customWidth="1"/>
    <col min="10" max="10" width="6.625" style="1075" customWidth="1"/>
    <col min="11" max="11" width="5.375" style="1075" customWidth="1"/>
    <col min="12" max="12" width="4.75" style="1075" customWidth="1"/>
    <col min="13" max="15" width="6.125" style="1075" customWidth="1"/>
    <col min="16" max="16" width="5" style="1075" customWidth="1"/>
    <col min="17" max="17" width="5" style="1075" bestFit="1" customWidth="1"/>
    <col min="18" max="18" width="7.125" style="1075" customWidth="1"/>
    <col min="19" max="19" width="5" style="1075" bestFit="1" customWidth="1"/>
    <col min="20" max="20" width="6.875" style="1075" customWidth="1"/>
    <col min="21" max="21" width="5.75" style="1075" customWidth="1"/>
    <col min="22" max="22" width="4.5" style="1075" customWidth="1"/>
    <col min="23" max="24" width="5" style="1075" bestFit="1" customWidth="1"/>
    <col min="25" max="25" width="5.375" style="1075" bestFit="1" customWidth="1"/>
    <col min="26" max="27" width="5" style="1075" bestFit="1" customWidth="1"/>
    <col min="28" max="28" width="5.375" style="1075" bestFit="1" customWidth="1"/>
    <col min="29" max="30" width="5" style="1075" bestFit="1" customWidth="1"/>
    <col min="31" max="31" width="6.125" style="1075" bestFit="1" customWidth="1"/>
    <col min="32" max="32" width="6.75" style="1075" bestFit="1" customWidth="1"/>
    <col min="33" max="33" width="7.125" style="1075" customWidth="1"/>
    <col min="34" max="34" width="13.125" style="1075" customWidth="1"/>
    <col min="35" max="35" width="4.75" style="1075" customWidth="1"/>
    <col min="36" max="16384" width="9" style="1075"/>
  </cols>
  <sheetData>
    <row r="1" spans="1:36" ht="16.5">
      <c r="A1" s="2186" t="str">
        <f>+封面!A3&amp;" "&amp;封面!A2</f>
        <v xml:space="preserve"> 中央再保險股份有限公司 年度檢查報表</v>
      </c>
      <c r="B1" s="2316"/>
      <c r="C1" s="2316"/>
      <c r="D1" s="2316"/>
      <c r="E1" s="2316"/>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8"/>
    </row>
    <row r="2" spans="1:36">
      <c r="A2" s="2318" t="s">
        <v>5638</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9"/>
      <c r="AH2" s="2319"/>
      <c r="AI2" s="2319" t="s">
        <v>3707</v>
      </c>
    </row>
    <row r="3" spans="1:36" ht="16.5" customHeight="1">
      <c r="A3" s="3123" t="s">
        <v>3658</v>
      </c>
      <c r="B3" s="3126" t="s">
        <v>4169</v>
      </c>
      <c r="C3" s="3126"/>
      <c r="D3" s="2320"/>
      <c r="E3" s="2320"/>
      <c r="F3" s="2321" t="s">
        <v>5639</v>
      </c>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3127" t="s">
        <v>3515</v>
      </c>
      <c r="AH3" s="3107" t="s">
        <v>5774</v>
      </c>
      <c r="AI3" s="3091" t="s">
        <v>5640</v>
      </c>
    </row>
    <row r="4" spans="1:36" ht="29.25" customHeight="1">
      <c r="A4" s="3124"/>
      <c r="B4" s="3093" t="s">
        <v>3745</v>
      </c>
      <c r="C4" s="3093" t="s">
        <v>4170</v>
      </c>
      <c r="D4" s="3104" t="s">
        <v>5641</v>
      </c>
      <c r="E4" s="3104" t="s">
        <v>5642</v>
      </c>
      <c r="F4" s="3096" t="s">
        <v>5643</v>
      </c>
      <c r="G4" s="3097"/>
      <c r="H4" s="3097"/>
      <c r="I4" s="3097"/>
      <c r="J4" s="3098"/>
      <c r="K4" s="3096" t="s">
        <v>5644</v>
      </c>
      <c r="L4" s="3097"/>
      <c r="M4" s="3097"/>
      <c r="N4" s="3097"/>
      <c r="O4" s="3098"/>
      <c r="P4" s="3129" t="s">
        <v>5645</v>
      </c>
      <c r="Q4" s="3129"/>
      <c r="R4" s="3129"/>
      <c r="S4" s="3129"/>
      <c r="T4" s="3129"/>
      <c r="U4" s="3129"/>
      <c r="V4" s="3129"/>
      <c r="W4" s="3129"/>
      <c r="X4" s="3129"/>
      <c r="Y4" s="3129"/>
      <c r="Z4" s="3129"/>
      <c r="AA4" s="3129"/>
      <c r="AB4" s="3129"/>
      <c r="AC4" s="3129"/>
      <c r="AD4" s="3129"/>
      <c r="AE4" s="3129"/>
      <c r="AF4" s="3130"/>
      <c r="AG4" s="3128"/>
      <c r="AH4" s="3108"/>
      <c r="AI4" s="3092"/>
    </row>
    <row r="5" spans="1:36" ht="35.65" customHeight="1">
      <c r="A5" s="3124"/>
      <c r="B5" s="3094"/>
      <c r="C5" s="3094"/>
      <c r="D5" s="3105"/>
      <c r="E5" s="3105"/>
      <c r="F5" s="3102" t="s">
        <v>5646</v>
      </c>
      <c r="G5" s="3102" t="s">
        <v>5647</v>
      </c>
      <c r="H5" s="3102" t="s">
        <v>5648</v>
      </c>
      <c r="I5" s="3102" t="s">
        <v>5649</v>
      </c>
      <c r="J5" s="3102" t="s">
        <v>3514</v>
      </c>
      <c r="K5" s="3102" t="s">
        <v>5646</v>
      </c>
      <c r="L5" s="3102" t="s">
        <v>5647</v>
      </c>
      <c r="M5" s="3102" t="s">
        <v>5648</v>
      </c>
      <c r="N5" s="3102" t="s">
        <v>5649</v>
      </c>
      <c r="O5" s="3102" t="s">
        <v>3514</v>
      </c>
      <c r="P5" s="3099" t="s">
        <v>5650</v>
      </c>
      <c r="Q5" s="3100"/>
      <c r="R5" s="3101"/>
      <c r="S5" s="3099" t="s">
        <v>5651</v>
      </c>
      <c r="T5" s="3100"/>
      <c r="U5" s="3100"/>
      <c r="V5" s="3101"/>
      <c r="W5" s="3099" t="s">
        <v>5652</v>
      </c>
      <c r="X5" s="3100"/>
      <c r="Y5" s="3101"/>
      <c r="Z5" s="3099" t="s">
        <v>5653</v>
      </c>
      <c r="AA5" s="3100"/>
      <c r="AB5" s="3101"/>
      <c r="AC5" s="3099" t="s">
        <v>5654</v>
      </c>
      <c r="AD5" s="3100"/>
      <c r="AE5" s="3101"/>
      <c r="AF5" s="3102" t="s">
        <v>3514</v>
      </c>
      <c r="AG5" s="2322"/>
      <c r="AH5" s="3108"/>
      <c r="AI5" s="2323"/>
    </row>
    <row r="6" spans="1:36" ht="33.75" customHeight="1">
      <c r="A6" s="3124"/>
      <c r="B6" s="3095"/>
      <c r="C6" s="3095"/>
      <c r="D6" s="3106"/>
      <c r="E6" s="3106"/>
      <c r="F6" s="3103" t="s">
        <v>5655</v>
      </c>
      <c r="G6" s="3103" t="s">
        <v>5656</v>
      </c>
      <c r="H6" s="3103" t="s">
        <v>5657</v>
      </c>
      <c r="I6" s="3103" t="s">
        <v>5657</v>
      </c>
      <c r="J6" s="3103" t="s">
        <v>5658</v>
      </c>
      <c r="K6" s="3103" t="s">
        <v>5655</v>
      </c>
      <c r="L6" s="3103" t="s">
        <v>5656</v>
      </c>
      <c r="M6" s="3103" t="s">
        <v>5657</v>
      </c>
      <c r="N6" s="3103" t="s">
        <v>5657</v>
      </c>
      <c r="O6" s="3103" t="s">
        <v>5658</v>
      </c>
      <c r="P6" s="2324" t="s">
        <v>5659</v>
      </c>
      <c r="Q6" s="2324" t="s">
        <v>5660</v>
      </c>
      <c r="R6" s="2324" t="s">
        <v>3514</v>
      </c>
      <c r="S6" s="2324" t="s">
        <v>5661</v>
      </c>
      <c r="T6" s="2324" t="s">
        <v>5662</v>
      </c>
      <c r="U6" s="2324" t="s">
        <v>5660</v>
      </c>
      <c r="V6" s="2324" t="s">
        <v>3514</v>
      </c>
      <c r="W6" s="2324" t="s">
        <v>5659</v>
      </c>
      <c r="X6" s="2324" t="s">
        <v>5660</v>
      </c>
      <c r="Y6" s="2324" t="s">
        <v>3514</v>
      </c>
      <c r="Z6" s="2324" t="s">
        <v>5659</v>
      </c>
      <c r="AA6" s="2324" t="s">
        <v>5660</v>
      </c>
      <c r="AB6" s="2324" t="s">
        <v>3514</v>
      </c>
      <c r="AC6" s="2324" t="s">
        <v>5659</v>
      </c>
      <c r="AD6" s="2324" t="s">
        <v>5660</v>
      </c>
      <c r="AE6" s="2324" t="s">
        <v>3514</v>
      </c>
      <c r="AF6" s="3103"/>
      <c r="AG6" s="2325"/>
      <c r="AH6" s="3109"/>
      <c r="AI6" s="2326"/>
    </row>
    <row r="7" spans="1:36" ht="58.9" customHeight="1">
      <c r="A7" s="3125"/>
      <c r="B7" s="1062" t="s">
        <v>575</v>
      </c>
      <c r="C7" s="1062" t="s">
        <v>67</v>
      </c>
      <c r="D7" s="1062" t="s">
        <v>68</v>
      </c>
      <c r="E7" s="1062" t="s">
        <v>69</v>
      </c>
      <c r="F7" s="1062" t="s">
        <v>820</v>
      </c>
      <c r="G7" s="1062" t="s">
        <v>821</v>
      </c>
      <c r="H7" s="1062" t="s">
        <v>822</v>
      </c>
      <c r="I7" s="1062" t="s">
        <v>823</v>
      </c>
      <c r="J7" s="1063" t="s">
        <v>824</v>
      </c>
      <c r="K7" s="1062" t="s">
        <v>825</v>
      </c>
      <c r="L7" s="1062" t="s">
        <v>826</v>
      </c>
      <c r="M7" s="1062" t="s">
        <v>827</v>
      </c>
      <c r="N7" s="1062" t="s">
        <v>828</v>
      </c>
      <c r="O7" s="1063" t="s">
        <v>829</v>
      </c>
      <c r="P7" s="1062" t="s">
        <v>830</v>
      </c>
      <c r="Q7" s="1062" t="s">
        <v>831</v>
      </c>
      <c r="R7" s="1063" t="s">
        <v>832</v>
      </c>
      <c r="S7" s="1062" t="s">
        <v>833</v>
      </c>
      <c r="T7" s="1062" t="s">
        <v>834</v>
      </c>
      <c r="U7" s="1062" t="s">
        <v>835</v>
      </c>
      <c r="V7" s="1063" t="s">
        <v>836</v>
      </c>
      <c r="W7" s="1062" t="s">
        <v>837</v>
      </c>
      <c r="X7" s="1062" t="s">
        <v>838</v>
      </c>
      <c r="Y7" s="1063" t="s">
        <v>839</v>
      </c>
      <c r="Z7" s="1062" t="s">
        <v>840</v>
      </c>
      <c r="AA7" s="1062" t="s">
        <v>841</v>
      </c>
      <c r="AB7" s="1063" t="s">
        <v>842</v>
      </c>
      <c r="AC7" s="1062" t="s">
        <v>843</v>
      </c>
      <c r="AD7" s="1062" t="s">
        <v>844</v>
      </c>
      <c r="AE7" s="1063" t="s">
        <v>845</v>
      </c>
      <c r="AF7" s="1063" t="s">
        <v>846</v>
      </c>
      <c r="AG7" s="1063" t="s">
        <v>847</v>
      </c>
      <c r="AH7" s="2314" t="s">
        <v>459</v>
      </c>
      <c r="AI7" s="2315" t="s">
        <v>135</v>
      </c>
    </row>
    <row r="8" spans="1:36">
      <c r="A8" s="2320">
        <v>1</v>
      </c>
      <c r="B8" s="2327"/>
      <c r="C8" s="2327"/>
      <c r="D8" s="2327"/>
      <c r="E8" s="2327"/>
      <c r="F8" s="1067"/>
      <c r="G8" s="1067"/>
      <c r="H8" s="1067"/>
      <c r="I8" s="1067"/>
      <c r="J8" s="1067"/>
      <c r="K8" s="1067"/>
      <c r="L8" s="1067"/>
      <c r="M8" s="1067"/>
      <c r="N8" s="1067"/>
      <c r="O8" s="1067"/>
      <c r="P8" s="1067"/>
      <c r="Q8" s="1067"/>
      <c r="R8" s="1067"/>
      <c r="S8" s="1067"/>
      <c r="T8" s="1067"/>
      <c r="U8" s="1067"/>
      <c r="V8" s="1067"/>
      <c r="W8" s="1067"/>
      <c r="X8" s="1067"/>
      <c r="Y8" s="1067"/>
      <c r="Z8" s="3112"/>
      <c r="AA8" s="3113"/>
      <c r="AB8" s="3113"/>
      <c r="AC8" s="3113"/>
      <c r="AD8" s="3113"/>
      <c r="AE8" s="3114"/>
      <c r="AF8" s="1067"/>
      <c r="AG8" s="1068"/>
      <c r="AH8" s="1068"/>
      <c r="AI8" s="1069"/>
    </row>
    <row r="9" spans="1:36">
      <c r="A9" s="2320">
        <v>2</v>
      </c>
      <c r="B9" s="2327"/>
      <c r="C9" s="2327"/>
      <c r="D9" s="2327"/>
      <c r="E9" s="2327"/>
      <c r="F9" s="1067"/>
      <c r="G9" s="1067"/>
      <c r="H9" s="1067"/>
      <c r="I9" s="1067"/>
      <c r="J9" s="1067"/>
      <c r="K9" s="1067"/>
      <c r="L9" s="1067"/>
      <c r="M9" s="1067"/>
      <c r="N9" s="1067"/>
      <c r="O9" s="1067"/>
      <c r="P9" s="1067"/>
      <c r="Q9" s="1067"/>
      <c r="R9" s="1067"/>
      <c r="S9" s="1067"/>
      <c r="T9" s="1067"/>
      <c r="U9" s="1067"/>
      <c r="V9" s="1067"/>
      <c r="W9" s="1067"/>
      <c r="X9" s="1067"/>
      <c r="Y9" s="1067"/>
      <c r="Z9" s="3115"/>
      <c r="AA9" s="3116"/>
      <c r="AB9" s="3116"/>
      <c r="AC9" s="3116"/>
      <c r="AD9" s="3116"/>
      <c r="AE9" s="3117"/>
      <c r="AF9" s="1067"/>
      <c r="AG9" s="1068"/>
      <c r="AH9" s="1068"/>
      <c r="AI9" s="1069"/>
    </row>
    <row r="10" spans="1:36">
      <c r="A10" s="2320">
        <v>3</v>
      </c>
      <c r="B10" s="2327"/>
      <c r="C10" s="2327"/>
      <c r="D10" s="2327"/>
      <c r="E10" s="2327"/>
      <c r="F10" s="1067"/>
      <c r="G10" s="1067"/>
      <c r="H10" s="1067"/>
      <c r="I10" s="1067"/>
      <c r="J10" s="1067"/>
      <c r="K10" s="1067"/>
      <c r="L10" s="1067"/>
      <c r="M10" s="1067"/>
      <c r="N10" s="1067"/>
      <c r="O10" s="1067"/>
      <c r="P10" s="1067"/>
      <c r="Q10" s="1067"/>
      <c r="R10" s="1067"/>
      <c r="S10" s="1067"/>
      <c r="T10" s="1067"/>
      <c r="U10" s="1067"/>
      <c r="V10" s="1067"/>
      <c r="W10" s="1067"/>
      <c r="X10" s="1067"/>
      <c r="Y10" s="1067"/>
      <c r="Z10" s="3115"/>
      <c r="AA10" s="3116"/>
      <c r="AB10" s="3116"/>
      <c r="AC10" s="3116"/>
      <c r="AD10" s="3116"/>
      <c r="AE10" s="3117"/>
      <c r="AF10" s="1067"/>
      <c r="AG10" s="1068"/>
      <c r="AH10" s="1068"/>
      <c r="AI10" s="1069"/>
    </row>
    <row r="11" spans="1:36">
      <c r="A11" s="2320">
        <v>4</v>
      </c>
      <c r="B11" s="2327"/>
      <c r="C11" s="2327"/>
      <c r="D11" s="2327"/>
      <c r="E11" s="2327"/>
      <c r="F11" s="1067"/>
      <c r="G11" s="1067"/>
      <c r="H11" s="1067"/>
      <c r="I11" s="1067"/>
      <c r="J11" s="1067"/>
      <c r="K11" s="1067"/>
      <c r="L11" s="1067"/>
      <c r="M11" s="1067"/>
      <c r="N11" s="1067"/>
      <c r="O11" s="1067"/>
      <c r="P11" s="1067"/>
      <c r="Q11" s="1067"/>
      <c r="R11" s="1067"/>
      <c r="S11" s="1067"/>
      <c r="T11" s="1067"/>
      <c r="U11" s="1067"/>
      <c r="V11" s="1067"/>
      <c r="W11" s="1067"/>
      <c r="X11" s="1067"/>
      <c r="Y11" s="1067"/>
      <c r="Z11" s="3115"/>
      <c r="AA11" s="3116"/>
      <c r="AB11" s="3116"/>
      <c r="AC11" s="3116"/>
      <c r="AD11" s="3116"/>
      <c r="AE11" s="3117"/>
      <c r="AF11" s="1067"/>
      <c r="AG11" s="1068"/>
      <c r="AH11" s="1068"/>
      <c r="AI11" s="1069"/>
      <c r="AJ11" s="1076"/>
    </row>
    <row r="12" spans="1:36">
      <c r="A12" s="2320">
        <v>5</v>
      </c>
      <c r="B12" s="2327"/>
      <c r="C12" s="2327"/>
      <c r="D12" s="2327"/>
      <c r="E12" s="2327"/>
      <c r="F12" s="1067"/>
      <c r="G12" s="1067"/>
      <c r="H12" s="1067"/>
      <c r="I12" s="1067"/>
      <c r="J12" s="1067"/>
      <c r="K12" s="1067"/>
      <c r="L12" s="1067"/>
      <c r="M12" s="1067"/>
      <c r="N12" s="1067"/>
      <c r="O12" s="1067"/>
      <c r="P12" s="1067"/>
      <c r="Q12" s="1067"/>
      <c r="R12" s="1067"/>
      <c r="S12" s="1067"/>
      <c r="T12" s="1067"/>
      <c r="U12" s="1067"/>
      <c r="V12" s="1067"/>
      <c r="W12" s="1067"/>
      <c r="X12" s="1067"/>
      <c r="Y12" s="1067"/>
      <c r="Z12" s="3115"/>
      <c r="AA12" s="3116"/>
      <c r="AB12" s="3116"/>
      <c r="AC12" s="3116"/>
      <c r="AD12" s="3116"/>
      <c r="AE12" s="3117"/>
      <c r="AF12" s="1067"/>
      <c r="AG12" s="1068"/>
      <c r="AH12" s="1068"/>
      <c r="AI12" s="1069"/>
    </row>
    <row r="13" spans="1:36">
      <c r="A13" s="2320">
        <v>6</v>
      </c>
      <c r="B13" s="2327"/>
      <c r="C13" s="2327"/>
      <c r="D13" s="2327"/>
      <c r="E13" s="2327"/>
      <c r="F13" s="1067"/>
      <c r="G13" s="1067"/>
      <c r="H13" s="1067"/>
      <c r="I13" s="1067"/>
      <c r="J13" s="1067"/>
      <c r="K13" s="1067"/>
      <c r="L13" s="1067"/>
      <c r="M13" s="1067"/>
      <c r="N13" s="1067"/>
      <c r="O13" s="1067"/>
      <c r="P13" s="1067"/>
      <c r="Q13" s="1067"/>
      <c r="R13" s="1067"/>
      <c r="S13" s="1067"/>
      <c r="T13" s="1067"/>
      <c r="U13" s="1067"/>
      <c r="V13" s="1067"/>
      <c r="W13" s="1067"/>
      <c r="X13" s="1067"/>
      <c r="Y13" s="1067"/>
      <c r="Z13" s="3115"/>
      <c r="AA13" s="3116"/>
      <c r="AB13" s="3116"/>
      <c r="AC13" s="3116"/>
      <c r="AD13" s="3116"/>
      <c r="AE13" s="3117"/>
      <c r="AF13" s="1067"/>
      <c r="AG13" s="1068"/>
      <c r="AH13" s="1068"/>
      <c r="AI13" s="1069"/>
    </row>
    <row r="14" spans="1:36">
      <c r="A14" s="2320">
        <v>7</v>
      </c>
      <c r="B14" s="2327"/>
      <c r="C14" s="2327"/>
      <c r="D14" s="2327"/>
      <c r="E14" s="2327"/>
      <c r="F14" s="1067"/>
      <c r="G14" s="1067"/>
      <c r="H14" s="1067"/>
      <c r="I14" s="1067"/>
      <c r="J14" s="1067"/>
      <c r="K14" s="1067"/>
      <c r="L14" s="1067"/>
      <c r="M14" s="1067"/>
      <c r="N14" s="1067"/>
      <c r="O14" s="1067"/>
      <c r="P14" s="1067"/>
      <c r="Q14" s="1067"/>
      <c r="R14" s="1067"/>
      <c r="S14" s="1067"/>
      <c r="T14" s="1067"/>
      <c r="U14" s="1067"/>
      <c r="V14" s="1067"/>
      <c r="W14" s="1067"/>
      <c r="X14" s="1067"/>
      <c r="Y14" s="1067"/>
      <c r="Z14" s="3115"/>
      <c r="AA14" s="3116"/>
      <c r="AB14" s="3116"/>
      <c r="AC14" s="3116"/>
      <c r="AD14" s="3116"/>
      <c r="AE14" s="3117"/>
      <c r="AF14" s="1067"/>
      <c r="AG14" s="1068"/>
      <c r="AH14" s="1068"/>
      <c r="AI14" s="1069"/>
    </row>
    <row r="15" spans="1:36">
      <c r="A15" s="2320">
        <v>8</v>
      </c>
      <c r="B15" s="2327"/>
      <c r="C15" s="2327"/>
      <c r="D15" s="2327"/>
      <c r="E15" s="2327"/>
      <c r="F15" s="1067"/>
      <c r="G15" s="1067"/>
      <c r="H15" s="1067"/>
      <c r="I15" s="1067"/>
      <c r="J15" s="1067"/>
      <c r="K15" s="1067"/>
      <c r="L15" s="1067"/>
      <c r="M15" s="1067"/>
      <c r="N15" s="1067"/>
      <c r="O15" s="1067"/>
      <c r="P15" s="1067"/>
      <c r="Q15" s="1067"/>
      <c r="R15" s="1067"/>
      <c r="S15" s="1067"/>
      <c r="T15" s="1067"/>
      <c r="U15" s="1067"/>
      <c r="V15" s="1067"/>
      <c r="W15" s="1067"/>
      <c r="X15" s="1067"/>
      <c r="Y15" s="1067"/>
      <c r="Z15" s="3115"/>
      <c r="AA15" s="3116"/>
      <c r="AB15" s="3116"/>
      <c r="AC15" s="3116"/>
      <c r="AD15" s="3116"/>
      <c r="AE15" s="3117"/>
      <c r="AF15" s="1067"/>
      <c r="AG15" s="1068"/>
      <c r="AH15" s="1068"/>
      <c r="AI15" s="1069"/>
    </row>
    <row r="16" spans="1:36">
      <c r="A16" s="2320">
        <v>9</v>
      </c>
      <c r="B16" s="2327"/>
      <c r="C16" s="2327"/>
      <c r="D16" s="2327"/>
      <c r="E16" s="2327"/>
      <c r="F16" s="1067"/>
      <c r="G16" s="1067"/>
      <c r="H16" s="1067"/>
      <c r="I16" s="1067"/>
      <c r="J16" s="1067"/>
      <c r="K16" s="1067"/>
      <c r="L16" s="1067"/>
      <c r="M16" s="1067"/>
      <c r="N16" s="1067"/>
      <c r="O16" s="1067"/>
      <c r="P16" s="1067"/>
      <c r="Q16" s="1067"/>
      <c r="R16" s="1067"/>
      <c r="S16" s="1067"/>
      <c r="T16" s="1067"/>
      <c r="U16" s="1067"/>
      <c r="V16" s="1067"/>
      <c r="W16" s="1067"/>
      <c r="X16" s="1067"/>
      <c r="Y16" s="1067"/>
      <c r="Z16" s="3115"/>
      <c r="AA16" s="3116"/>
      <c r="AB16" s="3116"/>
      <c r="AC16" s="3116"/>
      <c r="AD16" s="3116"/>
      <c r="AE16" s="3117"/>
      <c r="AF16" s="1067"/>
      <c r="AG16" s="1068"/>
      <c r="AH16" s="1068"/>
      <c r="AI16" s="1069"/>
    </row>
    <row r="17" spans="1:50">
      <c r="A17" s="2320">
        <v>10</v>
      </c>
      <c r="B17" s="2327"/>
      <c r="C17" s="2327"/>
      <c r="D17" s="2327"/>
      <c r="E17" s="2327"/>
      <c r="F17" s="1067"/>
      <c r="G17" s="1067"/>
      <c r="H17" s="1067"/>
      <c r="I17" s="1067"/>
      <c r="J17" s="1067"/>
      <c r="K17" s="1067"/>
      <c r="L17" s="1067"/>
      <c r="M17" s="1067"/>
      <c r="N17" s="1067"/>
      <c r="O17" s="1067"/>
      <c r="P17" s="1067"/>
      <c r="Q17" s="1067"/>
      <c r="R17" s="1067"/>
      <c r="S17" s="1067"/>
      <c r="T17" s="1067"/>
      <c r="U17" s="1067"/>
      <c r="V17" s="1067"/>
      <c r="W17" s="1067"/>
      <c r="X17" s="1067"/>
      <c r="Y17" s="1067"/>
      <c r="Z17" s="3115"/>
      <c r="AA17" s="3116"/>
      <c r="AB17" s="3116"/>
      <c r="AC17" s="3116"/>
      <c r="AD17" s="3116"/>
      <c r="AE17" s="3117"/>
      <c r="AF17" s="1067"/>
      <c r="AG17" s="1068"/>
      <c r="AH17" s="1068"/>
      <c r="AI17" s="1069"/>
    </row>
    <row r="18" spans="1:50">
      <c r="A18" s="2320">
        <v>11</v>
      </c>
      <c r="B18" s="2327"/>
      <c r="C18" s="2327"/>
      <c r="D18" s="2327"/>
      <c r="E18" s="2327"/>
      <c r="F18" s="1067"/>
      <c r="G18" s="1067"/>
      <c r="H18" s="1067"/>
      <c r="I18" s="1067"/>
      <c r="J18" s="1067"/>
      <c r="K18" s="1067"/>
      <c r="L18" s="1067"/>
      <c r="M18" s="1067"/>
      <c r="N18" s="1067"/>
      <c r="O18" s="1067"/>
      <c r="P18" s="1067"/>
      <c r="Q18" s="1067"/>
      <c r="R18" s="1067"/>
      <c r="S18" s="1067"/>
      <c r="T18" s="1067"/>
      <c r="U18" s="1067"/>
      <c r="V18" s="1067"/>
      <c r="W18" s="1067"/>
      <c r="X18" s="1067"/>
      <c r="Y18" s="1067"/>
      <c r="Z18" s="3115"/>
      <c r="AA18" s="3116"/>
      <c r="AB18" s="3116"/>
      <c r="AC18" s="3116"/>
      <c r="AD18" s="3116"/>
      <c r="AE18" s="3117"/>
      <c r="AF18" s="1067"/>
      <c r="AG18" s="1068"/>
      <c r="AH18" s="1068"/>
      <c r="AI18" s="1069"/>
    </row>
    <row r="19" spans="1:50">
      <c r="A19" s="2320">
        <v>12</v>
      </c>
      <c r="B19" s="2327"/>
      <c r="C19" s="2327"/>
      <c r="D19" s="2327"/>
      <c r="E19" s="2327"/>
      <c r="F19" s="1067"/>
      <c r="G19" s="1067"/>
      <c r="H19" s="1067"/>
      <c r="I19" s="1067"/>
      <c r="J19" s="1067"/>
      <c r="K19" s="1067"/>
      <c r="L19" s="1067"/>
      <c r="M19" s="1067"/>
      <c r="N19" s="1067"/>
      <c r="O19" s="1067"/>
      <c r="P19" s="1067"/>
      <c r="Q19" s="1067"/>
      <c r="R19" s="1067"/>
      <c r="S19" s="1067"/>
      <c r="T19" s="1067"/>
      <c r="U19" s="1067"/>
      <c r="V19" s="1067"/>
      <c r="W19" s="1067"/>
      <c r="X19" s="1067"/>
      <c r="Y19" s="1067"/>
      <c r="Z19" s="3115"/>
      <c r="AA19" s="3116"/>
      <c r="AB19" s="3116"/>
      <c r="AC19" s="3116"/>
      <c r="AD19" s="3116"/>
      <c r="AE19" s="3117"/>
      <c r="AF19" s="1067"/>
      <c r="AG19" s="1068"/>
      <c r="AH19" s="1068"/>
      <c r="AI19" s="1069"/>
      <c r="AJ19" s="54"/>
      <c r="AK19" s="54"/>
      <c r="AL19" s="54"/>
      <c r="AM19" s="54"/>
      <c r="AN19" s="54"/>
      <c r="AO19" s="54"/>
      <c r="AP19" s="54"/>
      <c r="AQ19" s="54"/>
      <c r="AR19" s="54"/>
      <c r="AS19" s="54"/>
      <c r="AT19" s="54"/>
      <c r="AU19" s="54"/>
      <c r="AV19" s="54"/>
      <c r="AW19" s="54"/>
      <c r="AX19" s="54"/>
    </row>
    <row r="20" spans="1:50">
      <c r="A20" s="2320">
        <v>13</v>
      </c>
      <c r="B20" s="2327"/>
      <c r="C20" s="2327"/>
      <c r="D20" s="2327"/>
      <c r="E20" s="2327"/>
      <c r="F20" s="1067"/>
      <c r="G20" s="1067"/>
      <c r="H20" s="1067"/>
      <c r="I20" s="1067"/>
      <c r="J20" s="1067"/>
      <c r="K20" s="1067"/>
      <c r="L20" s="1067"/>
      <c r="M20" s="1067"/>
      <c r="N20" s="1067"/>
      <c r="O20" s="1067"/>
      <c r="P20" s="1067"/>
      <c r="Q20" s="1067"/>
      <c r="R20" s="1067"/>
      <c r="S20" s="1067"/>
      <c r="T20" s="1067"/>
      <c r="U20" s="1067"/>
      <c r="V20" s="1067"/>
      <c r="W20" s="1067"/>
      <c r="X20" s="1067"/>
      <c r="Y20" s="1067"/>
      <c r="Z20" s="3115"/>
      <c r="AA20" s="3116"/>
      <c r="AB20" s="3116"/>
      <c r="AC20" s="3116"/>
      <c r="AD20" s="3116"/>
      <c r="AE20" s="3117"/>
      <c r="AF20" s="1067"/>
      <c r="AG20" s="1068"/>
      <c r="AH20" s="1068"/>
      <c r="AI20" s="1069"/>
      <c r="AJ20" s="54"/>
      <c r="AK20" s="54"/>
      <c r="AL20" s="54"/>
      <c r="AM20" s="54"/>
      <c r="AN20" s="54"/>
      <c r="AO20" s="54"/>
      <c r="AP20" s="54"/>
      <c r="AQ20" s="54"/>
      <c r="AR20" s="54"/>
      <c r="AS20" s="54"/>
      <c r="AT20" s="54"/>
      <c r="AU20" s="54"/>
      <c r="AV20" s="54"/>
      <c r="AW20" s="54"/>
      <c r="AX20" s="54"/>
    </row>
    <row r="21" spans="1:50">
      <c r="A21" s="2320">
        <v>14</v>
      </c>
      <c r="B21" s="2327"/>
      <c r="C21" s="2327"/>
      <c r="D21" s="2327"/>
      <c r="E21" s="2327"/>
      <c r="F21" s="1067"/>
      <c r="G21" s="1067"/>
      <c r="H21" s="1067"/>
      <c r="I21" s="1067"/>
      <c r="J21" s="1067"/>
      <c r="K21" s="1067"/>
      <c r="L21" s="1067"/>
      <c r="M21" s="1067"/>
      <c r="N21" s="1067"/>
      <c r="O21" s="1067"/>
      <c r="P21" s="1067"/>
      <c r="Q21" s="1067"/>
      <c r="R21" s="1067"/>
      <c r="S21" s="1067"/>
      <c r="T21" s="1067"/>
      <c r="U21" s="1067"/>
      <c r="V21" s="1067"/>
      <c r="W21" s="1067"/>
      <c r="X21" s="1067"/>
      <c r="Y21" s="1067"/>
      <c r="Z21" s="3115"/>
      <c r="AA21" s="3116"/>
      <c r="AB21" s="3116"/>
      <c r="AC21" s="3116"/>
      <c r="AD21" s="3116"/>
      <c r="AE21" s="3117"/>
      <c r="AF21" s="1067"/>
      <c r="AG21" s="1068"/>
      <c r="AH21" s="1068"/>
      <c r="AI21" s="1069"/>
      <c r="AJ21" s="54"/>
      <c r="AK21" s="54"/>
      <c r="AL21" s="54"/>
      <c r="AM21" s="54"/>
      <c r="AN21" s="54"/>
      <c r="AO21" s="54"/>
      <c r="AP21" s="54"/>
      <c r="AQ21" s="54"/>
      <c r="AR21" s="54"/>
      <c r="AS21" s="54"/>
      <c r="AT21" s="54"/>
      <c r="AU21" s="54"/>
      <c r="AV21" s="54"/>
      <c r="AW21" s="54"/>
      <c r="AX21" s="54"/>
    </row>
    <row r="22" spans="1:50">
      <c r="A22" s="2320">
        <v>15</v>
      </c>
      <c r="B22" s="2327"/>
      <c r="C22" s="2327"/>
      <c r="D22" s="2327"/>
      <c r="E22" s="2327"/>
      <c r="F22" s="1067"/>
      <c r="G22" s="1067"/>
      <c r="H22" s="1067"/>
      <c r="I22" s="1067"/>
      <c r="J22" s="1067"/>
      <c r="K22" s="1067"/>
      <c r="L22" s="1067"/>
      <c r="M22" s="1067"/>
      <c r="N22" s="1067"/>
      <c r="O22" s="1067"/>
      <c r="P22" s="1067"/>
      <c r="Q22" s="1067"/>
      <c r="R22" s="1067"/>
      <c r="S22" s="1067"/>
      <c r="T22" s="1067"/>
      <c r="U22" s="1067"/>
      <c r="V22" s="1067"/>
      <c r="W22" s="1067"/>
      <c r="X22" s="1067"/>
      <c r="Y22" s="1067"/>
      <c r="Z22" s="3115"/>
      <c r="AA22" s="3116"/>
      <c r="AB22" s="3116"/>
      <c r="AC22" s="3116"/>
      <c r="AD22" s="3116"/>
      <c r="AE22" s="3117"/>
      <c r="AF22" s="1067"/>
      <c r="AG22" s="1068"/>
      <c r="AH22" s="1068"/>
      <c r="AI22" s="1069"/>
      <c r="AJ22" s="54"/>
      <c r="AK22" s="54"/>
      <c r="AL22" s="54"/>
      <c r="AM22" s="54"/>
      <c r="AN22" s="54"/>
      <c r="AO22" s="54"/>
      <c r="AP22" s="54"/>
      <c r="AQ22" s="54"/>
      <c r="AR22" s="54"/>
      <c r="AS22" s="54"/>
      <c r="AT22" s="54"/>
      <c r="AU22" s="54"/>
      <c r="AV22" s="54"/>
      <c r="AW22" s="54"/>
      <c r="AX22" s="54"/>
    </row>
    <row r="23" spans="1:50">
      <c r="A23" s="2320">
        <v>16</v>
      </c>
      <c r="B23" s="2327"/>
      <c r="C23" s="2327"/>
      <c r="D23" s="2327"/>
      <c r="E23" s="2327"/>
      <c r="F23" s="1067"/>
      <c r="G23" s="1067"/>
      <c r="H23" s="1067"/>
      <c r="I23" s="1067"/>
      <c r="J23" s="1067"/>
      <c r="K23" s="1067"/>
      <c r="L23" s="1067"/>
      <c r="M23" s="1067"/>
      <c r="N23" s="1067"/>
      <c r="O23" s="1067"/>
      <c r="P23" s="1067"/>
      <c r="Q23" s="1067"/>
      <c r="R23" s="1067"/>
      <c r="S23" s="1067"/>
      <c r="T23" s="1067"/>
      <c r="U23" s="1067"/>
      <c r="V23" s="1067"/>
      <c r="W23" s="1067"/>
      <c r="X23" s="1067"/>
      <c r="Y23" s="1067"/>
      <c r="Z23" s="3115"/>
      <c r="AA23" s="3116"/>
      <c r="AB23" s="3116"/>
      <c r="AC23" s="3116"/>
      <c r="AD23" s="3116"/>
      <c r="AE23" s="3117"/>
      <c r="AF23" s="1067"/>
      <c r="AG23" s="1068"/>
      <c r="AH23" s="1068"/>
      <c r="AI23" s="1069"/>
      <c r="AJ23" s="54"/>
      <c r="AK23" s="54"/>
      <c r="AL23" s="54"/>
      <c r="AM23" s="54"/>
      <c r="AN23" s="54"/>
      <c r="AO23" s="54"/>
      <c r="AP23" s="54"/>
      <c r="AQ23" s="54"/>
      <c r="AR23" s="54"/>
      <c r="AS23" s="54"/>
      <c r="AT23" s="54"/>
      <c r="AU23" s="54"/>
      <c r="AV23" s="54"/>
      <c r="AW23" s="54"/>
      <c r="AX23" s="54"/>
    </row>
    <row r="24" spans="1:50">
      <c r="A24" s="2320">
        <v>17</v>
      </c>
      <c r="B24" s="2327"/>
      <c r="C24" s="2327"/>
      <c r="D24" s="2327"/>
      <c r="E24" s="2327"/>
      <c r="F24" s="1067"/>
      <c r="G24" s="1067"/>
      <c r="H24" s="1067"/>
      <c r="I24" s="1067"/>
      <c r="J24" s="1067"/>
      <c r="K24" s="1067"/>
      <c r="L24" s="1067"/>
      <c r="M24" s="1067"/>
      <c r="N24" s="1067"/>
      <c r="O24" s="1067"/>
      <c r="P24" s="1067"/>
      <c r="Q24" s="1067"/>
      <c r="R24" s="1067"/>
      <c r="S24" s="1067"/>
      <c r="T24" s="1067"/>
      <c r="U24" s="1067"/>
      <c r="V24" s="1067"/>
      <c r="W24" s="1067"/>
      <c r="X24" s="1067"/>
      <c r="Y24" s="1067"/>
      <c r="Z24" s="3115"/>
      <c r="AA24" s="3116"/>
      <c r="AB24" s="3116"/>
      <c r="AC24" s="3116"/>
      <c r="AD24" s="3116"/>
      <c r="AE24" s="3117"/>
      <c r="AF24" s="1067"/>
      <c r="AG24" s="1068"/>
      <c r="AH24" s="1068"/>
      <c r="AI24" s="1069"/>
      <c r="AJ24" s="54"/>
      <c r="AK24" s="54"/>
      <c r="AL24" s="54"/>
      <c r="AM24" s="54"/>
      <c r="AN24" s="54"/>
      <c r="AO24" s="54"/>
      <c r="AP24" s="54"/>
      <c r="AQ24" s="54"/>
      <c r="AR24" s="54"/>
      <c r="AS24" s="54"/>
      <c r="AT24" s="54"/>
      <c r="AU24" s="54"/>
      <c r="AV24" s="54"/>
      <c r="AW24" s="54"/>
      <c r="AX24" s="54"/>
    </row>
    <row r="25" spans="1:50">
      <c r="A25" s="2320">
        <v>18</v>
      </c>
      <c r="B25" s="2327"/>
      <c r="C25" s="2327"/>
      <c r="D25" s="2327"/>
      <c r="E25" s="2327"/>
      <c r="F25" s="1067"/>
      <c r="G25" s="1067"/>
      <c r="H25" s="1067"/>
      <c r="I25" s="1067"/>
      <c r="J25" s="1067"/>
      <c r="K25" s="1067"/>
      <c r="L25" s="1067"/>
      <c r="M25" s="1067"/>
      <c r="N25" s="1067"/>
      <c r="O25" s="1067"/>
      <c r="P25" s="1067"/>
      <c r="Q25" s="1067"/>
      <c r="R25" s="1067"/>
      <c r="S25" s="1067"/>
      <c r="T25" s="1067"/>
      <c r="U25" s="1067"/>
      <c r="V25" s="1067"/>
      <c r="W25" s="1067"/>
      <c r="X25" s="1067"/>
      <c r="Y25" s="1067"/>
      <c r="Z25" s="3115"/>
      <c r="AA25" s="3116"/>
      <c r="AB25" s="3116"/>
      <c r="AC25" s="3116"/>
      <c r="AD25" s="3116"/>
      <c r="AE25" s="3117"/>
      <c r="AF25" s="1067"/>
      <c r="AG25" s="1068"/>
      <c r="AH25" s="1068"/>
      <c r="AI25" s="1069"/>
      <c r="AJ25" s="54"/>
      <c r="AK25" s="54"/>
      <c r="AL25" s="54"/>
      <c r="AM25" s="54"/>
      <c r="AN25" s="54"/>
      <c r="AO25" s="54"/>
      <c r="AP25" s="54"/>
      <c r="AQ25" s="54"/>
      <c r="AR25" s="54"/>
      <c r="AS25" s="54"/>
      <c r="AT25" s="54"/>
      <c r="AU25" s="54"/>
      <c r="AV25" s="54"/>
      <c r="AW25" s="54"/>
      <c r="AX25" s="54"/>
    </row>
    <row r="26" spans="1:50">
      <c r="A26" s="2320">
        <v>19</v>
      </c>
      <c r="B26" s="2327"/>
      <c r="C26" s="2327"/>
      <c r="D26" s="2327"/>
      <c r="E26" s="2327"/>
      <c r="F26" s="1067"/>
      <c r="G26" s="1067"/>
      <c r="H26" s="1067"/>
      <c r="I26" s="1067"/>
      <c r="J26" s="1067"/>
      <c r="K26" s="1067"/>
      <c r="L26" s="1067"/>
      <c r="M26" s="1067"/>
      <c r="N26" s="1067"/>
      <c r="O26" s="1067"/>
      <c r="P26" s="1067"/>
      <c r="Q26" s="1067"/>
      <c r="R26" s="1067"/>
      <c r="S26" s="1067"/>
      <c r="T26" s="1067"/>
      <c r="U26" s="1067"/>
      <c r="V26" s="1067"/>
      <c r="W26" s="1067"/>
      <c r="X26" s="1067"/>
      <c r="Y26" s="1067"/>
      <c r="Z26" s="3118"/>
      <c r="AA26" s="3119"/>
      <c r="AB26" s="3119"/>
      <c r="AC26" s="3119"/>
      <c r="AD26" s="3119"/>
      <c r="AE26" s="3120"/>
      <c r="AF26" s="1067"/>
      <c r="AG26" s="1068"/>
      <c r="AH26" s="1068"/>
      <c r="AI26" s="1069"/>
      <c r="AJ26" s="54"/>
      <c r="AK26" s="54"/>
      <c r="AL26" s="54"/>
      <c r="AM26" s="54"/>
      <c r="AN26" s="54"/>
      <c r="AO26" s="54"/>
      <c r="AP26" s="54"/>
      <c r="AQ26" s="54"/>
      <c r="AR26" s="54"/>
      <c r="AS26" s="54"/>
      <c r="AT26" s="54"/>
      <c r="AU26" s="54"/>
      <c r="AV26" s="54"/>
      <c r="AW26" s="54"/>
      <c r="AX26" s="54"/>
    </row>
    <row r="27" spans="1:50">
      <c r="A27" s="2320">
        <v>20</v>
      </c>
      <c r="B27" s="3121" t="s">
        <v>3515</v>
      </c>
      <c r="C27" s="3122"/>
      <c r="D27" s="2328"/>
      <c r="E27" s="2328"/>
      <c r="F27" s="1067"/>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70"/>
      <c r="AJ27" s="54"/>
      <c r="AK27" s="54"/>
      <c r="AL27" s="54"/>
      <c r="AM27" s="54"/>
      <c r="AN27" s="54"/>
      <c r="AO27" s="54"/>
      <c r="AP27" s="54"/>
      <c r="AQ27" s="54"/>
      <c r="AR27" s="54"/>
      <c r="AS27" s="54"/>
      <c r="AT27" s="54"/>
      <c r="AU27" s="54"/>
      <c r="AV27" s="54"/>
      <c r="AW27" s="54"/>
      <c r="AX27" s="54"/>
    </row>
    <row r="28" spans="1:50">
      <c r="A28" s="2329" t="s">
        <v>5663</v>
      </c>
      <c r="B28" s="2330"/>
      <c r="C28" s="2330"/>
      <c r="D28" s="2330"/>
      <c r="E28" s="2330"/>
      <c r="F28" s="2330"/>
      <c r="G28" s="2330"/>
      <c r="H28" s="2330"/>
      <c r="I28" s="2330"/>
      <c r="J28" s="2330"/>
      <c r="K28" s="2330"/>
      <c r="L28" s="2330"/>
      <c r="M28" s="2330"/>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0"/>
      <c r="AJ28" s="1078"/>
      <c r="AK28" s="1077"/>
      <c r="AL28" s="1079"/>
      <c r="AM28" s="1079"/>
      <c r="AN28" s="1079"/>
      <c r="AO28" s="1079"/>
      <c r="AP28" s="1079"/>
      <c r="AQ28" s="1079"/>
      <c r="AR28" s="1079"/>
      <c r="AS28" s="1079"/>
      <c r="AT28" s="1079"/>
      <c r="AU28" s="1079"/>
      <c r="AV28" s="1079"/>
      <c r="AW28" s="1079"/>
      <c r="AX28" s="1079"/>
    </row>
    <row r="29" spans="1:50">
      <c r="A29" s="2331">
        <v>1</v>
      </c>
      <c r="B29" s="3110" t="s">
        <v>5611</v>
      </c>
      <c r="C29" s="3111"/>
      <c r="D29" s="3111"/>
      <c r="E29" s="3111"/>
      <c r="F29" s="3111"/>
      <c r="G29" s="3111"/>
      <c r="H29" s="3111"/>
      <c r="I29" s="3111"/>
      <c r="J29" s="3111"/>
      <c r="K29" s="3111"/>
      <c r="L29" s="3111"/>
      <c r="M29" s="3111"/>
      <c r="N29" s="3111"/>
      <c r="O29" s="3111"/>
      <c r="P29" s="3111"/>
      <c r="Q29" s="3111"/>
      <c r="R29" s="3111"/>
      <c r="S29" s="3111"/>
      <c r="T29" s="3111"/>
      <c r="U29" s="3111"/>
      <c r="V29" s="3111"/>
      <c r="W29" s="3111"/>
      <c r="X29" s="3111"/>
      <c r="Y29" s="3111"/>
      <c r="Z29" s="3111"/>
      <c r="AA29" s="3111"/>
      <c r="AB29" s="3111"/>
      <c r="AC29" s="3111"/>
      <c r="AD29" s="3111"/>
      <c r="AE29" s="3111"/>
      <c r="AF29" s="3111"/>
      <c r="AG29" s="3111"/>
      <c r="AH29" s="2185"/>
      <c r="AI29" s="2330"/>
      <c r="AJ29" s="1078"/>
      <c r="AK29" s="1077"/>
      <c r="AL29" s="1079"/>
      <c r="AM29" s="1079"/>
      <c r="AN29" s="1079"/>
      <c r="AO29" s="1079"/>
      <c r="AP29" s="1079"/>
      <c r="AQ29" s="1079"/>
      <c r="AR29" s="1079"/>
      <c r="AS29" s="1079"/>
      <c r="AT29" s="1079"/>
      <c r="AU29" s="1079"/>
      <c r="AV29" s="1079"/>
      <c r="AW29" s="1079"/>
      <c r="AX29" s="1079"/>
    </row>
    <row r="30" spans="1:50">
      <c r="A30" s="2331">
        <v>2</v>
      </c>
      <c r="B30" s="3110" t="s">
        <v>5664</v>
      </c>
      <c r="C30" s="3111"/>
      <c r="D30" s="3111"/>
      <c r="E30" s="3111"/>
      <c r="F30" s="3111"/>
      <c r="G30" s="3111"/>
      <c r="H30" s="3111"/>
      <c r="I30" s="3111"/>
      <c r="J30" s="3111"/>
      <c r="K30" s="3111"/>
      <c r="L30" s="3111"/>
      <c r="M30" s="3111"/>
      <c r="N30" s="3111"/>
      <c r="O30" s="3111"/>
      <c r="P30" s="3111"/>
      <c r="Q30" s="3111"/>
      <c r="R30" s="3111"/>
      <c r="S30" s="3111"/>
      <c r="T30" s="3111"/>
      <c r="U30" s="3111"/>
      <c r="V30" s="3111"/>
      <c r="W30" s="3111"/>
      <c r="X30" s="3111"/>
      <c r="Y30" s="3111"/>
      <c r="Z30" s="3111"/>
      <c r="AA30" s="3111"/>
      <c r="AB30" s="3111"/>
      <c r="AC30" s="3111"/>
      <c r="AD30" s="3111"/>
      <c r="AE30" s="3111"/>
      <c r="AF30" s="3111"/>
      <c r="AG30" s="3111"/>
      <c r="AH30" s="2185"/>
      <c r="AI30" s="2330"/>
      <c r="AJ30" s="1078"/>
      <c r="AK30" s="1077"/>
      <c r="AL30" s="1079"/>
      <c r="AM30" s="1079"/>
      <c r="AN30" s="1079"/>
      <c r="AO30" s="1079"/>
      <c r="AP30" s="1079"/>
      <c r="AQ30" s="1079"/>
      <c r="AR30" s="1079"/>
      <c r="AS30" s="1079"/>
      <c r="AT30" s="1079"/>
      <c r="AU30" s="1079"/>
      <c r="AV30" s="1079"/>
      <c r="AW30" s="1079"/>
      <c r="AX30" s="1079"/>
    </row>
    <row r="31" spans="1:50">
      <c r="A31" s="2332">
        <v>3</v>
      </c>
      <c r="B31" s="3110" t="s">
        <v>5665</v>
      </c>
      <c r="C31" s="3110"/>
      <c r="D31" s="3110"/>
      <c r="E31" s="3110"/>
      <c r="F31" s="3110"/>
      <c r="G31" s="3110"/>
      <c r="H31" s="3110"/>
      <c r="I31" s="3110"/>
      <c r="J31" s="3110"/>
      <c r="K31" s="3110"/>
      <c r="L31" s="3110"/>
      <c r="M31" s="3110"/>
      <c r="N31" s="3110"/>
      <c r="O31" s="3110"/>
      <c r="P31" s="3110"/>
      <c r="Q31" s="3110"/>
      <c r="R31" s="3110"/>
      <c r="S31" s="3110"/>
      <c r="T31" s="3110"/>
      <c r="U31" s="3110"/>
      <c r="V31" s="3110"/>
      <c r="W31" s="3110"/>
      <c r="X31" s="3110"/>
      <c r="Y31" s="3110"/>
      <c r="Z31" s="3110"/>
      <c r="AA31" s="3110"/>
      <c r="AB31" s="3110"/>
      <c r="AC31" s="3110"/>
      <c r="AD31" s="3110"/>
      <c r="AE31" s="3110"/>
      <c r="AF31" s="3110"/>
      <c r="AG31" s="3110"/>
      <c r="AH31" s="2330"/>
      <c r="AI31" s="2333"/>
    </row>
    <row r="32" spans="1:50">
      <c r="A32" s="2331">
        <v>4</v>
      </c>
      <c r="B32" s="3110" t="s">
        <v>4172</v>
      </c>
      <c r="C32" s="3110"/>
      <c r="D32" s="3110"/>
      <c r="E32" s="3110"/>
      <c r="F32" s="3110"/>
      <c r="G32" s="3110"/>
      <c r="H32" s="3110"/>
      <c r="I32" s="3110"/>
      <c r="J32" s="3110"/>
      <c r="K32" s="3110"/>
      <c r="L32" s="3110"/>
      <c r="M32" s="3110"/>
      <c r="N32" s="3110"/>
      <c r="O32" s="3110"/>
      <c r="P32" s="3110"/>
      <c r="Q32" s="3110"/>
      <c r="R32" s="3110"/>
      <c r="S32" s="3110"/>
      <c r="T32" s="3110"/>
      <c r="U32" s="3110"/>
      <c r="V32" s="3110"/>
      <c r="W32" s="3110"/>
      <c r="X32" s="3110"/>
      <c r="Y32" s="3110"/>
      <c r="Z32" s="3110"/>
      <c r="AA32" s="3110"/>
      <c r="AB32" s="3110"/>
      <c r="AC32" s="3110"/>
      <c r="AD32" s="3110"/>
      <c r="AE32" s="3110"/>
      <c r="AF32" s="3110"/>
      <c r="AG32" s="3110"/>
      <c r="AH32" s="2330"/>
      <c r="AI32" s="2333"/>
    </row>
    <row r="33" spans="1:35">
      <c r="A33" s="2331">
        <v>5</v>
      </c>
      <c r="B33" s="3110" t="s">
        <v>4173</v>
      </c>
      <c r="C33" s="3110"/>
      <c r="D33" s="3110"/>
      <c r="E33" s="3110"/>
      <c r="F33" s="3110"/>
      <c r="G33" s="3110"/>
      <c r="H33" s="3110"/>
      <c r="I33" s="3110"/>
      <c r="J33" s="3110"/>
      <c r="K33" s="3110"/>
      <c r="L33" s="3110"/>
      <c r="M33" s="3110"/>
      <c r="N33" s="3110"/>
      <c r="O33" s="3110"/>
      <c r="P33" s="3110"/>
      <c r="Q33" s="3110"/>
      <c r="R33" s="3110"/>
      <c r="S33" s="3110"/>
      <c r="T33" s="3110"/>
      <c r="U33" s="3110"/>
      <c r="V33" s="3110"/>
      <c r="W33" s="3110"/>
      <c r="X33" s="3110"/>
      <c r="Y33" s="3110"/>
      <c r="Z33" s="3110"/>
      <c r="AA33" s="3110"/>
      <c r="AB33" s="3110"/>
      <c r="AC33" s="3110"/>
      <c r="AD33" s="3110"/>
      <c r="AE33" s="3110"/>
      <c r="AF33" s="3110"/>
      <c r="AG33" s="3110"/>
      <c r="AH33" s="2330"/>
      <c r="AI33" s="2333"/>
    </row>
    <row r="34" spans="1:35">
      <c r="A34" s="2331">
        <v>6</v>
      </c>
      <c r="B34" s="3110" t="s">
        <v>4174</v>
      </c>
      <c r="C34" s="3111"/>
      <c r="D34" s="3111"/>
      <c r="E34" s="3111"/>
      <c r="F34" s="3111"/>
      <c r="G34" s="3111"/>
      <c r="H34" s="3111"/>
      <c r="I34" s="3111"/>
      <c r="J34" s="3111"/>
      <c r="K34" s="3111"/>
      <c r="L34" s="3111"/>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2185"/>
      <c r="AI34" s="2333"/>
    </row>
    <row r="35" spans="1:35">
      <c r="A35" s="2331">
        <v>7</v>
      </c>
      <c r="B35" s="3110" t="s">
        <v>5666</v>
      </c>
      <c r="C35" s="3111"/>
      <c r="D35" s="3111"/>
      <c r="E35" s="3111"/>
      <c r="F35" s="3111"/>
      <c r="G35" s="3111"/>
      <c r="H35" s="3111"/>
      <c r="I35" s="3111"/>
      <c r="J35" s="3111"/>
      <c r="K35" s="3111"/>
      <c r="L35" s="3111"/>
      <c r="M35" s="3111"/>
      <c r="N35" s="3111"/>
      <c r="O35" s="3111"/>
      <c r="P35" s="3111"/>
      <c r="Q35" s="3111"/>
      <c r="R35" s="3111"/>
      <c r="S35" s="3111"/>
      <c r="T35" s="3111"/>
      <c r="U35" s="3111"/>
      <c r="V35" s="3111"/>
      <c r="W35" s="3111"/>
      <c r="X35" s="3111"/>
      <c r="Y35" s="3111"/>
      <c r="Z35" s="3111"/>
      <c r="AA35" s="3111"/>
      <c r="AB35" s="3111"/>
      <c r="AC35" s="3111"/>
      <c r="AD35" s="3111"/>
      <c r="AE35" s="3111"/>
      <c r="AF35" s="3111"/>
      <c r="AG35" s="3111"/>
      <c r="AH35" s="2185"/>
      <c r="AI35" s="2333"/>
    </row>
    <row r="36" spans="1:35">
      <c r="A36" s="2794">
        <v>8</v>
      </c>
      <c r="B36" s="2795" t="s">
        <v>8573</v>
      </c>
      <c r="C36" s="2330"/>
      <c r="D36" s="2330"/>
      <c r="E36" s="2330"/>
      <c r="F36" s="2330"/>
      <c r="G36" s="2330"/>
      <c r="H36" s="2330"/>
      <c r="I36" s="2330"/>
      <c r="J36" s="2330"/>
      <c r="K36" s="2330"/>
      <c r="L36" s="2330"/>
      <c r="M36" s="2330"/>
      <c r="N36" s="2330"/>
      <c r="O36" s="2330"/>
      <c r="P36" s="2334"/>
      <c r="Q36" s="2334"/>
      <c r="R36" s="2334"/>
      <c r="S36" s="2334"/>
      <c r="T36" s="2334"/>
      <c r="U36" s="2334"/>
      <c r="V36" s="2334"/>
      <c r="W36" s="2334"/>
      <c r="X36" s="2334"/>
      <c r="Y36" s="2334"/>
      <c r="Z36" s="2330"/>
      <c r="AA36" s="2330"/>
      <c r="AB36" s="2330"/>
      <c r="AC36" s="2330"/>
      <c r="AD36" s="2330"/>
      <c r="AE36" s="2330"/>
      <c r="AF36" s="2330"/>
      <c r="AG36" s="2330"/>
      <c r="AH36" s="2330"/>
      <c r="AI36" s="2333"/>
    </row>
    <row r="37" spans="1:35">
      <c r="B37" s="1078"/>
      <c r="C37" s="1078"/>
      <c r="D37" s="1078"/>
      <c r="E37" s="1078"/>
      <c r="F37" s="1078"/>
      <c r="G37" s="1078"/>
      <c r="H37" s="1078"/>
      <c r="I37" s="1078"/>
      <c r="J37" s="1078"/>
      <c r="K37" s="1078"/>
      <c r="L37" s="1078"/>
      <c r="M37" s="1078"/>
      <c r="N37" s="1078"/>
      <c r="O37" s="1078"/>
      <c r="P37" s="1080"/>
      <c r="Q37" s="1080"/>
      <c r="R37" s="1080"/>
      <c r="S37" s="1080"/>
      <c r="T37" s="1080"/>
      <c r="U37" s="1080"/>
      <c r="V37" s="1080"/>
      <c r="W37" s="1080"/>
      <c r="X37" s="1080"/>
      <c r="Y37" s="1080"/>
      <c r="Z37" s="1078"/>
      <c r="AA37" s="1078"/>
      <c r="AB37" s="1078"/>
      <c r="AC37" s="1078"/>
      <c r="AD37" s="1078"/>
      <c r="AE37" s="1078"/>
      <c r="AF37" s="1078"/>
      <c r="AG37" s="1078"/>
      <c r="AH37" s="1078"/>
    </row>
    <row r="39" spans="1:35">
      <c r="B39" s="1081"/>
      <c r="C39" s="1081"/>
      <c r="D39" s="1081"/>
      <c r="E39" s="1081"/>
      <c r="F39" s="1081"/>
      <c r="G39" s="1081"/>
      <c r="H39" s="1081"/>
      <c r="I39" s="1081"/>
      <c r="J39" s="1081"/>
      <c r="K39" s="1081"/>
      <c r="L39" s="1081"/>
      <c r="M39" s="1081"/>
      <c r="N39" s="1081"/>
      <c r="O39" s="1081"/>
    </row>
    <row r="40" spans="1:35">
      <c r="B40" s="1082"/>
      <c r="C40" s="1082"/>
      <c r="D40" s="1082"/>
      <c r="E40" s="1082"/>
      <c r="F40" s="1082"/>
      <c r="G40" s="1082"/>
      <c r="H40" s="1082"/>
      <c r="I40" s="1082"/>
      <c r="J40" s="1082"/>
      <c r="K40" s="1082"/>
      <c r="L40" s="1082"/>
      <c r="M40" s="1082"/>
      <c r="N40" s="1082"/>
      <c r="O40" s="1082"/>
    </row>
    <row r="41" spans="1:35">
      <c r="B41" s="1082"/>
      <c r="C41" s="1082"/>
      <c r="D41" s="1082"/>
      <c r="E41" s="1082"/>
      <c r="F41" s="1082"/>
      <c r="G41" s="1082"/>
      <c r="H41" s="1082"/>
      <c r="I41" s="1082"/>
      <c r="J41" s="1082"/>
      <c r="K41" s="1082"/>
      <c r="L41" s="1082"/>
      <c r="M41" s="1082"/>
      <c r="N41" s="1082"/>
      <c r="O41" s="1082"/>
    </row>
    <row r="42" spans="1:35">
      <c r="B42" s="1082"/>
      <c r="C42" s="1082"/>
      <c r="D42" s="1082"/>
      <c r="E42" s="1082"/>
      <c r="F42" s="1082"/>
      <c r="G42" s="1082"/>
      <c r="H42" s="1082"/>
      <c r="I42" s="1082"/>
      <c r="J42" s="1082"/>
      <c r="K42" s="1082"/>
      <c r="L42" s="1082"/>
      <c r="M42" s="1082"/>
      <c r="N42" s="1082"/>
      <c r="O42" s="1082"/>
    </row>
  </sheetData>
  <mergeCells count="37">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s>
  <phoneticPr fontId="30"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pane="topRight"/>
      <selection pane="bottomLeft"/>
      <selection pane="bottomRight"/>
    </sheetView>
  </sheetViews>
  <sheetFormatPr defaultColWidth="8.125" defaultRowHeight="14.25"/>
  <cols>
    <col min="1" max="1" width="5.125" style="1813" customWidth="1"/>
    <col min="2" max="2" width="83.125" style="66" customWidth="1"/>
    <col min="3" max="3" width="12.125" style="66" customWidth="1"/>
    <col min="4" max="4" width="13.875" style="66" customWidth="1"/>
    <col min="5" max="5" width="12.875" style="66" customWidth="1"/>
    <col min="6" max="6" width="12.625" style="66" customWidth="1"/>
    <col min="7" max="7" width="13.375" style="66" customWidth="1"/>
    <col min="8" max="9" width="14.125" style="66" customWidth="1"/>
    <col min="10" max="10" width="9.375" style="66" customWidth="1"/>
    <col min="11" max="11" width="11.375" style="66" customWidth="1"/>
    <col min="12" max="12" width="10.25" style="66" customWidth="1"/>
    <col min="13" max="13" width="13.75" style="66" customWidth="1"/>
    <col min="14" max="14" width="33.875" style="66" customWidth="1"/>
    <col min="15" max="15" width="15.75" style="66" customWidth="1"/>
    <col min="16" max="16" width="15" style="66" customWidth="1"/>
    <col min="17" max="17" width="13.125" style="66" customWidth="1"/>
    <col min="18" max="18" width="8.75" style="66" customWidth="1"/>
    <col min="19" max="16384" width="8.125" style="66"/>
  </cols>
  <sheetData>
    <row r="1" spans="1:21" ht="16.5">
      <c r="A1" s="2186" t="str">
        <f>+封面!A3&amp;" "&amp;封面!A2</f>
        <v xml:space="preserve"> 中央再保險股份有限公司 年度檢查報表</v>
      </c>
      <c r="B1" s="32"/>
      <c r="C1" s="36"/>
      <c r="D1" s="36"/>
      <c r="E1" s="36"/>
      <c r="F1" s="36"/>
      <c r="G1" s="36"/>
      <c r="H1" s="36"/>
      <c r="I1" s="36"/>
      <c r="J1" s="36"/>
      <c r="K1" s="36"/>
      <c r="L1" s="36"/>
      <c r="M1" s="36"/>
      <c r="N1" s="36"/>
      <c r="Q1" s="36"/>
      <c r="R1" s="36"/>
    </row>
    <row r="2" spans="1:21">
      <c r="A2" s="1792" t="s">
        <v>282</v>
      </c>
      <c r="C2" s="458"/>
      <c r="D2" s="458"/>
      <c r="N2" s="1793"/>
      <c r="P2" s="2811" t="s">
        <v>283</v>
      </c>
      <c r="Q2" s="2811"/>
      <c r="R2" s="2811"/>
    </row>
    <row r="3" spans="1:21">
      <c r="A3" s="2807" t="s">
        <v>1236</v>
      </c>
      <c r="B3" s="2813" t="s">
        <v>273</v>
      </c>
      <c r="C3" s="2814" t="s">
        <v>284</v>
      </c>
      <c r="D3" s="2815"/>
      <c r="E3" s="2815"/>
      <c r="F3" s="2815"/>
      <c r="G3" s="2815"/>
      <c r="H3" s="2816"/>
      <c r="I3" s="2814" t="s">
        <v>285</v>
      </c>
      <c r="J3" s="2815"/>
      <c r="K3" s="2817"/>
      <c r="L3" s="2809" t="s">
        <v>286</v>
      </c>
      <c r="M3" s="2810"/>
      <c r="N3" s="2807" t="s">
        <v>273</v>
      </c>
      <c r="O3" s="1490" t="s">
        <v>287</v>
      </c>
      <c r="P3" s="1490" t="s">
        <v>285</v>
      </c>
      <c r="Q3" s="2809" t="s">
        <v>288</v>
      </c>
      <c r="R3" s="2810"/>
    </row>
    <row r="4" spans="1:21" s="1796" customFormat="1" ht="24.6" customHeight="1">
      <c r="A4" s="2808"/>
      <c r="B4" s="2807"/>
      <c r="C4" s="1794" t="s">
        <v>1237</v>
      </c>
      <c r="D4" s="1794" t="s">
        <v>1356</v>
      </c>
      <c r="E4" s="1794" t="s">
        <v>1238</v>
      </c>
      <c r="F4" s="1794" t="s">
        <v>1239</v>
      </c>
      <c r="G4" s="1794" t="s">
        <v>289</v>
      </c>
      <c r="H4" s="1794" t="s">
        <v>290</v>
      </c>
      <c r="I4" s="1795" t="s">
        <v>291</v>
      </c>
      <c r="J4" s="1795" t="s">
        <v>292</v>
      </c>
      <c r="K4" s="1796" t="s">
        <v>1240</v>
      </c>
      <c r="L4" s="1794" t="s">
        <v>293</v>
      </c>
      <c r="M4" s="1794" t="s">
        <v>294</v>
      </c>
      <c r="N4" s="2808"/>
      <c r="O4" s="1794" t="s">
        <v>1241</v>
      </c>
      <c r="P4" s="1794" t="s">
        <v>291</v>
      </c>
      <c r="Q4" s="1794" t="s">
        <v>293</v>
      </c>
      <c r="R4" s="1794" t="s">
        <v>294</v>
      </c>
    </row>
    <row r="5" spans="1:21" s="1796" customFormat="1">
      <c r="A5" s="2812"/>
      <c r="B5" s="1797" t="s">
        <v>295</v>
      </c>
      <c r="C5" s="1798" t="s">
        <v>183</v>
      </c>
      <c r="D5" s="1798" t="s">
        <v>68</v>
      </c>
      <c r="E5" s="1798" t="s">
        <v>69</v>
      </c>
      <c r="F5" s="1798" t="s">
        <v>70</v>
      </c>
      <c r="G5" s="1798" t="s">
        <v>71</v>
      </c>
      <c r="H5" s="1798" t="s">
        <v>72</v>
      </c>
      <c r="I5" s="1798" t="s">
        <v>73</v>
      </c>
      <c r="J5" s="1798" t="s">
        <v>74</v>
      </c>
      <c r="K5" s="1798" t="s">
        <v>75</v>
      </c>
      <c r="L5" s="1798" t="s">
        <v>225</v>
      </c>
      <c r="M5" s="1798" t="s">
        <v>226</v>
      </c>
      <c r="N5" s="1798" t="s">
        <v>274</v>
      </c>
      <c r="O5" s="1798" t="s">
        <v>275</v>
      </c>
      <c r="P5" s="1798" t="s">
        <v>276</v>
      </c>
      <c r="Q5" s="1798" t="s">
        <v>277</v>
      </c>
      <c r="R5" s="1798" t="s">
        <v>278</v>
      </c>
    </row>
    <row r="6" spans="1:21" s="1796" customFormat="1">
      <c r="A6" s="1799">
        <v>1</v>
      </c>
      <c r="B6" s="1800" t="s">
        <v>904</v>
      </c>
      <c r="C6" s="1801"/>
      <c r="D6" s="1801"/>
      <c r="E6" s="1802">
        <f>SUM(C6:D6)</f>
        <v>0</v>
      </c>
      <c r="F6" s="1803" t="str">
        <f t="shared" ref="F6:F47" si="0">IF(C6=0,"",IFERROR(+E6/$E$104,""))</f>
        <v/>
      </c>
      <c r="G6" s="1801"/>
      <c r="H6" s="1802">
        <f>+E6-G6</f>
        <v>0</v>
      </c>
      <c r="I6" s="1801"/>
      <c r="J6" s="1804"/>
      <c r="K6" s="1801"/>
      <c r="L6" s="1802">
        <f>+E6-I6</f>
        <v>0</v>
      </c>
      <c r="M6" s="1803" t="str">
        <f t="shared" ref="M6:M47" si="1">IF(AND(I6=0,OR(E6&gt;0,E6&lt;0)),+L6/L6,IFERROR(+L6/I6,""))</f>
        <v/>
      </c>
      <c r="N6" s="1800" t="s">
        <v>940</v>
      </c>
      <c r="O6" s="1801"/>
      <c r="P6" s="1801"/>
      <c r="Q6" s="1802">
        <f>+O6-P6</f>
        <v>0</v>
      </c>
      <c r="R6" s="1803" t="str">
        <f t="shared" ref="R6:R16" si="2">IF(AND(P6=0,OR(O6&gt;0,O6&lt;0)),+Q6/Q6,IFERROR(+Q6/P6,""))</f>
        <v/>
      </c>
      <c r="S6" s="66"/>
    </row>
    <row r="7" spans="1:21">
      <c r="A7" s="1799">
        <f>A6+1</f>
        <v>2</v>
      </c>
      <c r="B7" s="1800" t="s">
        <v>905</v>
      </c>
      <c r="C7" s="1802">
        <f>SUM(C8:C18)-C10-C11</f>
        <v>0</v>
      </c>
      <c r="D7" s="1802">
        <f>SUM(D8:D18)-D10-D11</f>
        <v>0</v>
      </c>
      <c r="E7" s="1802">
        <f>SUM(C7:D7)</f>
        <v>0</v>
      </c>
      <c r="F7" s="1803" t="str">
        <f t="shared" si="0"/>
        <v/>
      </c>
      <c r="G7" s="1802">
        <f>SUM(G8:G18)-G10-G11</f>
        <v>0</v>
      </c>
      <c r="H7" s="1802">
        <f t="shared" ref="H7:H72" si="3">+E7-G7</f>
        <v>0</v>
      </c>
      <c r="I7" s="1801">
        <v>0</v>
      </c>
      <c r="J7" s="1804"/>
      <c r="K7" s="1801"/>
      <c r="L7" s="1802">
        <f t="shared" ref="L7:L72" si="4">+E7-I7</f>
        <v>0</v>
      </c>
      <c r="M7" s="1803" t="str">
        <f t="shared" si="1"/>
        <v/>
      </c>
      <c r="N7" s="1800" t="s">
        <v>941</v>
      </c>
      <c r="O7" s="1802">
        <f>SUM(O8:O14)</f>
        <v>0</v>
      </c>
      <c r="P7" s="1802">
        <f>SUM(P8:P14)</f>
        <v>0</v>
      </c>
      <c r="Q7" s="1802">
        <f t="shared" ref="Q7:Q55" si="5">+O7-P7</f>
        <v>0</v>
      </c>
      <c r="R7" s="1803" t="str">
        <f t="shared" si="2"/>
        <v/>
      </c>
      <c r="T7" s="1796"/>
      <c r="U7" s="1796"/>
    </row>
    <row r="8" spans="1:21">
      <c r="A8" s="1799">
        <f t="shared" ref="A8:A72" si="6">A7+1</f>
        <v>3</v>
      </c>
      <c r="B8" s="1805" t="s">
        <v>1242</v>
      </c>
      <c r="C8" s="1801"/>
      <c r="D8" s="1801"/>
      <c r="E8" s="1802">
        <f t="shared" ref="E8:E73" si="7">SUM(C8:D8)</f>
        <v>0</v>
      </c>
      <c r="F8" s="1803" t="str">
        <f t="shared" si="0"/>
        <v/>
      </c>
      <c r="G8" s="1801"/>
      <c r="H8" s="1802">
        <f t="shared" si="3"/>
        <v>0</v>
      </c>
      <c r="I8" s="1801"/>
      <c r="J8" s="1804"/>
      <c r="K8" s="1801"/>
      <c r="L8" s="1802">
        <f t="shared" si="4"/>
        <v>0</v>
      </c>
      <c r="M8" s="1803" t="str">
        <f t="shared" si="1"/>
        <v/>
      </c>
      <c r="N8" s="1805" t="s">
        <v>942</v>
      </c>
      <c r="O8" s="1801"/>
      <c r="P8" s="1801"/>
      <c r="Q8" s="1802">
        <f t="shared" si="5"/>
        <v>0</v>
      </c>
      <c r="R8" s="1803" t="str">
        <f t="shared" si="2"/>
        <v/>
      </c>
      <c r="T8" s="1796"/>
      <c r="U8" s="1796"/>
    </row>
    <row r="9" spans="1:21">
      <c r="A9" s="1799">
        <f t="shared" si="6"/>
        <v>4</v>
      </c>
      <c r="B9" s="1805" t="s">
        <v>906</v>
      </c>
      <c r="C9" s="1802">
        <f>+C10+C11</f>
        <v>0</v>
      </c>
      <c r="D9" s="1802">
        <f>+D10+D11</f>
        <v>0</v>
      </c>
      <c r="E9" s="1802">
        <f t="shared" si="7"/>
        <v>0</v>
      </c>
      <c r="F9" s="1803" t="str">
        <f t="shared" si="0"/>
        <v/>
      </c>
      <c r="G9" s="1802">
        <f>+G10+G11</f>
        <v>0</v>
      </c>
      <c r="H9" s="1802">
        <f t="shared" si="3"/>
        <v>0</v>
      </c>
      <c r="I9" s="1801"/>
      <c r="J9" s="1804"/>
      <c r="K9" s="1801"/>
      <c r="L9" s="1802">
        <f t="shared" si="4"/>
        <v>0</v>
      </c>
      <c r="M9" s="1803" t="str">
        <f t="shared" si="1"/>
        <v/>
      </c>
      <c r="N9" s="1805" t="s">
        <v>1243</v>
      </c>
      <c r="O9" s="1801"/>
      <c r="P9" s="1801"/>
      <c r="Q9" s="1802">
        <f t="shared" si="5"/>
        <v>0</v>
      </c>
      <c r="R9" s="1803" t="str">
        <f t="shared" si="2"/>
        <v/>
      </c>
      <c r="T9" s="1796"/>
      <c r="U9" s="1796"/>
    </row>
    <row r="10" spans="1:21">
      <c r="A10" s="1799">
        <f t="shared" si="6"/>
        <v>5</v>
      </c>
      <c r="B10" s="1805" t="s">
        <v>1244</v>
      </c>
      <c r="C10" s="1801"/>
      <c r="D10" s="1801"/>
      <c r="E10" s="1802">
        <f t="shared" si="7"/>
        <v>0</v>
      </c>
      <c r="F10" s="1803" t="str">
        <f t="shared" si="0"/>
        <v/>
      </c>
      <c r="G10" s="1801"/>
      <c r="H10" s="1802">
        <f t="shared" si="3"/>
        <v>0</v>
      </c>
      <c r="I10" s="1801"/>
      <c r="J10" s="1804"/>
      <c r="K10" s="1801"/>
      <c r="L10" s="1802">
        <f t="shared" si="4"/>
        <v>0</v>
      </c>
      <c r="M10" s="1803" t="str">
        <f t="shared" si="1"/>
        <v/>
      </c>
      <c r="N10" s="1805" t="s">
        <v>1245</v>
      </c>
      <c r="O10" s="1801"/>
      <c r="P10" s="1801"/>
      <c r="Q10" s="1802">
        <f t="shared" si="5"/>
        <v>0</v>
      </c>
      <c r="R10" s="1803" t="str">
        <f t="shared" si="2"/>
        <v/>
      </c>
      <c r="T10" s="1796"/>
      <c r="U10" s="1796"/>
    </row>
    <row r="11" spans="1:21">
      <c r="A11" s="1799">
        <f t="shared" si="6"/>
        <v>6</v>
      </c>
      <c r="B11" s="1805" t="s">
        <v>907</v>
      </c>
      <c r="C11" s="1801"/>
      <c r="D11" s="1801"/>
      <c r="E11" s="1802">
        <f t="shared" si="7"/>
        <v>0</v>
      </c>
      <c r="F11" s="1803" t="str">
        <f t="shared" si="0"/>
        <v/>
      </c>
      <c r="G11" s="1801"/>
      <c r="H11" s="1802">
        <f t="shared" si="3"/>
        <v>0</v>
      </c>
      <c r="I11" s="1801"/>
      <c r="J11" s="1804"/>
      <c r="K11" s="1801"/>
      <c r="L11" s="1802">
        <f t="shared" si="4"/>
        <v>0</v>
      </c>
      <c r="M11" s="1803" t="str">
        <f t="shared" si="1"/>
        <v/>
      </c>
      <c r="N11" s="1805" t="s">
        <v>943</v>
      </c>
      <c r="O11" s="1801"/>
      <c r="P11" s="1801"/>
      <c r="Q11" s="1802">
        <f t="shared" si="5"/>
        <v>0</v>
      </c>
      <c r="R11" s="1803" t="str">
        <f t="shared" si="2"/>
        <v/>
      </c>
      <c r="T11" s="1796"/>
      <c r="U11" s="1796"/>
    </row>
    <row r="12" spans="1:21">
      <c r="A12" s="1799">
        <f t="shared" si="6"/>
        <v>7</v>
      </c>
      <c r="B12" s="1805" t="s">
        <v>1246</v>
      </c>
      <c r="C12" s="1801"/>
      <c r="D12" s="1801"/>
      <c r="E12" s="1802">
        <f>SUM(C12:D12)</f>
        <v>0</v>
      </c>
      <c r="F12" s="1803" t="str">
        <f t="shared" si="0"/>
        <v/>
      </c>
      <c r="G12" s="1801"/>
      <c r="H12" s="1802">
        <f t="shared" si="3"/>
        <v>0</v>
      </c>
      <c r="I12" s="1801"/>
      <c r="J12" s="1804"/>
      <c r="K12" s="1801"/>
      <c r="L12" s="1802">
        <f t="shared" si="4"/>
        <v>0</v>
      </c>
      <c r="M12" s="1803" t="str">
        <f t="shared" si="1"/>
        <v/>
      </c>
      <c r="N12" s="1805" t="s">
        <v>944</v>
      </c>
      <c r="O12" s="1801"/>
      <c r="P12" s="1801"/>
      <c r="Q12" s="1802">
        <f t="shared" si="5"/>
        <v>0</v>
      </c>
      <c r="R12" s="1803" t="str">
        <f t="shared" si="2"/>
        <v/>
      </c>
      <c r="T12" s="1796"/>
      <c r="U12" s="1796"/>
    </row>
    <row r="13" spans="1:21">
      <c r="A13" s="1799">
        <f t="shared" si="6"/>
        <v>8</v>
      </c>
      <c r="B13" s="1805" t="s">
        <v>908</v>
      </c>
      <c r="C13" s="1801"/>
      <c r="D13" s="1801"/>
      <c r="E13" s="1802">
        <f t="shared" si="7"/>
        <v>0</v>
      </c>
      <c r="F13" s="1803" t="str">
        <f t="shared" si="0"/>
        <v/>
      </c>
      <c r="G13" s="1801"/>
      <c r="H13" s="1802">
        <f t="shared" si="3"/>
        <v>0</v>
      </c>
      <c r="I13" s="1801"/>
      <c r="J13" s="1804"/>
      <c r="K13" s="1801"/>
      <c r="L13" s="1802">
        <f t="shared" si="4"/>
        <v>0</v>
      </c>
      <c r="M13" s="1803" t="str">
        <f t="shared" si="1"/>
        <v/>
      </c>
      <c r="N13" s="1805" t="s">
        <v>945</v>
      </c>
      <c r="O13" s="1801"/>
      <c r="P13" s="1801"/>
      <c r="Q13" s="1802">
        <f t="shared" si="5"/>
        <v>0</v>
      </c>
      <c r="R13" s="1803" t="str">
        <f t="shared" si="2"/>
        <v/>
      </c>
      <c r="T13" s="1796"/>
      <c r="U13" s="1796"/>
    </row>
    <row r="14" spans="1:21">
      <c r="A14" s="1799">
        <f t="shared" si="6"/>
        <v>9</v>
      </c>
      <c r="B14" s="1805" t="s">
        <v>1247</v>
      </c>
      <c r="C14" s="1801"/>
      <c r="D14" s="1801"/>
      <c r="E14" s="1802">
        <f t="shared" si="7"/>
        <v>0</v>
      </c>
      <c r="F14" s="1803" t="str">
        <f t="shared" si="0"/>
        <v/>
      </c>
      <c r="G14" s="1801"/>
      <c r="H14" s="1802">
        <f t="shared" si="3"/>
        <v>0</v>
      </c>
      <c r="I14" s="1801"/>
      <c r="J14" s="1804"/>
      <c r="K14" s="1801"/>
      <c r="L14" s="1802">
        <f t="shared" si="4"/>
        <v>0</v>
      </c>
      <c r="M14" s="1803" t="str">
        <f t="shared" si="1"/>
        <v/>
      </c>
      <c r="N14" s="1805" t="s">
        <v>946</v>
      </c>
      <c r="O14" s="1801"/>
      <c r="P14" s="1801"/>
      <c r="Q14" s="1802">
        <f t="shared" si="5"/>
        <v>0</v>
      </c>
      <c r="R14" s="1803" t="str">
        <f t="shared" si="2"/>
        <v/>
      </c>
      <c r="T14" s="1796"/>
      <c r="U14" s="1796"/>
    </row>
    <row r="15" spans="1:21">
      <c r="A15" s="1799">
        <v>10</v>
      </c>
      <c r="B15" s="1800" t="s">
        <v>909</v>
      </c>
      <c r="C15" s="1801"/>
      <c r="D15" s="1801"/>
      <c r="E15" s="1802">
        <f t="shared" si="7"/>
        <v>0</v>
      </c>
      <c r="F15" s="1803" t="str">
        <f t="shared" si="0"/>
        <v/>
      </c>
      <c r="G15" s="1801"/>
      <c r="H15" s="1802">
        <f t="shared" si="3"/>
        <v>0</v>
      </c>
      <c r="I15" s="1801"/>
      <c r="J15" s="1804"/>
      <c r="K15" s="1801"/>
      <c r="L15" s="1802">
        <f t="shared" si="4"/>
        <v>0</v>
      </c>
      <c r="M15" s="1803" t="str">
        <f t="shared" si="1"/>
        <v/>
      </c>
      <c r="N15" s="1800" t="s">
        <v>1248</v>
      </c>
      <c r="O15" s="1801"/>
      <c r="P15" s="1801"/>
      <c r="Q15" s="1802">
        <f t="shared" si="5"/>
        <v>0</v>
      </c>
      <c r="R15" s="1803" t="str">
        <f t="shared" si="2"/>
        <v/>
      </c>
      <c r="T15" s="1796"/>
      <c r="U15" s="1796"/>
    </row>
    <row r="16" spans="1:21">
      <c r="A16" s="1799">
        <f t="shared" si="6"/>
        <v>11</v>
      </c>
      <c r="B16" s="1800" t="s">
        <v>1249</v>
      </c>
      <c r="C16" s="1801"/>
      <c r="D16" s="1801"/>
      <c r="E16" s="1802">
        <f t="shared" si="7"/>
        <v>0</v>
      </c>
      <c r="F16" s="1803" t="str">
        <f t="shared" si="0"/>
        <v/>
      </c>
      <c r="G16" s="1801"/>
      <c r="H16" s="1802">
        <f t="shared" si="3"/>
        <v>0</v>
      </c>
      <c r="I16" s="1801"/>
      <c r="J16" s="1804"/>
      <c r="K16" s="1801"/>
      <c r="L16" s="1802">
        <f t="shared" si="4"/>
        <v>0</v>
      </c>
      <c r="M16" s="1803" t="str">
        <f t="shared" si="1"/>
        <v/>
      </c>
      <c r="N16" s="1800" t="s">
        <v>1250</v>
      </c>
      <c r="O16" s="1801"/>
      <c r="P16" s="1801"/>
      <c r="Q16" s="1802">
        <f t="shared" si="5"/>
        <v>0</v>
      </c>
      <c r="R16" s="1803" t="str">
        <f t="shared" si="2"/>
        <v/>
      </c>
      <c r="T16" s="1796"/>
      <c r="U16" s="1796"/>
    </row>
    <row r="17" spans="1:21">
      <c r="A17" s="1799">
        <f t="shared" si="6"/>
        <v>12</v>
      </c>
      <c r="B17" s="1800" t="s">
        <v>910</v>
      </c>
      <c r="C17" s="1801"/>
      <c r="D17" s="1801"/>
      <c r="E17" s="1802">
        <f>SUM(C17:D17)</f>
        <v>0</v>
      </c>
      <c r="F17" s="1803" t="str">
        <f t="shared" si="0"/>
        <v/>
      </c>
      <c r="G17" s="1801"/>
      <c r="H17" s="1802">
        <f t="shared" si="3"/>
        <v>0</v>
      </c>
      <c r="I17" s="1801"/>
      <c r="J17" s="1804"/>
      <c r="K17" s="1801"/>
      <c r="L17" s="1802">
        <f t="shared" si="4"/>
        <v>0</v>
      </c>
      <c r="M17" s="1803" t="str">
        <f t="shared" si="1"/>
        <v/>
      </c>
      <c r="N17" s="1805"/>
      <c r="O17" s="1801"/>
      <c r="P17" s="1801"/>
      <c r="Q17" s="1801"/>
      <c r="R17" s="1804"/>
      <c r="T17" s="1796"/>
      <c r="U17" s="1796"/>
    </row>
    <row r="18" spans="1:21">
      <c r="A18" s="1799">
        <f t="shared" si="6"/>
        <v>13</v>
      </c>
      <c r="B18" s="1805" t="s">
        <v>1251</v>
      </c>
      <c r="C18" s="1801"/>
      <c r="D18" s="1801"/>
      <c r="E18" s="1802">
        <f t="shared" si="7"/>
        <v>0</v>
      </c>
      <c r="F18" s="1803" t="str">
        <f t="shared" si="0"/>
        <v/>
      </c>
      <c r="G18" s="1801"/>
      <c r="H18" s="1802">
        <f t="shared" si="3"/>
        <v>0</v>
      </c>
      <c r="I18" s="1801"/>
      <c r="J18" s="1804"/>
      <c r="K18" s="1801"/>
      <c r="L18" s="1802">
        <f t="shared" si="4"/>
        <v>0</v>
      </c>
      <c r="M18" s="1803" t="str">
        <f t="shared" si="1"/>
        <v/>
      </c>
      <c r="N18" s="1806" t="s">
        <v>1252</v>
      </c>
      <c r="O18" s="1801"/>
      <c r="P18" s="1801"/>
      <c r="Q18" s="1802">
        <f t="shared" si="5"/>
        <v>0</v>
      </c>
      <c r="R18" s="1803" t="str">
        <f>IF(AND(P18=0,OR(O18&gt;0,O18&lt;0)),+Q18/Q18,IFERROR(+Q18/P18,""))</f>
        <v/>
      </c>
      <c r="T18" s="1796"/>
      <c r="U18" s="1796"/>
    </row>
    <row r="19" spans="1:21">
      <c r="A19" s="1799">
        <f t="shared" si="6"/>
        <v>14</v>
      </c>
      <c r="B19" s="1805" t="s">
        <v>1253</v>
      </c>
      <c r="C19" s="1801"/>
      <c r="D19" s="1801"/>
      <c r="E19" s="1802">
        <f t="shared" si="7"/>
        <v>0</v>
      </c>
      <c r="F19" s="1803" t="str">
        <f t="shared" si="0"/>
        <v/>
      </c>
      <c r="G19" s="1801"/>
      <c r="H19" s="1802">
        <f t="shared" si="3"/>
        <v>0</v>
      </c>
      <c r="I19" s="1801"/>
      <c r="J19" s="1804"/>
      <c r="K19" s="1801"/>
      <c r="L19" s="1802">
        <f t="shared" si="4"/>
        <v>0</v>
      </c>
      <c r="M19" s="1803" t="str">
        <f t="shared" si="1"/>
        <v/>
      </c>
      <c r="N19" s="1805" t="s">
        <v>1254</v>
      </c>
      <c r="O19" s="1801"/>
      <c r="P19" s="1801"/>
      <c r="Q19" s="1802">
        <f t="shared" si="5"/>
        <v>0</v>
      </c>
      <c r="R19" s="1803" t="str">
        <f>IF(AND(P19=0,OR(O19&gt;0,O19&lt;0)),+Q19/Q19,IFERROR(+Q19/P19,""))</f>
        <v/>
      </c>
      <c r="T19" s="1796"/>
      <c r="U19" s="1796"/>
    </row>
    <row r="20" spans="1:21">
      <c r="A20" s="1799">
        <f t="shared" si="6"/>
        <v>15</v>
      </c>
      <c r="B20" s="1800" t="s">
        <v>911</v>
      </c>
      <c r="C20" s="1801"/>
      <c r="D20" s="1801"/>
      <c r="E20" s="1802">
        <f t="shared" si="7"/>
        <v>0</v>
      </c>
      <c r="F20" s="1803" t="str">
        <f t="shared" si="0"/>
        <v/>
      </c>
      <c r="G20" s="1801"/>
      <c r="H20" s="1802">
        <f t="shared" si="3"/>
        <v>0</v>
      </c>
      <c r="I20" s="1801"/>
      <c r="J20" s="1804"/>
      <c r="K20" s="1801"/>
      <c r="L20" s="1802">
        <f t="shared" si="4"/>
        <v>0</v>
      </c>
      <c r="M20" s="1803" t="str">
        <f t="shared" si="1"/>
        <v/>
      </c>
      <c r="N20" s="1800" t="s">
        <v>947</v>
      </c>
      <c r="O20" s="1801"/>
      <c r="P20" s="1801"/>
      <c r="Q20" s="1802">
        <f t="shared" si="5"/>
        <v>0</v>
      </c>
      <c r="R20" s="1803" t="str">
        <f>IF(AND(P20=0,OR(O20&gt;0,O20&lt;0)),+Q20/Q20,IFERROR(+Q20/P20,""))</f>
        <v/>
      </c>
      <c r="T20" s="1796"/>
      <c r="U20" s="1796"/>
    </row>
    <row r="21" spans="1:21">
      <c r="A21" s="1799">
        <f t="shared" si="6"/>
        <v>16</v>
      </c>
      <c r="B21" s="1800" t="s">
        <v>1222</v>
      </c>
      <c r="C21" s="1801"/>
      <c r="D21" s="1801"/>
      <c r="E21" s="1802">
        <f t="shared" si="7"/>
        <v>0</v>
      </c>
      <c r="F21" s="1803" t="str">
        <f t="shared" si="0"/>
        <v/>
      </c>
      <c r="G21" s="1801"/>
      <c r="H21" s="1802">
        <f t="shared" si="3"/>
        <v>0</v>
      </c>
      <c r="I21" s="1801"/>
      <c r="J21" s="1804"/>
      <c r="K21" s="1801"/>
      <c r="L21" s="1802">
        <f t="shared" si="4"/>
        <v>0</v>
      </c>
      <c r="M21" s="1803" t="str">
        <f t="shared" si="1"/>
        <v/>
      </c>
      <c r="N21" s="1800" t="s">
        <v>948</v>
      </c>
      <c r="O21" s="1801"/>
      <c r="P21" s="1801"/>
      <c r="Q21" s="1802">
        <f t="shared" si="5"/>
        <v>0</v>
      </c>
      <c r="R21" s="1803" t="str">
        <f>IF(AND(P21=0,OR(O21&gt;0,O21&lt;0)),+Q21/Q21,IFERROR(+Q21/P21,""))</f>
        <v/>
      </c>
      <c r="T21" s="1796"/>
      <c r="U21" s="1796"/>
    </row>
    <row r="22" spans="1:21">
      <c r="A22" s="1799">
        <f t="shared" si="6"/>
        <v>17</v>
      </c>
      <c r="B22" s="1807" t="s">
        <v>912</v>
      </c>
      <c r="C22" s="1802">
        <f>SUM(C23:C32)</f>
        <v>0</v>
      </c>
      <c r="D22" s="1802">
        <f>SUM(D23:D32)</f>
        <v>0</v>
      </c>
      <c r="E22" s="1802">
        <f t="shared" si="7"/>
        <v>0</v>
      </c>
      <c r="F22" s="1803" t="str">
        <f t="shared" si="0"/>
        <v/>
      </c>
      <c r="G22" s="1802">
        <f>SUM(G23:G32)</f>
        <v>0</v>
      </c>
      <c r="H22" s="1802">
        <f t="shared" si="3"/>
        <v>0</v>
      </c>
      <c r="I22" s="1801"/>
      <c r="J22" s="1804"/>
      <c r="K22" s="1801"/>
      <c r="L22" s="1802">
        <f t="shared" si="4"/>
        <v>0</v>
      </c>
      <c r="M22" s="1803" t="str">
        <f t="shared" si="1"/>
        <v/>
      </c>
      <c r="N22" s="1800" t="s">
        <v>949</v>
      </c>
      <c r="O22" s="1801"/>
      <c r="P22" s="1801"/>
      <c r="Q22" s="1802">
        <f t="shared" si="5"/>
        <v>0</v>
      </c>
      <c r="R22" s="1803" t="str">
        <f>IF(AND(P22=0,OR(O22&gt;0,O22&lt;0)),+Q22/Q22,IFERROR(+Q22/P22,""))</f>
        <v/>
      </c>
      <c r="T22" s="1796"/>
      <c r="U22" s="1796"/>
    </row>
    <row r="23" spans="1:21">
      <c r="A23" s="1799">
        <f t="shared" si="6"/>
        <v>18</v>
      </c>
      <c r="B23" s="1808" t="s">
        <v>913</v>
      </c>
      <c r="C23" s="1801"/>
      <c r="D23" s="1801"/>
      <c r="E23" s="1802">
        <f t="shared" si="7"/>
        <v>0</v>
      </c>
      <c r="F23" s="1803" t="str">
        <f t="shared" si="0"/>
        <v/>
      </c>
      <c r="G23" s="1801"/>
      <c r="H23" s="1802">
        <f t="shared" si="3"/>
        <v>0</v>
      </c>
      <c r="I23" s="1801"/>
      <c r="J23" s="1804"/>
      <c r="K23" s="1801"/>
      <c r="L23" s="1802">
        <f t="shared" si="4"/>
        <v>0</v>
      </c>
      <c r="M23" s="1803" t="str">
        <f t="shared" si="1"/>
        <v/>
      </c>
      <c r="N23" s="1800" t="s">
        <v>950</v>
      </c>
      <c r="O23" s="1801"/>
      <c r="P23" s="1801"/>
      <c r="Q23" s="1801"/>
      <c r="R23" s="1804"/>
      <c r="T23" s="1796"/>
      <c r="U23" s="1796"/>
    </row>
    <row r="24" spans="1:21">
      <c r="A24" s="1799">
        <f t="shared" si="6"/>
        <v>19</v>
      </c>
      <c r="B24" s="1808" t="s">
        <v>914</v>
      </c>
      <c r="C24" s="1801"/>
      <c r="D24" s="1801"/>
      <c r="E24" s="1802">
        <f t="shared" si="7"/>
        <v>0</v>
      </c>
      <c r="F24" s="1803" t="str">
        <f t="shared" si="0"/>
        <v/>
      </c>
      <c r="G24" s="1801"/>
      <c r="H24" s="1802">
        <f t="shared" si="3"/>
        <v>0</v>
      </c>
      <c r="I24" s="1801"/>
      <c r="J24" s="1804"/>
      <c r="K24" s="1801"/>
      <c r="L24" s="1802">
        <f t="shared" si="4"/>
        <v>0</v>
      </c>
      <c r="M24" s="1803" t="str">
        <f t="shared" si="1"/>
        <v/>
      </c>
      <c r="N24" s="1800" t="s">
        <v>951</v>
      </c>
      <c r="O24" s="1802">
        <f>SUM(O26:O32)</f>
        <v>0</v>
      </c>
      <c r="P24" s="1802">
        <f>SUM(P26:P32)</f>
        <v>0</v>
      </c>
      <c r="Q24" s="1802">
        <f t="shared" si="5"/>
        <v>0</v>
      </c>
      <c r="R24" s="1803" t="str">
        <f t="shared" ref="R24:R33" si="8">IF(AND(P24=0,OR(O24&gt;0,O24&lt;0)),+Q24/Q24,IFERROR(+Q24/P24,""))</f>
        <v/>
      </c>
      <c r="T24" s="1796"/>
      <c r="U24" s="1796"/>
    </row>
    <row r="25" spans="1:21">
      <c r="A25" s="1799">
        <f t="shared" si="6"/>
        <v>20</v>
      </c>
      <c r="B25" s="1808" t="s">
        <v>1255</v>
      </c>
      <c r="C25" s="1801"/>
      <c r="D25" s="1801"/>
      <c r="E25" s="1802">
        <f t="shared" si="7"/>
        <v>0</v>
      </c>
      <c r="F25" s="1803" t="str">
        <f t="shared" si="0"/>
        <v/>
      </c>
      <c r="G25" s="1801"/>
      <c r="H25" s="1802">
        <f t="shared" si="3"/>
        <v>0</v>
      </c>
      <c r="I25" s="1801"/>
      <c r="J25" s="1804"/>
      <c r="K25" s="1801"/>
      <c r="L25" s="1802">
        <f t="shared" si="4"/>
        <v>0</v>
      </c>
      <c r="M25" s="1803" t="str">
        <f t="shared" si="1"/>
        <v/>
      </c>
      <c r="N25" s="1805" t="s">
        <v>952</v>
      </c>
      <c r="O25" s="1802">
        <f>SUM(O26:O33)</f>
        <v>0</v>
      </c>
      <c r="P25" s="1802">
        <f>SUM(P26:P33)</f>
        <v>0</v>
      </c>
      <c r="Q25" s="1802">
        <f t="shared" si="5"/>
        <v>0</v>
      </c>
      <c r="R25" s="1803" t="str">
        <f t="shared" si="8"/>
        <v/>
      </c>
      <c r="T25" s="1796"/>
      <c r="U25" s="1796"/>
    </row>
    <row r="26" spans="1:21">
      <c r="A26" s="1799">
        <f t="shared" si="6"/>
        <v>21</v>
      </c>
      <c r="B26" s="1808" t="s">
        <v>916</v>
      </c>
      <c r="C26" s="1801"/>
      <c r="D26" s="1801"/>
      <c r="E26" s="1802">
        <f t="shared" si="7"/>
        <v>0</v>
      </c>
      <c r="F26" s="1803" t="str">
        <f t="shared" si="0"/>
        <v/>
      </c>
      <c r="G26" s="1801"/>
      <c r="H26" s="1802">
        <f t="shared" si="3"/>
        <v>0</v>
      </c>
      <c r="I26" s="1801"/>
      <c r="J26" s="1804"/>
      <c r="K26" s="1801"/>
      <c r="L26" s="1802">
        <f t="shared" si="4"/>
        <v>0</v>
      </c>
      <c r="M26" s="1803" t="str">
        <f t="shared" si="1"/>
        <v/>
      </c>
      <c r="N26" s="1805" t="s">
        <v>953</v>
      </c>
      <c r="O26" s="1801"/>
      <c r="P26" s="1801"/>
      <c r="Q26" s="1802">
        <f t="shared" si="5"/>
        <v>0</v>
      </c>
      <c r="R26" s="1803" t="str">
        <f t="shared" si="8"/>
        <v/>
      </c>
      <c r="T26" s="1796"/>
      <c r="U26" s="1796"/>
    </row>
    <row r="27" spans="1:21">
      <c r="A27" s="1799">
        <f t="shared" si="6"/>
        <v>22</v>
      </c>
      <c r="B27" s="1808" t="s">
        <v>1256</v>
      </c>
      <c r="C27" s="1801"/>
      <c r="D27" s="1801"/>
      <c r="E27" s="1802">
        <f t="shared" si="7"/>
        <v>0</v>
      </c>
      <c r="F27" s="1803" t="str">
        <f t="shared" si="0"/>
        <v/>
      </c>
      <c r="G27" s="1801"/>
      <c r="H27" s="1802">
        <f t="shared" si="3"/>
        <v>0</v>
      </c>
      <c r="I27" s="1801"/>
      <c r="J27" s="1804"/>
      <c r="K27" s="1801"/>
      <c r="L27" s="1802">
        <f t="shared" si="4"/>
        <v>0</v>
      </c>
      <c r="M27" s="1803" t="str">
        <f t="shared" si="1"/>
        <v/>
      </c>
      <c r="N27" s="1805" t="s">
        <v>1257</v>
      </c>
      <c r="O27" s="1801"/>
      <c r="P27" s="1801"/>
      <c r="Q27" s="1802">
        <f t="shared" si="5"/>
        <v>0</v>
      </c>
      <c r="R27" s="1803" t="str">
        <f t="shared" si="8"/>
        <v/>
      </c>
      <c r="T27" s="1796"/>
      <c r="U27" s="1796"/>
    </row>
    <row r="28" spans="1:21">
      <c r="A28" s="1799">
        <f t="shared" si="6"/>
        <v>23</v>
      </c>
      <c r="B28" s="1808" t="s">
        <v>1258</v>
      </c>
      <c r="C28" s="1801"/>
      <c r="D28" s="1801"/>
      <c r="E28" s="1802">
        <f t="shared" si="7"/>
        <v>0</v>
      </c>
      <c r="F28" s="1803" t="str">
        <f t="shared" si="0"/>
        <v/>
      </c>
      <c r="G28" s="1801"/>
      <c r="H28" s="1802">
        <f t="shared" si="3"/>
        <v>0</v>
      </c>
      <c r="I28" s="1801"/>
      <c r="J28" s="1804"/>
      <c r="K28" s="1801"/>
      <c r="L28" s="1802">
        <f t="shared" si="4"/>
        <v>0</v>
      </c>
      <c r="M28" s="1803" t="str">
        <f t="shared" si="1"/>
        <v/>
      </c>
      <c r="N28" s="1805" t="s">
        <v>1014</v>
      </c>
      <c r="O28" s="1801"/>
      <c r="P28" s="1801"/>
      <c r="Q28" s="1802">
        <f t="shared" si="5"/>
        <v>0</v>
      </c>
      <c r="R28" s="1803" t="str">
        <f t="shared" si="8"/>
        <v/>
      </c>
      <c r="T28" s="1796"/>
      <c r="U28" s="1796"/>
    </row>
    <row r="29" spans="1:21">
      <c r="A29" s="1799">
        <f t="shared" si="6"/>
        <v>24</v>
      </c>
      <c r="B29" s="1808" t="s">
        <v>1259</v>
      </c>
      <c r="C29" s="1801"/>
      <c r="D29" s="1801"/>
      <c r="E29" s="1802">
        <f t="shared" si="7"/>
        <v>0</v>
      </c>
      <c r="F29" s="1803" t="str">
        <f t="shared" si="0"/>
        <v/>
      </c>
      <c r="G29" s="1801"/>
      <c r="H29" s="1802">
        <f t="shared" si="3"/>
        <v>0</v>
      </c>
      <c r="I29" s="1801"/>
      <c r="J29" s="1804"/>
      <c r="K29" s="1801"/>
      <c r="L29" s="1802">
        <f t="shared" si="4"/>
        <v>0</v>
      </c>
      <c r="M29" s="1803" t="str">
        <f t="shared" si="1"/>
        <v/>
      </c>
      <c r="N29" s="1805" t="s">
        <v>954</v>
      </c>
      <c r="O29" s="1801"/>
      <c r="P29" s="1801"/>
      <c r="Q29" s="1802">
        <f t="shared" si="5"/>
        <v>0</v>
      </c>
      <c r="R29" s="1803" t="str">
        <f t="shared" si="8"/>
        <v/>
      </c>
      <c r="T29" s="1796"/>
      <c r="U29" s="1796"/>
    </row>
    <row r="30" spans="1:21">
      <c r="A30" s="1799">
        <f t="shared" si="6"/>
        <v>25</v>
      </c>
      <c r="B30" s="1800" t="s">
        <v>917</v>
      </c>
      <c r="C30" s="1801"/>
      <c r="D30" s="1801"/>
      <c r="E30" s="1802">
        <f t="shared" si="7"/>
        <v>0</v>
      </c>
      <c r="F30" s="1803" t="str">
        <f t="shared" si="0"/>
        <v/>
      </c>
      <c r="G30" s="1801"/>
      <c r="H30" s="1802">
        <f t="shared" si="3"/>
        <v>0</v>
      </c>
      <c r="I30" s="1801"/>
      <c r="J30" s="1804"/>
      <c r="K30" s="1801"/>
      <c r="L30" s="1802">
        <f t="shared" si="4"/>
        <v>0</v>
      </c>
      <c r="M30" s="1803" t="str">
        <f t="shared" si="1"/>
        <v/>
      </c>
      <c r="N30" s="1809" t="s">
        <v>4802</v>
      </c>
      <c r="O30" s="1801"/>
      <c r="P30" s="1801"/>
      <c r="Q30" s="1802">
        <f t="shared" si="5"/>
        <v>0</v>
      </c>
      <c r="R30" s="1803" t="str">
        <f t="shared" si="8"/>
        <v/>
      </c>
      <c r="T30" s="1796"/>
      <c r="U30" s="1796"/>
    </row>
    <row r="31" spans="1:21">
      <c r="A31" s="1799">
        <f t="shared" si="6"/>
        <v>26</v>
      </c>
      <c r="B31" s="1808" t="s">
        <v>1260</v>
      </c>
      <c r="C31" s="1801"/>
      <c r="D31" s="1801"/>
      <c r="E31" s="1802">
        <f t="shared" si="7"/>
        <v>0</v>
      </c>
      <c r="F31" s="1803" t="str">
        <f t="shared" si="0"/>
        <v/>
      </c>
      <c r="G31" s="1801"/>
      <c r="H31" s="1802">
        <f t="shared" si="3"/>
        <v>0</v>
      </c>
      <c r="I31" s="1801"/>
      <c r="J31" s="1804"/>
      <c r="K31" s="1801"/>
      <c r="L31" s="1802">
        <f t="shared" si="4"/>
        <v>0</v>
      </c>
      <c r="M31" s="1803" t="str">
        <f t="shared" si="1"/>
        <v/>
      </c>
      <c r="N31" s="1809" t="s">
        <v>4803</v>
      </c>
      <c r="O31" s="1801"/>
      <c r="P31" s="1801"/>
      <c r="Q31" s="1802">
        <f t="shared" si="5"/>
        <v>0</v>
      </c>
      <c r="R31" s="1803" t="str">
        <f t="shared" si="8"/>
        <v/>
      </c>
      <c r="T31" s="1796"/>
      <c r="U31" s="1796"/>
    </row>
    <row r="32" spans="1:21">
      <c r="A32" s="1799">
        <f t="shared" si="6"/>
        <v>27</v>
      </c>
      <c r="B32" s="1808" t="s">
        <v>1261</v>
      </c>
      <c r="C32" s="1801"/>
      <c r="D32" s="1801"/>
      <c r="E32" s="1802">
        <f t="shared" si="7"/>
        <v>0</v>
      </c>
      <c r="F32" s="1803" t="str">
        <f t="shared" si="0"/>
        <v/>
      </c>
      <c r="G32" s="1801"/>
      <c r="H32" s="1802">
        <f t="shared" si="3"/>
        <v>0</v>
      </c>
      <c r="I32" s="1801"/>
      <c r="J32" s="1804"/>
      <c r="K32" s="1801"/>
      <c r="L32" s="1802">
        <f t="shared" si="4"/>
        <v>0</v>
      </c>
      <c r="M32" s="1803" t="str">
        <f t="shared" si="1"/>
        <v/>
      </c>
      <c r="N32" s="1809" t="s">
        <v>4804</v>
      </c>
      <c r="O32" s="1801"/>
      <c r="P32" s="1801"/>
      <c r="Q32" s="1802">
        <f t="shared" si="5"/>
        <v>0</v>
      </c>
      <c r="R32" s="1803" t="str">
        <f t="shared" si="8"/>
        <v/>
      </c>
      <c r="T32" s="1796"/>
      <c r="U32" s="1796"/>
    </row>
    <row r="33" spans="1:21">
      <c r="A33" s="1799">
        <f t="shared" si="6"/>
        <v>28</v>
      </c>
      <c r="B33" s="1808" t="s">
        <v>1262</v>
      </c>
      <c r="C33" s="1802">
        <f>SUM(C34:C42)</f>
        <v>0</v>
      </c>
      <c r="D33" s="1802">
        <f>SUM(D34:D42)</f>
        <v>0</v>
      </c>
      <c r="E33" s="1802">
        <f t="shared" si="7"/>
        <v>0</v>
      </c>
      <c r="F33" s="1803" t="str">
        <f t="shared" si="0"/>
        <v/>
      </c>
      <c r="G33" s="1802">
        <f>SUM(G34:G42)</f>
        <v>0</v>
      </c>
      <c r="H33" s="1802">
        <f t="shared" si="3"/>
        <v>0</v>
      </c>
      <c r="I33" s="1801"/>
      <c r="J33" s="1804"/>
      <c r="K33" s="1801"/>
      <c r="L33" s="1802">
        <f t="shared" si="4"/>
        <v>0</v>
      </c>
      <c r="M33" s="1803" t="str">
        <f t="shared" si="1"/>
        <v/>
      </c>
      <c r="N33" s="1805" t="s">
        <v>955</v>
      </c>
      <c r="O33" s="1801"/>
      <c r="P33" s="1801"/>
      <c r="Q33" s="1802">
        <f t="shared" si="5"/>
        <v>0</v>
      </c>
      <c r="R33" s="1803" t="str">
        <f t="shared" si="8"/>
        <v/>
      </c>
      <c r="T33" s="1796"/>
      <c r="U33" s="1796"/>
    </row>
    <row r="34" spans="1:21">
      <c r="A34" s="1799">
        <f t="shared" si="6"/>
        <v>29</v>
      </c>
      <c r="B34" s="1808" t="s">
        <v>1263</v>
      </c>
      <c r="C34" s="1801"/>
      <c r="D34" s="1801"/>
      <c r="E34" s="1802">
        <f t="shared" si="7"/>
        <v>0</v>
      </c>
      <c r="F34" s="1803" t="str">
        <f t="shared" si="0"/>
        <v/>
      </c>
      <c r="G34" s="1801"/>
      <c r="H34" s="1802">
        <f t="shared" si="3"/>
        <v>0</v>
      </c>
      <c r="I34" s="1801"/>
      <c r="J34" s="1804"/>
      <c r="K34" s="1801"/>
      <c r="L34" s="1802">
        <f t="shared" si="4"/>
        <v>0</v>
      </c>
      <c r="M34" s="1803" t="str">
        <f t="shared" si="1"/>
        <v/>
      </c>
      <c r="N34" s="1805"/>
      <c r="O34" s="1801"/>
      <c r="P34" s="1801"/>
      <c r="Q34" s="1801"/>
      <c r="R34" s="1804"/>
      <c r="T34" s="1796"/>
      <c r="U34" s="1796"/>
    </row>
    <row r="35" spans="1:21">
      <c r="A35" s="1799">
        <f t="shared" si="6"/>
        <v>30</v>
      </c>
      <c r="B35" s="1808" t="s">
        <v>914</v>
      </c>
      <c r="C35" s="1801"/>
      <c r="D35" s="1801"/>
      <c r="E35" s="1802">
        <f t="shared" si="7"/>
        <v>0</v>
      </c>
      <c r="F35" s="1803" t="str">
        <f t="shared" si="0"/>
        <v/>
      </c>
      <c r="G35" s="1801"/>
      <c r="H35" s="1802">
        <f t="shared" si="3"/>
        <v>0</v>
      </c>
      <c r="I35" s="1801"/>
      <c r="J35" s="1804"/>
      <c r="K35" s="1801"/>
      <c r="L35" s="1802">
        <f t="shared" si="4"/>
        <v>0</v>
      </c>
      <c r="M35" s="1803" t="str">
        <f t="shared" si="1"/>
        <v/>
      </c>
      <c r="N35" s="1805" t="s">
        <v>1264</v>
      </c>
      <c r="O35" s="1801"/>
      <c r="P35" s="1801"/>
      <c r="Q35" s="1802">
        <f t="shared" si="5"/>
        <v>0</v>
      </c>
      <c r="R35" s="1803" t="str">
        <f t="shared" ref="R35:R40" si="9">IF(AND(P35=0,OR(O35&gt;0,O35&lt;0)),+Q35/Q35,IFERROR(+Q35/P35,""))</f>
        <v/>
      </c>
      <c r="T35" s="1796"/>
      <c r="U35" s="1796"/>
    </row>
    <row r="36" spans="1:21">
      <c r="A36" s="1799">
        <f t="shared" si="6"/>
        <v>31</v>
      </c>
      <c r="B36" s="1808" t="s">
        <v>915</v>
      </c>
      <c r="C36" s="1801"/>
      <c r="D36" s="1801"/>
      <c r="E36" s="1802">
        <f t="shared" si="7"/>
        <v>0</v>
      </c>
      <c r="F36" s="1803" t="str">
        <f t="shared" si="0"/>
        <v/>
      </c>
      <c r="G36" s="1801"/>
      <c r="H36" s="1802">
        <f t="shared" si="3"/>
        <v>0</v>
      </c>
      <c r="I36" s="1801"/>
      <c r="J36" s="1804"/>
      <c r="K36" s="1801"/>
      <c r="L36" s="1802">
        <f t="shared" si="4"/>
        <v>0</v>
      </c>
      <c r="M36" s="1803" t="str">
        <f t="shared" si="1"/>
        <v/>
      </c>
      <c r="N36" s="1805" t="s">
        <v>956</v>
      </c>
      <c r="O36" s="1801"/>
      <c r="P36" s="1801"/>
      <c r="Q36" s="1802">
        <f t="shared" si="5"/>
        <v>0</v>
      </c>
      <c r="R36" s="1803" t="str">
        <f t="shared" si="9"/>
        <v/>
      </c>
      <c r="T36" s="1796"/>
      <c r="U36" s="1796"/>
    </row>
    <row r="37" spans="1:21">
      <c r="A37" s="1799">
        <f t="shared" si="6"/>
        <v>32</v>
      </c>
      <c r="B37" s="1808" t="s">
        <v>916</v>
      </c>
      <c r="C37" s="1801"/>
      <c r="D37" s="1801"/>
      <c r="E37" s="1802">
        <f t="shared" si="7"/>
        <v>0</v>
      </c>
      <c r="F37" s="1803" t="str">
        <f t="shared" si="0"/>
        <v/>
      </c>
      <c r="G37" s="1801"/>
      <c r="H37" s="1802">
        <f t="shared" si="3"/>
        <v>0</v>
      </c>
      <c r="I37" s="1801"/>
      <c r="J37" s="1804"/>
      <c r="K37" s="1801"/>
      <c r="L37" s="1802">
        <f t="shared" si="4"/>
        <v>0</v>
      </c>
      <c r="M37" s="1803" t="str">
        <f t="shared" si="1"/>
        <v/>
      </c>
      <c r="N37" s="1805" t="s">
        <v>1265</v>
      </c>
      <c r="O37" s="1802">
        <f>SUM(O38:O39)</f>
        <v>0</v>
      </c>
      <c r="P37" s="1802">
        <f>SUM(P38:P39)</f>
        <v>0</v>
      </c>
      <c r="Q37" s="1802">
        <f>+O37-P37</f>
        <v>0</v>
      </c>
      <c r="R37" s="1803" t="str">
        <f t="shared" si="9"/>
        <v/>
      </c>
      <c r="T37" s="1796"/>
      <c r="U37" s="1796"/>
    </row>
    <row r="38" spans="1:21">
      <c r="A38" s="1799">
        <f t="shared" si="6"/>
        <v>33</v>
      </c>
      <c r="B38" s="1808" t="s">
        <v>1256</v>
      </c>
      <c r="C38" s="1801"/>
      <c r="D38" s="1801"/>
      <c r="E38" s="1802">
        <f t="shared" si="7"/>
        <v>0</v>
      </c>
      <c r="F38" s="1803" t="str">
        <f t="shared" si="0"/>
        <v/>
      </c>
      <c r="G38" s="1801"/>
      <c r="H38" s="1802">
        <f t="shared" si="3"/>
        <v>0</v>
      </c>
      <c r="I38" s="1801"/>
      <c r="J38" s="1804"/>
      <c r="K38" s="1801"/>
      <c r="L38" s="1802">
        <f t="shared" si="4"/>
        <v>0</v>
      </c>
      <c r="M38" s="1803" t="str">
        <f t="shared" si="1"/>
        <v/>
      </c>
      <c r="N38" s="1805" t="s">
        <v>957</v>
      </c>
      <c r="O38" s="1801"/>
      <c r="P38" s="1801"/>
      <c r="Q38" s="1802">
        <f t="shared" si="5"/>
        <v>0</v>
      </c>
      <c r="R38" s="1803" t="str">
        <f t="shared" si="9"/>
        <v/>
      </c>
      <c r="T38" s="1796"/>
      <c r="U38" s="1796"/>
    </row>
    <row r="39" spans="1:21">
      <c r="A39" s="1799">
        <f t="shared" si="6"/>
        <v>34</v>
      </c>
      <c r="B39" s="1808" t="s">
        <v>1258</v>
      </c>
      <c r="C39" s="1801"/>
      <c r="D39" s="1801"/>
      <c r="E39" s="1802">
        <f t="shared" si="7"/>
        <v>0</v>
      </c>
      <c r="F39" s="1803" t="str">
        <f t="shared" si="0"/>
        <v/>
      </c>
      <c r="G39" s="1801"/>
      <c r="H39" s="1802">
        <f t="shared" si="3"/>
        <v>0</v>
      </c>
      <c r="I39" s="1801"/>
      <c r="J39" s="1804"/>
      <c r="K39" s="1801"/>
      <c r="L39" s="1802">
        <f t="shared" si="4"/>
        <v>0</v>
      </c>
      <c r="M39" s="1803" t="str">
        <f t="shared" si="1"/>
        <v/>
      </c>
      <c r="N39" s="1805" t="s">
        <v>1266</v>
      </c>
      <c r="O39" s="1801"/>
      <c r="P39" s="1801"/>
      <c r="Q39" s="1802">
        <f t="shared" si="5"/>
        <v>0</v>
      </c>
      <c r="R39" s="1803" t="str">
        <f t="shared" si="9"/>
        <v/>
      </c>
      <c r="T39" s="1796"/>
      <c r="U39" s="1796"/>
    </row>
    <row r="40" spans="1:21">
      <c r="A40" s="1799">
        <f t="shared" si="6"/>
        <v>35</v>
      </c>
      <c r="B40" s="1808" t="s">
        <v>1259</v>
      </c>
      <c r="C40" s="1801"/>
      <c r="D40" s="1801"/>
      <c r="E40" s="1802">
        <f t="shared" si="7"/>
        <v>0</v>
      </c>
      <c r="F40" s="1803" t="str">
        <f t="shared" si="0"/>
        <v/>
      </c>
      <c r="G40" s="1801"/>
      <c r="H40" s="1802">
        <f t="shared" si="3"/>
        <v>0</v>
      </c>
      <c r="I40" s="1801"/>
      <c r="J40" s="1804"/>
      <c r="K40" s="1801"/>
      <c r="L40" s="1802">
        <f t="shared" si="4"/>
        <v>0</v>
      </c>
      <c r="M40" s="1803" t="str">
        <f t="shared" si="1"/>
        <v/>
      </c>
      <c r="N40" s="1805" t="s">
        <v>1366</v>
      </c>
      <c r="O40" s="1801"/>
      <c r="P40" s="1801"/>
      <c r="Q40" s="1802">
        <f>+O40-P40</f>
        <v>0</v>
      </c>
      <c r="R40" s="1803" t="str">
        <f t="shared" si="9"/>
        <v/>
      </c>
      <c r="T40" s="1796"/>
      <c r="U40" s="1796"/>
    </row>
    <row r="41" spans="1:21">
      <c r="A41" s="1799">
        <f t="shared" si="6"/>
        <v>36</v>
      </c>
      <c r="B41" s="1808" t="s">
        <v>1267</v>
      </c>
      <c r="C41" s="1801"/>
      <c r="D41" s="1801"/>
      <c r="E41" s="1802">
        <f t="shared" si="7"/>
        <v>0</v>
      </c>
      <c r="F41" s="1803" t="str">
        <f t="shared" si="0"/>
        <v/>
      </c>
      <c r="G41" s="1801"/>
      <c r="H41" s="1802">
        <f t="shared" si="3"/>
        <v>0</v>
      </c>
      <c r="I41" s="1801"/>
      <c r="J41" s="1804"/>
      <c r="K41" s="1801"/>
      <c r="L41" s="1802">
        <f t="shared" si="4"/>
        <v>0</v>
      </c>
      <c r="M41" s="1803" t="str">
        <f t="shared" si="1"/>
        <v/>
      </c>
      <c r="N41" s="1800"/>
      <c r="O41" s="1801"/>
      <c r="P41" s="1801"/>
      <c r="Q41" s="1801"/>
      <c r="R41" s="1804"/>
      <c r="T41" s="1796"/>
      <c r="U41" s="1796"/>
    </row>
    <row r="42" spans="1:21">
      <c r="A42" s="1799">
        <f t="shared" si="6"/>
        <v>37</v>
      </c>
      <c r="B42" s="1808" t="s">
        <v>1261</v>
      </c>
      <c r="C42" s="1801"/>
      <c r="D42" s="1801"/>
      <c r="E42" s="1802">
        <f t="shared" si="7"/>
        <v>0</v>
      </c>
      <c r="F42" s="1803" t="str">
        <f t="shared" si="0"/>
        <v/>
      </c>
      <c r="G42" s="1801"/>
      <c r="H42" s="1802">
        <f t="shared" si="3"/>
        <v>0</v>
      </c>
      <c r="I42" s="1801"/>
      <c r="J42" s="1804"/>
      <c r="K42" s="1801"/>
      <c r="L42" s="1802">
        <f t="shared" si="4"/>
        <v>0</v>
      </c>
      <c r="M42" s="1803" t="str">
        <f t="shared" si="1"/>
        <v/>
      </c>
      <c r="N42" s="1800" t="s">
        <v>958</v>
      </c>
      <c r="O42" s="1802">
        <f>SUM(O45:O47)</f>
        <v>0</v>
      </c>
      <c r="P42" s="1802">
        <f>SUM(P45:P47)</f>
        <v>0</v>
      </c>
      <c r="Q42" s="1802">
        <f>+O42-P42</f>
        <v>0</v>
      </c>
      <c r="R42" s="1803" t="str">
        <f t="shared" ref="R42:R47" si="10">IF(AND(P42=0,OR(O42&gt;0,O42&lt;0)),+Q42/Q42,IFERROR(+Q42/P42,""))</f>
        <v/>
      </c>
      <c r="T42" s="1796"/>
      <c r="U42" s="1796"/>
    </row>
    <row r="43" spans="1:21">
      <c r="A43" s="1799">
        <f t="shared" si="6"/>
        <v>38</v>
      </c>
      <c r="B43" s="1808" t="s">
        <v>1268</v>
      </c>
      <c r="C43" s="1802">
        <f>SUM(C44:C52)</f>
        <v>0</v>
      </c>
      <c r="D43" s="1802">
        <f>SUM(D44:D52)</f>
        <v>0</v>
      </c>
      <c r="E43" s="1802">
        <f t="shared" si="7"/>
        <v>0</v>
      </c>
      <c r="F43" s="1803" t="str">
        <f t="shared" si="0"/>
        <v/>
      </c>
      <c r="G43" s="1802">
        <f>SUM(G44:G52)</f>
        <v>0</v>
      </c>
      <c r="H43" s="1802">
        <f t="shared" si="3"/>
        <v>0</v>
      </c>
      <c r="I43" s="1801"/>
      <c r="J43" s="1804"/>
      <c r="K43" s="1801"/>
      <c r="L43" s="1802">
        <f t="shared" si="4"/>
        <v>0</v>
      </c>
      <c r="M43" s="1803" t="str">
        <f t="shared" si="1"/>
        <v/>
      </c>
      <c r="N43" s="1805" t="s">
        <v>1269</v>
      </c>
      <c r="O43" s="1801"/>
      <c r="P43" s="1801"/>
      <c r="Q43" s="1802">
        <f t="shared" si="5"/>
        <v>0</v>
      </c>
      <c r="R43" s="1803" t="str">
        <f t="shared" si="10"/>
        <v/>
      </c>
      <c r="T43" s="1796"/>
      <c r="U43" s="1796"/>
    </row>
    <row r="44" spans="1:21">
      <c r="A44" s="1799">
        <f t="shared" si="6"/>
        <v>39</v>
      </c>
      <c r="B44" s="1808" t="s">
        <v>913</v>
      </c>
      <c r="C44" s="1801"/>
      <c r="D44" s="1801"/>
      <c r="E44" s="1802">
        <f t="shared" si="7"/>
        <v>0</v>
      </c>
      <c r="F44" s="1803" t="str">
        <f t="shared" si="0"/>
        <v/>
      </c>
      <c r="G44" s="1801"/>
      <c r="H44" s="1802">
        <f t="shared" si="3"/>
        <v>0</v>
      </c>
      <c r="I44" s="1801"/>
      <c r="J44" s="1804"/>
      <c r="K44" s="1801"/>
      <c r="L44" s="1802">
        <f t="shared" si="4"/>
        <v>0</v>
      </c>
      <c r="M44" s="1803" t="str">
        <f t="shared" si="1"/>
        <v/>
      </c>
      <c r="N44" s="1805" t="s">
        <v>959</v>
      </c>
      <c r="O44" s="1802">
        <f>SUM(O45:O46)</f>
        <v>0</v>
      </c>
      <c r="P44" s="1802">
        <f>SUM(P45:P46)</f>
        <v>0</v>
      </c>
      <c r="Q44" s="1802">
        <f t="shared" si="5"/>
        <v>0</v>
      </c>
      <c r="R44" s="1803" t="str">
        <f t="shared" si="10"/>
        <v/>
      </c>
      <c r="T44" s="1796"/>
      <c r="U44" s="1796"/>
    </row>
    <row r="45" spans="1:21">
      <c r="A45" s="1799">
        <f t="shared" si="6"/>
        <v>40</v>
      </c>
      <c r="B45" s="1808" t="s">
        <v>914</v>
      </c>
      <c r="C45" s="1801"/>
      <c r="D45" s="1801"/>
      <c r="E45" s="1802">
        <f t="shared" si="7"/>
        <v>0</v>
      </c>
      <c r="F45" s="1803" t="str">
        <f t="shared" si="0"/>
        <v/>
      </c>
      <c r="G45" s="1801"/>
      <c r="H45" s="1802">
        <f t="shared" si="3"/>
        <v>0</v>
      </c>
      <c r="I45" s="1801"/>
      <c r="J45" s="1804"/>
      <c r="K45" s="1801"/>
      <c r="L45" s="1802">
        <f t="shared" si="4"/>
        <v>0</v>
      </c>
      <c r="M45" s="1803" t="str">
        <f t="shared" si="1"/>
        <v/>
      </c>
      <c r="N45" s="1805" t="s">
        <v>960</v>
      </c>
      <c r="O45" s="1801"/>
      <c r="P45" s="1801"/>
      <c r="Q45" s="1802">
        <f t="shared" si="5"/>
        <v>0</v>
      </c>
      <c r="R45" s="1803" t="str">
        <f t="shared" si="10"/>
        <v/>
      </c>
      <c r="T45" s="1796"/>
      <c r="U45" s="1796"/>
    </row>
    <row r="46" spans="1:21">
      <c r="A46" s="1799">
        <f t="shared" si="6"/>
        <v>41</v>
      </c>
      <c r="B46" s="1808" t="s">
        <v>1270</v>
      </c>
      <c r="C46" s="1801"/>
      <c r="D46" s="1801"/>
      <c r="E46" s="1802">
        <f t="shared" si="7"/>
        <v>0</v>
      </c>
      <c r="F46" s="1803" t="str">
        <f t="shared" si="0"/>
        <v/>
      </c>
      <c r="G46" s="1801"/>
      <c r="H46" s="1802">
        <f t="shared" si="3"/>
        <v>0</v>
      </c>
      <c r="I46" s="1801"/>
      <c r="J46" s="1804"/>
      <c r="K46" s="1801"/>
      <c r="L46" s="1802">
        <f t="shared" si="4"/>
        <v>0</v>
      </c>
      <c r="M46" s="1803" t="str">
        <f t="shared" si="1"/>
        <v/>
      </c>
      <c r="N46" s="1805" t="s">
        <v>1271</v>
      </c>
      <c r="O46" s="1801"/>
      <c r="P46" s="1801"/>
      <c r="Q46" s="1802">
        <f t="shared" si="5"/>
        <v>0</v>
      </c>
      <c r="R46" s="1803" t="str">
        <f t="shared" si="10"/>
        <v/>
      </c>
      <c r="T46" s="1796"/>
      <c r="U46" s="1796"/>
    </row>
    <row r="47" spans="1:21">
      <c r="A47" s="1799">
        <f t="shared" si="6"/>
        <v>42</v>
      </c>
      <c r="B47" s="1808" t="s">
        <v>1272</v>
      </c>
      <c r="C47" s="1801"/>
      <c r="D47" s="1801"/>
      <c r="E47" s="1802">
        <f t="shared" si="7"/>
        <v>0</v>
      </c>
      <c r="F47" s="1803" t="str">
        <f t="shared" si="0"/>
        <v/>
      </c>
      <c r="G47" s="1801"/>
      <c r="H47" s="1802">
        <f t="shared" si="3"/>
        <v>0</v>
      </c>
      <c r="I47" s="1801"/>
      <c r="J47" s="1804"/>
      <c r="K47" s="1801"/>
      <c r="L47" s="1802">
        <f t="shared" si="4"/>
        <v>0</v>
      </c>
      <c r="M47" s="1803" t="str">
        <f t="shared" si="1"/>
        <v/>
      </c>
      <c r="N47" s="1805" t="s">
        <v>961</v>
      </c>
      <c r="O47" s="1801"/>
      <c r="P47" s="1801"/>
      <c r="Q47" s="1802">
        <f t="shared" si="5"/>
        <v>0</v>
      </c>
      <c r="R47" s="1803" t="str">
        <f t="shared" si="10"/>
        <v/>
      </c>
      <c r="T47" s="1796"/>
      <c r="U47" s="1796"/>
    </row>
    <row r="48" spans="1:21">
      <c r="A48" s="1799">
        <f t="shared" si="6"/>
        <v>43</v>
      </c>
      <c r="B48" s="1808" t="s">
        <v>1256</v>
      </c>
      <c r="C48" s="1801"/>
      <c r="D48" s="1801"/>
      <c r="E48" s="1802"/>
      <c r="F48" s="1803"/>
      <c r="G48" s="1801"/>
      <c r="H48" s="1802"/>
      <c r="I48" s="1801"/>
      <c r="J48" s="1804"/>
      <c r="K48" s="1801"/>
      <c r="L48" s="1802"/>
      <c r="M48" s="1803"/>
      <c r="N48" s="1805"/>
      <c r="O48" s="1801"/>
      <c r="P48" s="1801"/>
      <c r="Q48" s="1801"/>
      <c r="R48" s="1804"/>
      <c r="T48" s="1796"/>
      <c r="U48" s="1796"/>
    </row>
    <row r="49" spans="1:21">
      <c r="A49" s="1799">
        <f t="shared" si="6"/>
        <v>44</v>
      </c>
      <c r="B49" s="1808" t="s">
        <v>1258</v>
      </c>
      <c r="C49" s="1801"/>
      <c r="D49" s="1801"/>
      <c r="E49" s="1802">
        <f t="shared" si="7"/>
        <v>0</v>
      </c>
      <c r="F49" s="1803" t="str">
        <f t="shared" ref="F49:F80" si="11">IF(C49=0,"",IFERROR(+E49/$E$104,""))</f>
        <v/>
      </c>
      <c r="G49" s="1801"/>
      <c r="H49" s="1802">
        <f t="shared" si="3"/>
        <v>0</v>
      </c>
      <c r="I49" s="1801"/>
      <c r="J49" s="1804"/>
      <c r="K49" s="1801"/>
      <c r="L49" s="1802">
        <f t="shared" si="4"/>
        <v>0</v>
      </c>
      <c r="M49" s="1803" t="str">
        <f t="shared" ref="M49:M100" si="12">IF(AND(I49=0,OR(E49&gt;0,E49&lt;0)),+L49/L49,IFERROR(+L49/I49,""))</f>
        <v/>
      </c>
      <c r="N49" s="1805" t="s">
        <v>962</v>
      </c>
      <c r="O49" s="1802">
        <f>SUM(O50:O57)</f>
        <v>0</v>
      </c>
      <c r="P49" s="1802">
        <f>SUM(P50:P57)</f>
        <v>0</v>
      </c>
      <c r="Q49" s="1802">
        <f t="shared" si="5"/>
        <v>0</v>
      </c>
      <c r="R49" s="1803" t="str">
        <f t="shared" ref="R49:R55" si="13">IF(AND(P49=0,OR(O49&gt;0,O49&lt;0)),+Q49/Q49,IFERROR(+Q49/P49,""))</f>
        <v/>
      </c>
      <c r="T49" s="1796"/>
      <c r="U49" s="1796"/>
    </row>
    <row r="50" spans="1:21">
      <c r="A50" s="1799">
        <f t="shared" si="6"/>
        <v>45</v>
      </c>
      <c r="B50" s="1808" t="s">
        <v>918</v>
      </c>
      <c r="C50" s="1801"/>
      <c r="D50" s="1801"/>
      <c r="E50" s="1802">
        <f t="shared" si="7"/>
        <v>0</v>
      </c>
      <c r="F50" s="1803" t="str">
        <f t="shared" si="11"/>
        <v/>
      </c>
      <c r="G50" s="1801"/>
      <c r="H50" s="1802">
        <f t="shared" si="3"/>
        <v>0</v>
      </c>
      <c r="I50" s="1801"/>
      <c r="J50" s="1804"/>
      <c r="K50" s="1801"/>
      <c r="L50" s="1802">
        <f t="shared" si="4"/>
        <v>0</v>
      </c>
      <c r="M50" s="1803" t="str">
        <f t="shared" si="12"/>
        <v/>
      </c>
      <c r="N50" s="1805" t="s">
        <v>963</v>
      </c>
      <c r="O50" s="1801"/>
      <c r="P50" s="1801"/>
      <c r="Q50" s="1802">
        <f t="shared" si="5"/>
        <v>0</v>
      </c>
      <c r="R50" s="1803" t="str">
        <f t="shared" si="13"/>
        <v/>
      </c>
      <c r="T50" s="1796"/>
      <c r="U50" s="1796"/>
    </row>
    <row r="51" spans="1:21">
      <c r="A51" s="1799">
        <f t="shared" si="6"/>
        <v>46</v>
      </c>
      <c r="B51" s="1808" t="s">
        <v>1267</v>
      </c>
      <c r="C51" s="1801"/>
      <c r="D51" s="1801"/>
      <c r="E51" s="1802">
        <f t="shared" si="7"/>
        <v>0</v>
      </c>
      <c r="F51" s="1803" t="str">
        <f t="shared" si="11"/>
        <v/>
      </c>
      <c r="G51" s="1801"/>
      <c r="H51" s="1802">
        <f t="shared" si="3"/>
        <v>0</v>
      </c>
      <c r="I51" s="1801"/>
      <c r="J51" s="1804"/>
      <c r="K51" s="1801"/>
      <c r="L51" s="1802">
        <f t="shared" si="4"/>
        <v>0</v>
      </c>
      <c r="M51" s="1803" t="str">
        <f t="shared" si="12"/>
        <v/>
      </c>
      <c r="N51" s="1809" t="s">
        <v>4805</v>
      </c>
      <c r="O51" s="1801"/>
      <c r="P51" s="1801"/>
      <c r="Q51" s="1802">
        <f t="shared" si="5"/>
        <v>0</v>
      </c>
      <c r="R51" s="1803" t="str">
        <f t="shared" si="13"/>
        <v/>
      </c>
      <c r="T51" s="1796"/>
      <c r="U51" s="1796"/>
    </row>
    <row r="52" spans="1:21">
      <c r="A52" s="1799">
        <f t="shared" si="6"/>
        <v>47</v>
      </c>
      <c r="B52" s="1808" t="s">
        <v>1261</v>
      </c>
      <c r="C52" s="1801"/>
      <c r="D52" s="1801"/>
      <c r="E52" s="1802">
        <f t="shared" si="7"/>
        <v>0</v>
      </c>
      <c r="F52" s="1803" t="str">
        <f t="shared" si="11"/>
        <v/>
      </c>
      <c r="G52" s="1801"/>
      <c r="H52" s="1802">
        <f t="shared" si="3"/>
        <v>0</v>
      </c>
      <c r="I52" s="1801"/>
      <c r="J52" s="1804"/>
      <c r="K52" s="1801"/>
      <c r="L52" s="1802">
        <f t="shared" si="4"/>
        <v>0</v>
      </c>
      <c r="M52" s="1803" t="str">
        <f t="shared" si="12"/>
        <v/>
      </c>
      <c r="N52" s="1800" t="s">
        <v>1273</v>
      </c>
      <c r="O52" s="1801"/>
      <c r="P52" s="1801"/>
      <c r="Q52" s="1802">
        <f t="shared" si="5"/>
        <v>0</v>
      </c>
      <c r="R52" s="1803" t="str">
        <f t="shared" si="13"/>
        <v/>
      </c>
      <c r="T52" s="1796"/>
      <c r="U52" s="1796"/>
    </row>
    <row r="53" spans="1:21">
      <c r="A53" s="1799">
        <f t="shared" si="6"/>
        <v>48</v>
      </c>
      <c r="B53" s="1800" t="s">
        <v>1274</v>
      </c>
      <c r="C53" s="1801"/>
      <c r="D53" s="1801"/>
      <c r="E53" s="1802">
        <f t="shared" si="7"/>
        <v>0</v>
      </c>
      <c r="F53" s="1803" t="str">
        <f t="shared" si="11"/>
        <v/>
      </c>
      <c r="G53" s="1801"/>
      <c r="H53" s="1802">
        <f t="shared" si="3"/>
        <v>0</v>
      </c>
      <c r="I53" s="1801"/>
      <c r="J53" s="1804"/>
      <c r="K53" s="1801"/>
      <c r="L53" s="1802">
        <f t="shared" si="4"/>
        <v>0</v>
      </c>
      <c r="M53" s="1803" t="str">
        <f t="shared" si="12"/>
        <v/>
      </c>
      <c r="N53" s="1805" t="s">
        <v>964</v>
      </c>
      <c r="O53" s="1801"/>
      <c r="P53" s="1801"/>
      <c r="Q53" s="1802">
        <f t="shared" si="5"/>
        <v>0</v>
      </c>
      <c r="R53" s="1803" t="str">
        <f t="shared" si="13"/>
        <v/>
      </c>
      <c r="T53" s="1796"/>
      <c r="U53" s="1796"/>
    </row>
    <row r="54" spans="1:21">
      <c r="A54" s="1799">
        <f t="shared" si="6"/>
        <v>49</v>
      </c>
      <c r="B54" s="1800" t="s">
        <v>1275</v>
      </c>
      <c r="C54" s="1801"/>
      <c r="D54" s="1801"/>
      <c r="E54" s="1802">
        <f t="shared" si="7"/>
        <v>0</v>
      </c>
      <c r="F54" s="1803" t="str">
        <f t="shared" si="11"/>
        <v/>
      </c>
      <c r="G54" s="1801"/>
      <c r="H54" s="1802">
        <f t="shared" si="3"/>
        <v>0</v>
      </c>
      <c r="I54" s="1801"/>
      <c r="J54" s="1804"/>
      <c r="K54" s="1801"/>
      <c r="L54" s="1802">
        <f t="shared" si="4"/>
        <v>0</v>
      </c>
      <c r="M54" s="1803" t="str">
        <f t="shared" si="12"/>
        <v/>
      </c>
      <c r="N54" s="1805" t="s">
        <v>1276</v>
      </c>
      <c r="O54" s="1801"/>
      <c r="P54" s="1801"/>
      <c r="Q54" s="1802">
        <f t="shared" si="5"/>
        <v>0</v>
      </c>
      <c r="R54" s="1803" t="str">
        <f t="shared" si="13"/>
        <v/>
      </c>
      <c r="T54" s="1796"/>
      <c r="U54" s="1796"/>
    </row>
    <row r="55" spans="1:21">
      <c r="A55" s="1799">
        <f t="shared" si="6"/>
        <v>50</v>
      </c>
      <c r="B55" s="1800" t="s">
        <v>919</v>
      </c>
      <c r="C55" s="1801"/>
      <c r="D55" s="1801"/>
      <c r="E55" s="1802">
        <f t="shared" si="7"/>
        <v>0</v>
      </c>
      <c r="F55" s="1803" t="str">
        <f t="shared" si="11"/>
        <v/>
      </c>
      <c r="G55" s="1801"/>
      <c r="H55" s="1802">
        <f t="shared" si="3"/>
        <v>0</v>
      </c>
      <c r="I55" s="1801"/>
      <c r="J55" s="1804"/>
      <c r="K55" s="1801"/>
      <c r="L55" s="1802">
        <f t="shared" si="4"/>
        <v>0</v>
      </c>
      <c r="M55" s="1803" t="str">
        <f t="shared" si="12"/>
        <v/>
      </c>
      <c r="N55" s="1805" t="s">
        <v>965</v>
      </c>
      <c r="O55" s="1801"/>
      <c r="P55" s="1801"/>
      <c r="Q55" s="1802">
        <f t="shared" si="5"/>
        <v>0</v>
      </c>
      <c r="R55" s="1803" t="str">
        <f t="shared" si="13"/>
        <v/>
      </c>
      <c r="T55" s="1796"/>
      <c r="U55" s="1796"/>
    </row>
    <row r="56" spans="1:21">
      <c r="A56" s="1799">
        <f t="shared" si="6"/>
        <v>51</v>
      </c>
      <c r="B56" s="1800" t="s">
        <v>1364</v>
      </c>
      <c r="C56" s="1801"/>
      <c r="D56" s="1801"/>
      <c r="E56" s="1802">
        <f>SUM(C56:D56)</f>
        <v>0</v>
      </c>
      <c r="F56" s="1803" t="str">
        <f t="shared" si="11"/>
        <v/>
      </c>
      <c r="G56" s="1801"/>
      <c r="H56" s="1802">
        <f>+E56-G56</f>
        <v>0</v>
      </c>
      <c r="I56" s="1801"/>
      <c r="J56" s="1804"/>
      <c r="K56" s="1801"/>
      <c r="L56" s="1802">
        <f>+E56-I56</f>
        <v>0</v>
      </c>
      <c r="M56" s="1803" t="str">
        <f>IF(AND(I56=0,OR(E56&gt;0,E56&lt;0)),+L56/L56,IFERROR(+L56/I56,""))</f>
        <v/>
      </c>
      <c r="N56" s="1805" t="s">
        <v>966</v>
      </c>
      <c r="O56" s="1801"/>
      <c r="P56" s="1801"/>
      <c r="Q56" s="1802">
        <f>+O56-P56</f>
        <v>0</v>
      </c>
      <c r="R56" s="1803" t="str">
        <f>IF(AND(P56=0,OR(O56&gt;0,O56&lt;0)),+Q56/Q56,IFERROR(+Q56/P56,""))</f>
        <v/>
      </c>
      <c r="T56" s="1796"/>
      <c r="U56" s="1796"/>
    </row>
    <row r="57" spans="1:21">
      <c r="A57" s="1799">
        <f>A56+1</f>
        <v>52</v>
      </c>
      <c r="B57" s="1800" t="s">
        <v>920</v>
      </c>
      <c r="C57" s="1801"/>
      <c r="D57" s="1801"/>
      <c r="E57" s="1802">
        <f t="shared" si="7"/>
        <v>0</v>
      </c>
      <c r="F57" s="1803" t="str">
        <f t="shared" si="11"/>
        <v/>
      </c>
      <c r="G57" s="1801"/>
      <c r="H57" s="1802">
        <f t="shared" si="3"/>
        <v>0</v>
      </c>
      <c r="I57" s="1801"/>
      <c r="J57" s="1804"/>
      <c r="K57" s="1801"/>
      <c r="L57" s="1802">
        <f t="shared" si="4"/>
        <v>0</v>
      </c>
      <c r="M57" s="1803" t="str">
        <f t="shared" si="12"/>
        <v/>
      </c>
      <c r="N57" s="1800" t="s">
        <v>1277</v>
      </c>
      <c r="O57" s="1801"/>
      <c r="P57" s="1801"/>
      <c r="Q57" s="1802">
        <f>+O57-P57</f>
        <v>0</v>
      </c>
      <c r="R57" s="1803" t="str">
        <f>IF(AND(P57=0,OR(O57&gt;0,O57&lt;0)),+Q57/Q57,IFERROR(+Q57/P57,""))</f>
        <v/>
      </c>
      <c r="T57" s="1796"/>
      <c r="U57" s="1796"/>
    </row>
    <row r="58" spans="1:21">
      <c r="A58" s="1799">
        <f>A57+1</f>
        <v>53</v>
      </c>
      <c r="B58" s="1800" t="s">
        <v>921</v>
      </c>
      <c r="C58" s="1802">
        <f>SUM(C59:C62)</f>
        <v>0</v>
      </c>
      <c r="D58" s="1802">
        <f>SUM(D59:D62)</f>
        <v>0</v>
      </c>
      <c r="E58" s="1802">
        <f t="shared" si="7"/>
        <v>0</v>
      </c>
      <c r="F58" s="1803" t="str">
        <f t="shared" si="11"/>
        <v/>
      </c>
      <c r="G58" s="1802">
        <f>SUM(G59:G62)</f>
        <v>0</v>
      </c>
      <c r="H58" s="1802">
        <f t="shared" si="3"/>
        <v>0</v>
      </c>
      <c r="I58" s="1801"/>
      <c r="J58" s="1804"/>
      <c r="K58" s="1801"/>
      <c r="L58" s="1802">
        <f t="shared" si="4"/>
        <v>0</v>
      </c>
      <c r="M58" s="1803" t="str">
        <f t="shared" si="12"/>
        <v/>
      </c>
      <c r="N58" s="1800"/>
      <c r="O58" s="1801"/>
      <c r="P58" s="1801"/>
      <c r="Q58" s="1801"/>
      <c r="R58" s="1804"/>
      <c r="T58" s="1796"/>
      <c r="U58" s="1796"/>
    </row>
    <row r="59" spans="1:21">
      <c r="A59" s="1799">
        <f t="shared" si="6"/>
        <v>54</v>
      </c>
      <c r="B59" s="1800" t="s">
        <v>922</v>
      </c>
      <c r="C59" s="1801"/>
      <c r="D59" s="1801"/>
      <c r="E59" s="1802">
        <f t="shared" si="7"/>
        <v>0</v>
      </c>
      <c r="F59" s="1803" t="str">
        <f t="shared" si="11"/>
        <v/>
      </c>
      <c r="G59" s="1801"/>
      <c r="H59" s="1802">
        <f t="shared" si="3"/>
        <v>0</v>
      </c>
      <c r="I59" s="1801"/>
      <c r="J59" s="1804"/>
      <c r="K59" s="1801"/>
      <c r="L59" s="1802">
        <f t="shared" si="4"/>
        <v>0</v>
      </c>
      <c r="M59" s="1803" t="str">
        <f t="shared" si="12"/>
        <v/>
      </c>
      <c r="N59" s="1800" t="s">
        <v>967</v>
      </c>
      <c r="O59" s="1802">
        <f>SUM(O60:O61)</f>
        <v>0</v>
      </c>
      <c r="P59" s="1802">
        <f>SUM(P60:P61)</f>
        <v>0</v>
      </c>
      <c r="Q59" s="1802">
        <f>+O59-P59</f>
        <v>0</v>
      </c>
      <c r="R59" s="1803" t="str">
        <f>IF(AND(P59=0,OR(O59&gt;0,O59&lt;0)),+Q59/Q59,IFERROR(+Q59/P59,""))</f>
        <v/>
      </c>
      <c r="T59" s="1796"/>
      <c r="U59" s="1796"/>
    </row>
    <row r="60" spans="1:21">
      <c r="A60" s="1799">
        <f t="shared" si="6"/>
        <v>55</v>
      </c>
      <c r="B60" s="1800" t="s">
        <v>1278</v>
      </c>
      <c r="C60" s="1801"/>
      <c r="D60" s="1801"/>
      <c r="E60" s="1802">
        <f t="shared" si="7"/>
        <v>0</v>
      </c>
      <c r="F60" s="1803" t="str">
        <f t="shared" si="11"/>
        <v/>
      </c>
      <c r="G60" s="1801"/>
      <c r="H60" s="1802">
        <f t="shared" si="3"/>
        <v>0</v>
      </c>
      <c r="I60" s="1801"/>
      <c r="J60" s="1804"/>
      <c r="K60" s="1801"/>
      <c r="L60" s="1802">
        <f t="shared" si="4"/>
        <v>0</v>
      </c>
      <c r="M60" s="1803" t="str">
        <f t="shared" si="12"/>
        <v/>
      </c>
      <c r="N60" s="1800" t="s">
        <v>1280</v>
      </c>
      <c r="O60" s="1801"/>
      <c r="P60" s="1801"/>
      <c r="Q60" s="1802">
        <f>+O60-P60</f>
        <v>0</v>
      </c>
      <c r="R60" s="1803" t="str">
        <f>IF(AND(P60=0,OR(O60&gt;0,O60&lt;0)),+Q60/Q60,IFERROR(+Q60/P60,""))</f>
        <v/>
      </c>
      <c r="T60" s="1796"/>
      <c r="U60" s="1796"/>
    </row>
    <row r="61" spans="1:21">
      <c r="A61" s="1799">
        <f t="shared" si="6"/>
        <v>56</v>
      </c>
      <c r="B61" s="1800" t="s">
        <v>1279</v>
      </c>
      <c r="C61" s="1801"/>
      <c r="D61" s="1801"/>
      <c r="E61" s="1802">
        <f t="shared" si="7"/>
        <v>0</v>
      </c>
      <c r="F61" s="1803" t="str">
        <f t="shared" si="11"/>
        <v/>
      </c>
      <c r="G61" s="1801"/>
      <c r="H61" s="1802">
        <f t="shared" si="3"/>
        <v>0</v>
      </c>
      <c r="I61" s="1801"/>
      <c r="J61" s="1804"/>
      <c r="K61" s="1801"/>
      <c r="L61" s="1802">
        <f t="shared" si="4"/>
        <v>0</v>
      </c>
      <c r="M61" s="1803" t="str">
        <f t="shared" si="12"/>
        <v/>
      </c>
      <c r="N61" s="1800" t="s">
        <v>1282</v>
      </c>
      <c r="O61" s="1801"/>
      <c r="P61" s="1801"/>
      <c r="Q61" s="1802">
        <f>+O61-P61</f>
        <v>0</v>
      </c>
      <c r="R61" s="1803" t="str">
        <f>IF(AND(P61=0,OR(O61&gt;0,O61&lt;0)),+Q61/Q61,IFERROR(+Q61/P61,""))</f>
        <v/>
      </c>
      <c r="T61" s="1796"/>
      <c r="U61" s="1796"/>
    </row>
    <row r="62" spans="1:21">
      <c r="A62" s="1799">
        <f t="shared" si="6"/>
        <v>57</v>
      </c>
      <c r="B62" s="1800" t="s">
        <v>1281</v>
      </c>
      <c r="C62" s="1801"/>
      <c r="D62" s="1801"/>
      <c r="E62" s="1802">
        <f t="shared" si="7"/>
        <v>0</v>
      </c>
      <c r="F62" s="1803" t="str">
        <f t="shared" si="11"/>
        <v/>
      </c>
      <c r="G62" s="1801"/>
      <c r="H62" s="1802">
        <f t="shared" si="3"/>
        <v>0</v>
      </c>
      <c r="I62" s="1801"/>
      <c r="J62" s="1804"/>
      <c r="K62" s="1801"/>
      <c r="L62" s="1802">
        <f t="shared" si="4"/>
        <v>0</v>
      </c>
      <c r="M62" s="1803" t="str">
        <f t="shared" si="12"/>
        <v/>
      </c>
      <c r="N62" s="1800"/>
      <c r="O62" s="1801"/>
      <c r="P62" s="1801"/>
      <c r="Q62" s="1801"/>
      <c r="R62" s="1804"/>
      <c r="T62" s="1796"/>
      <c r="U62" s="1796"/>
    </row>
    <row r="63" spans="1:21">
      <c r="A63" s="1799">
        <f t="shared" si="6"/>
        <v>58</v>
      </c>
      <c r="B63" s="1800" t="s">
        <v>1283</v>
      </c>
      <c r="C63" s="1802">
        <f>SUM(C64:C72)</f>
        <v>0</v>
      </c>
      <c r="D63" s="1802">
        <f>SUM(D64:D72)</f>
        <v>0</v>
      </c>
      <c r="E63" s="1802">
        <f t="shared" si="7"/>
        <v>0</v>
      </c>
      <c r="F63" s="1803" t="str">
        <f t="shared" si="11"/>
        <v/>
      </c>
      <c r="G63" s="1802">
        <f>SUM(G64:G72)</f>
        <v>0</v>
      </c>
      <c r="H63" s="1802">
        <f t="shared" si="3"/>
        <v>0</v>
      </c>
      <c r="I63" s="1801"/>
      <c r="J63" s="1804"/>
      <c r="K63" s="1801"/>
      <c r="L63" s="1802">
        <f t="shared" si="4"/>
        <v>0</v>
      </c>
      <c r="M63" s="1803" t="str">
        <f t="shared" si="12"/>
        <v/>
      </c>
      <c r="N63" s="1805" t="s">
        <v>968</v>
      </c>
      <c r="O63" s="1802">
        <f>+O59+O49+O42+O40+O37+O36+O35+O24+O22+O21+O20+O19+O18+O16+O15+O7+O6</f>
        <v>0</v>
      </c>
      <c r="P63" s="1802">
        <f>+P59+P49+P42+P40+P37+P36+P35+P24+P22+P21+P20+P19+P18+P16+P15+P7+P6</f>
        <v>0</v>
      </c>
      <c r="Q63" s="1802">
        <f>+O63-P63</f>
        <v>0</v>
      </c>
      <c r="R63" s="1803" t="str">
        <f>IF(AND(P63=0,OR(O63&gt;0,O63&lt;0)),+Q63/Q63,IFERROR(+Q63/P63,""))</f>
        <v/>
      </c>
      <c r="T63" s="1796"/>
      <c r="U63" s="1796"/>
    </row>
    <row r="64" spans="1:21">
      <c r="A64" s="1799">
        <f t="shared" si="6"/>
        <v>59</v>
      </c>
      <c r="B64" s="1800" t="s">
        <v>923</v>
      </c>
      <c r="C64" s="1801"/>
      <c r="D64" s="1801"/>
      <c r="E64" s="1802">
        <f t="shared" si="7"/>
        <v>0</v>
      </c>
      <c r="F64" s="1803" t="str">
        <f t="shared" si="11"/>
        <v/>
      </c>
      <c r="G64" s="1801"/>
      <c r="H64" s="1802">
        <f t="shared" si="3"/>
        <v>0</v>
      </c>
      <c r="I64" s="1801"/>
      <c r="J64" s="1804"/>
      <c r="K64" s="1801"/>
      <c r="L64" s="1802">
        <f t="shared" si="4"/>
        <v>0</v>
      </c>
      <c r="M64" s="1803" t="str">
        <f t="shared" si="12"/>
        <v/>
      </c>
      <c r="N64" s="1805" t="s">
        <v>969</v>
      </c>
      <c r="O64" s="1802">
        <f>+O63-O42+O43-O24+O25</f>
        <v>0</v>
      </c>
      <c r="P64" s="1802">
        <f>+P63-P42+P43-P24+P25</f>
        <v>0</v>
      </c>
      <c r="Q64" s="1802">
        <f>+O64-P64</f>
        <v>0</v>
      </c>
      <c r="R64" s="1803" t="str">
        <f>IF(AND(P64=0,OR(O64&gt;0,O64&lt;0)),+Q64/Q64,IFERROR(+Q64/P64,""))</f>
        <v/>
      </c>
      <c r="T64" s="1796"/>
      <c r="U64" s="1796"/>
    </row>
    <row r="65" spans="1:21">
      <c r="A65" s="1799">
        <f t="shared" si="6"/>
        <v>60</v>
      </c>
      <c r="B65" s="1805" t="s">
        <v>924</v>
      </c>
      <c r="C65" s="1801"/>
      <c r="D65" s="1801"/>
      <c r="E65" s="1802">
        <f t="shared" si="7"/>
        <v>0</v>
      </c>
      <c r="F65" s="1803" t="str">
        <f t="shared" si="11"/>
        <v/>
      </c>
      <c r="G65" s="1801"/>
      <c r="H65" s="1802">
        <f t="shared" si="3"/>
        <v>0</v>
      </c>
      <c r="I65" s="1801"/>
      <c r="J65" s="1804"/>
      <c r="K65" s="1801"/>
      <c r="L65" s="1802">
        <f t="shared" si="4"/>
        <v>0</v>
      </c>
      <c r="M65" s="1803" t="str">
        <f t="shared" si="12"/>
        <v/>
      </c>
      <c r="N65" s="1800"/>
      <c r="O65" s="1801"/>
      <c r="P65" s="1801"/>
      <c r="Q65" s="1801"/>
      <c r="R65" s="1804"/>
      <c r="T65" s="1796"/>
      <c r="U65" s="1796"/>
    </row>
    <row r="66" spans="1:21">
      <c r="A66" s="1799">
        <f t="shared" si="6"/>
        <v>61</v>
      </c>
      <c r="B66" s="1800" t="s">
        <v>1284</v>
      </c>
      <c r="C66" s="1801"/>
      <c r="D66" s="1801"/>
      <c r="E66" s="1802">
        <f t="shared" si="7"/>
        <v>0</v>
      </c>
      <c r="F66" s="1803" t="str">
        <f t="shared" si="11"/>
        <v/>
      </c>
      <c r="G66" s="1801"/>
      <c r="H66" s="1802">
        <f t="shared" si="3"/>
        <v>0</v>
      </c>
      <c r="I66" s="1801"/>
      <c r="J66" s="1804"/>
      <c r="K66" s="1801"/>
      <c r="L66" s="1802">
        <f t="shared" si="4"/>
        <v>0</v>
      </c>
      <c r="M66" s="1803" t="str">
        <f t="shared" si="12"/>
        <v/>
      </c>
      <c r="N66" s="1805" t="s">
        <v>970</v>
      </c>
      <c r="O66" s="1802">
        <f>SUM(O67:O70)</f>
        <v>0</v>
      </c>
      <c r="P66" s="1802">
        <f>SUM(P67:P70)</f>
        <v>0</v>
      </c>
      <c r="Q66" s="1802">
        <f>+O66-P66</f>
        <v>0</v>
      </c>
      <c r="R66" s="1803" t="str">
        <f>IF(AND(P66=0,OR(O66&gt;0,O66&lt;0)),+Q66/Q66,IFERROR(+Q66/P66,""))</f>
        <v/>
      </c>
      <c r="T66" s="1796"/>
      <c r="U66" s="1796"/>
    </row>
    <row r="67" spans="1:21">
      <c r="A67" s="1799">
        <f t="shared" si="6"/>
        <v>62</v>
      </c>
      <c r="B67" s="1805" t="s">
        <v>925</v>
      </c>
      <c r="C67" s="1801"/>
      <c r="D67" s="1801"/>
      <c r="E67" s="1802">
        <f t="shared" si="7"/>
        <v>0</v>
      </c>
      <c r="F67" s="1803" t="str">
        <f t="shared" si="11"/>
        <v/>
      </c>
      <c r="G67" s="1801"/>
      <c r="H67" s="1802">
        <f t="shared" si="3"/>
        <v>0</v>
      </c>
      <c r="I67" s="1801"/>
      <c r="J67" s="1804"/>
      <c r="K67" s="1801"/>
      <c r="L67" s="1802">
        <f t="shared" si="4"/>
        <v>0</v>
      </c>
      <c r="M67" s="1803" t="str">
        <f t="shared" si="12"/>
        <v/>
      </c>
      <c r="N67" s="1805" t="s">
        <v>971</v>
      </c>
      <c r="O67" s="1801"/>
      <c r="P67" s="1801"/>
      <c r="Q67" s="1802">
        <f>+O67-P67</f>
        <v>0</v>
      </c>
      <c r="R67" s="1803" t="str">
        <f>IF(AND(P67=0,OR(O67&gt;0,O67&lt;0)),+Q67/Q67,IFERROR(+Q67/P67,""))</f>
        <v/>
      </c>
      <c r="T67" s="1796"/>
      <c r="U67" s="1796"/>
    </row>
    <row r="68" spans="1:21">
      <c r="A68" s="1799">
        <f t="shared" si="6"/>
        <v>63</v>
      </c>
      <c r="B68" s="1800" t="s">
        <v>1285</v>
      </c>
      <c r="C68" s="1801"/>
      <c r="D68" s="1801"/>
      <c r="E68" s="1802">
        <f t="shared" si="7"/>
        <v>0</v>
      </c>
      <c r="F68" s="1803" t="str">
        <f t="shared" si="11"/>
        <v/>
      </c>
      <c r="G68" s="1801"/>
      <c r="H68" s="1802">
        <f t="shared" si="3"/>
        <v>0</v>
      </c>
      <c r="I68" s="1801"/>
      <c r="J68" s="1804"/>
      <c r="K68" s="1801"/>
      <c r="L68" s="1802">
        <f t="shared" si="4"/>
        <v>0</v>
      </c>
      <c r="M68" s="1803" t="str">
        <f t="shared" si="12"/>
        <v/>
      </c>
      <c r="N68" s="1805" t="s">
        <v>972</v>
      </c>
      <c r="O68" s="1801"/>
      <c r="P68" s="1801"/>
      <c r="Q68" s="1802">
        <f>+O68-P68</f>
        <v>0</v>
      </c>
      <c r="R68" s="1803" t="str">
        <f>IF(AND(P68=0,OR(O68&gt;0,O68&lt;0)),+Q68/Q68,IFERROR(+Q68/P68,""))</f>
        <v/>
      </c>
      <c r="T68" s="1796"/>
      <c r="U68" s="1796"/>
    </row>
    <row r="69" spans="1:21">
      <c r="A69" s="1799">
        <f t="shared" si="6"/>
        <v>64</v>
      </c>
      <c r="B69" s="1800" t="s">
        <v>1286</v>
      </c>
      <c r="C69" s="1801"/>
      <c r="D69" s="1801"/>
      <c r="E69" s="1802">
        <f t="shared" si="7"/>
        <v>0</v>
      </c>
      <c r="F69" s="1803" t="str">
        <f t="shared" si="11"/>
        <v/>
      </c>
      <c r="G69" s="1801"/>
      <c r="H69" s="1802">
        <f t="shared" si="3"/>
        <v>0</v>
      </c>
      <c r="I69" s="1801"/>
      <c r="J69" s="1804"/>
      <c r="K69" s="1801"/>
      <c r="L69" s="1802">
        <f t="shared" si="4"/>
        <v>0</v>
      </c>
      <c r="M69" s="1803" t="str">
        <f t="shared" si="12"/>
        <v/>
      </c>
      <c r="N69" s="1805" t="s">
        <v>1287</v>
      </c>
      <c r="O69" s="1801"/>
      <c r="P69" s="1801"/>
      <c r="Q69" s="1802">
        <f>+O69-P69</f>
        <v>0</v>
      </c>
      <c r="R69" s="1803" t="str">
        <f>IF(AND(P69=0,OR(O69&gt;0,O69&lt;0)),+Q69/Q69,IFERROR(+Q69/P69,""))</f>
        <v/>
      </c>
      <c r="T69" s="1796"/>
      <c r="U69" s="1796"/>
    </row>
    <row r="70" spans="1:21">
      <c r="A70" s="1799">
        <f t="shared" si="6"/>
        <v>65</v>
      </c>
      <c r="B70" s="1800" t="s">
        <v>926</v>
      </c>
      <c r="C70" s="1801"/>
      <c r="D70" s="1801"/>
      <c r="E70" s="1802">
        <f t="shared" si="7"/>
        <v>0</v>
      </c>
      <c r="F70" s="1803" t="str">
        <f t="shared" si="11"/>
        <v/>
      </c>
      <c r="G70" s="1801"/>
      <c r="H70" s="1802">
        <f t="shared" si="3"/>
        <v>0</v>
      </c>
      <c r="I70" s="1801"/>
      <c r="J70" s="1804"/>
      <c r="K70" s="1801"/>
      <c r="L70" s="1802">
        <f t="shared" si="4"/>
        <v>0</v>
      </c>
      <c r="M70" s="1803" t="str">
        <f t="shared" si="12"/>
        <v/>
      </c>
      <c r="N70" s="1805" t="s">
        <v>973</v>
      </c>
      <c r="O70" s="1801"/>
      <c r="P70" s="1801"/>
      <c r="Q70" s="1802">
        <f>+O70-P70</f>
        <v>0</v>
      </c>
      <c r="R70" s="1803" t="str">
        <f>IF(AND(P70=0,OR(O70&gt;0,O70&lt;0)),+Q70/Q70,IFERROR(+Q70/P70,""))</f>
        <v/>
      </c>
      <c r="T70" s="1796"/>
      <c r="U70" s="1796"/>
    </row>
    <row r="71" spans="1:21">
      <c r="A71" s="1799">
        <f t="shared" si="6"/>
        <v>66</v>
      </c>
      <c r="B71" s="1800" t="s">
        <v>927</v>
      </c>
      <c r="C71" s="1801"/>
      <c r="D71" s="1801"/>
      <c r="E71" s="1802">
        <f t="shared" si="7"/>
        <v>0</v>
      </c>
      <c r="F71" s="1803" t="str">
        <f t="shared" si="11"/>
        <v/>
      </c>
      <c r="G71" s="1801"/>
      <c r="H71" s="1802">
        <f t="shared" si="3"/>
        <v>0</v>
      </c>
      <c r="I71" s="1801"/>
      <c r="J71" s="1804"/>
      <c r="K71" s="1801"/>
      <c r="L71" s="1802">
        <f t="shared" si="4"/>
        <v>0</v>
      </c>
      <c r="M71" s="1803" t="str">
        <f t="shared" si="12"/>
        <v/>
      </c>
      <c r="N71" s="1805"/>
      <c r="O71" s="1801"/>
      <c r="P71" s="1801"/>
      <c r="Q71" s="1801"/>
      <c r="R71" s="1804"/>
      <c r="T71" s="1796"/>
      <c r="U71" s="1796"/>
    </row>
    <row r="72" spans="1:21">
      <c r="A72" s="1799">
        <f t="shared" si="6"/>
        <v>67</v>
      </c>
      <c r="B72" s="1800" t="s">
        <v>928</v>
      </c>
      <c r="C72" s="1801"/>
      <c r="D72" s="1801"/>
      <c r="E72" s="1802">
        <f t="shared" si="7"/>
        <v>0</v>
      </c>
      <c r="F72" s="1803" t="str">
        <f t="shared" si="11"/>
        <v/>
      </c>
      <c r="G72" s="1801"/>
      <c r="H72" s="1802">
        <f t="shared" si="3"/>
        <v>0</v>
      </c>
      <c r="I72" s="1801"/>
      <c r="J72" s="1804"/>
      <c r="K72" s="1801"/>
      <c r="L72" s="1802">
        <f t="shared" si="4"/>
        <v>0</v>
      </c>
      <c r="M72" s="1803" t="str">
        <f t="shared" si="12"/>
        <v/>
      </c>
      <c r="N72" s="1805" t="s">
        <v>1288</v>
      </c>
      <c r="O72" s="1802">
        <f>SUM(O73:O78)</f>
        <v>0</v>
      </c>
      <c r="P72" s="1802">
        <f>SUM(P73:P78)</f>
        <v>0</v>
      </c>
      <c r="Q72" s="1802">
        <f t="shared" ref="Q72:Q78" si="14">+O72-P72</f>
        <v>0</v>
      </c>
      <c r="R72" s="1803" t="str">
        <f t="shared" ref="R72:R78" si="15">IF(AND(P72=0,OR(O72&gt;0,O72&lt;0)),+Q72/Q72,IFERROR(+Q72/P72,""))</f>
        <v/>
      </c>
      <c r="T72" s="1796"/>
      <c r="U72" s="1796"/>
    </row>
    <row r="73" spans="1:21">
      <c r="A73" s="1799">
        <f t="shared" ref="A73:A104" si="16">A72+1</f>
        <v>68</v>
      </c>
      <c r="B73" s="1800" t="s">
        <v>929</v>
      </c>
      <c r="C73" s="1802">
        <f>SUM(C74:C80)</f>
        <v>0</v>
      </c>
      <c r="D73" s="1802">
        <f>SUM(D74:D80)</f>
        <v>0</v>
      </c>
      <c r="E73" s="1802">
        <f t="shared" si="7"/>
        <v>0</v>
      </c>
      <c r="F73" s="1803" t="str">
        <f t="shared" si="11"/>
        <v/>
      </c>
      <c r="G73" s="1802">
        <f>SUM(G74:G80)</f>
        <v>0</v>
      </c>
      <c r="H73" s="1802">
        <f t="shared" ref="H73:H100" si="17">+E73-G73</f>
        <v>0</v>
      </c>
      <c r="I73" s="1801"/>
      <c r="J73" s="1804"/>
      <c r="K73" s="1801"/>
      <c r="L73" s="1802">
        <f t="shared" ref="L73:L100" si="18">+E73-I73</f>
        <v>0</v>
      </c>
      <c r="M73" s="1803" t="str">
        <f t="shared" si="12"/>
        <v/>
      </c>
      <c r="N73" s="1805" t="s">
        <v>1290</v>
      </c>
      <c r="O73" s="1801"/>
      <c r="P73" s="1801"/>
      <c r="Q73" s="1802">
        <f t="shared" si="14"/>
        <v>0</v>
      </c>
      <c r="R73" s="1803" t="str">
        <f t="shared" si="15"/>
        <v/>
      </c>
      <c r="T73" s="1796"/>
      <c r="U73" s="1796"/>
    </row>
    <row r="74" spans="1:21">
      <c r="A74" s="1799">
        <f t="shared" si="16"/>
        <v>69</v>
      </c>
      <c r="B74" s="1800" t="s">
        <v>1289</v>
      </c>
      <c r="C74" s="1801"/>
      <c r="D74" s="1801"/>
      <c r="E74" s="1802">
        <f t="shared" ref="E74:E100" si="19">SUM(C74:D74)</f>
        <v>0</v>
      </c>
      <c r="F74" s="1803" t="str">
        <f t="shared" si="11"/>
        <v/>
      </c>
      <c r="G74" s="1801"/>
      <c r="H74" s="1802">
        <f t="shared" si="17"/>
        <v>0</v>
      </c>
      <c r="I74" s="1801"/>
      <c r="J74" s="1804"/>
      <c r="K74" s="1801"/>
      <c r="L74" s="1802">
        <f t="shared" si="18"/>
        <v>0</v>
      </c>
      <c r="M74" s="1803" t="str">
        <f t="shared" si="12"/>
        <v/>
      </c>
      <c r="N74" s="1805" t="s">
        <v>1292</v>
      </c>
      <c r="O74" s="1801"/>
      <c r="P74" s="1801"/>
      <c r="Q74" s="1802">
        <f t="shared" si="14"/>
        <v>0</v>
      </c>
      <c r="R74" s="1803" t="str">
        <f t="shared" si="15"/>
        <v/>
      </c>
      <c r="T74" s="1796"/>
      <c r="U74" s="1796"/>
    </row>
    <row r="75" spans="1:21">
      <c r="A75" s="1799">
        <f t="shared" si="16"/>
        <v>70</v>
      </c>
      <c r="B75" s="1800" t="s">
        <v>1291</v>
      </c>
      <c r="C75" s="1801"/>
      <c r="D75" s="1801"/>
      <c r="E75" s="1802">
        <f t="shared" si="19"/>
        <v>0</v>
      </c>
      <c r="F75" s="1803" t="str">
        <f t="shared" si="11"/>
        <v/>
      </c>
      <c r="G75" s="1801"/>
      <c r="H75" s="1802">
        <f t="shared" si="17"/>
        <v>0</v>
      </c>
      <c r="I75" s="1801"/>
      <c r="J75" s="1804"/>
      <c r="K75" s="1801"/>
      <c r="L75" s="1802">
        <f t="shared" si="18"/>
        <v>0</v>
      </c>
      <c r="M75" s="1803" t="str">
        <f t="shared" si="12"/>
        <v/>
      </c>
      <c r="N75" s="1805" t="s">
        <v>1294</v>
      </c>
      <c r="O75" s="1801"/>
      <c r="P75" s="1801"/>
      <c r="Q75" s="1802">
        <f t="shared" si="14"/>
        <v>0</v>
      </c>
      <c r="R75" s="1803" t="str">
        <f t="shared" si="15"/>
        <v/>
      </c>
      <c r="T75" s="1796"/>
      <c r="U75" s="1796"/>
    </row>
    <row r="76" spans="1:21">
      <c r="A76" s="1810" t="s">
        <v>1365</v>
      </c>
      <c r="B76" s="1800" t="s">
        <v>1293</v>
      </c>
      <c r="C76" s="1801"/>
      <c r="D76" s="1801"/>
      <c r="E76" s="1802">
        <f t="shared" si="19"/>
        <v>0</v>
      </c>
      <c r="F76" s="1803" t="str">
        <f t="shared" si="11"/>
        <v/>
      </c>
      <c r="G76" s="1801"/>
      <c r="H76" s="1802">
        <f t="shared" si="17"/>
        <v>0</v>
      </c>
      <c r="I76" s="1801"/>
      <c r="J76" s="1804"/>
      <c r="K76" s="1801"/>
      <c r="L76" s="1802">
        <f t="shared" si="18"/>
        <v>0</v>
      </c>
      <c r="M76" s="1803" t="str">
        <f t="shared" si="12"/>
        <v/>
      </c>
      <c r="N76" s="1805" t="s">
        <v>1296</v>
      </c>
      <c r="O76" s="1801"/>
      <c r="P76" s="1801"/>
      <c r="Q76" s="1802">
        <f t="shared" si="14"/>
        <v>0</v>
      </c>
      <c r="R76" s="1803" t="str">
        <f t="shared" si="15"/>
        <v/>
      </c>
      <c r="T76" s="1796"/>
      <c r="U76" s="1796"/>
    </row>
    <row r="77" spans="1:21">
      <c r="A77" s="1799">
        <f>A75+1</f>
        <v>71</v>
      </c>
      <c r="B77" s="1800" t="s">
        <v>1295</v>
      </c>
      <c r="C77" s="1801"/>
      <c r="D77" s="1801"/>
      <c r="E77" s="1802">
        <f t="shared" si="19"/>
        <v>0</v>
      </c>
      <c r="F77" s="1803" t="str">
        <f t="shared" si="11"/>
        <v/>
      </c>
      <c r="G77" s="1801"/>
      <c r="H77" s="1802">
        <f t="shared" si="17"/>
        <v>0</v>
      </c>
      <c r="I77" s="1801"/>
      <c r="J77" s="1804"/>
      <c r="K77" s="1801"/>
      <c r="L77" s="1802">
        <f t="shared" si="18"/>
        <v>0</v>
      </c>
      <c r="M77" s="1803" t="str">
        <f t="shared" si="12"/>
        <v/>
      </c>
      <c r="N77" s="1805" t="s">
        <v>1298</v>
      </c>
      <c r="O77" s="1801"/>
      <c r="P77" s="1801"/>
      <c r="Q77" s="1802">
        <f t="shared" si="14"/>
        <v>0</v>
      </c>
      <c r="R77" s="1803" t="str">
        <f t="shared" si="15"/>
        <v/>
      </c>
      <c r="T77" s="1796"/>
      <c r="U77" s="1796"/>
    </row>
    <row r="78" spans="1:21">
      <c r="A78" s="1799">
        <f t="shared" si="16"/>
        <v>72</v>
      </c>
      <c r="B78" s="1800" t="s">
        <v>1297</v>
      </c>
      <c r="C78" s="1801"/>
      <c r="D78" s="1801"/>
      <c r="E78" s="1802">
        <f t="shared" si="19"/>
        <v>0</v>
      </c>
      <c r="F78" s="1803" t="str">
        <f t="shared" si="11"/>
        <v/>
      </c>
      <c r="G78" s="1801"/>
      <c r="H78" s="1802">
        <f t="shared" si="17"/>
        <v>0</v>
      </c>
      <c r="I78" s="1801"/>
      <c r="J78" s="1804"/>
      <c r="K78" s="1801"/>
      <c r="L78" s="1802">
        <f t="shared" si="18"/>
        <v>0</v>
      </c>
      <c r="M78" s="1803" t="str">
        <f t="shared" si="12"/>
        <v/>
      </c>
      <c r="N78" s="1805" t="s">
        <v>1299</v>
      </c>
      <c r="O78" s="1801"/>
      <c r="P78" s="1801"/>
      <c r="Q78" s="1802">
        <f t="shared" si="14"/>
        <v>0</v>
      </c>
      <c r="R78" s="1803" t="str">
        <f t="shared" si="15"/>
        <v/>
      </c>
      <c r="T78" s="1796"/>
      <c r="U78" s="1796"/>
    </row>
    <row r="79" spans="1:21">
      <c r="A79" s="1799">
        <f t="shared" si="16"/>
        <v>73</v>
      </c>
      <c r="B79" s="1800" t="s">
        <v>930</v>
      </c>
      <c r="C79" s="1801"/>
      <c r="D79" s="1801"/>
      <c r="E79" s="1802">
        <f t="shared" si="19"/>
        <v>0</v>
      </c>
      <c r="F79" s="1803" t="str">
        <f t="shared" si="11"/>
        <v/>
      </c>
      <c r="G79" s="1801"/>
      <c r="H79" s="1802">
        <f t="shared" si="17"/>
        <v>0</v>
      </c>
      <c r="I79" s="1801"/>
      <c r="J79" s="1804"/>
      <c r="K79" s="1801"/>
      <c r="L79" s="1802">
        <f t="shared" si="18"/>
        <v>0</v>
      </c>
      <c r="M79" s="1803" t="str">
        <f t="shared" si="12"/>
        <v/>
      </c>
      <c r="O79" s="1801"/>
      <c r="P79" s="1801"/>
      <c r="Q79" s="1801"/>
      <c r="R79" s="1804"/>
      <c r="T79" s="1796"/>
      <c r="U79" s="1796"/>
    </row>
    <row r="80" spans="1:21">
      <c r="A80" s="1799">
        <f t="shared" si="16"/>
        <v>74</v>
      </c>
      <c r="B80" s="1800" t="s">
        <v>931</v>
      </c>
      <c r="C80" s="1801"/>
      <c r="D80" s="1801"/>
      <c r="E80" s="1802">
        <f t="shared" si="19"/>
        <v>0</v>
      </c>
      <c r="F80" s="1803" t="str">
        <f t="shared" si="11"/>
        <v/>
      </c>
      <c r="G80" s="1801"/>
      <c r="H80" s="1802">
        <f t="shared" si="17"/>
        <v>0</v>
      </c>
      <c r="I80" s="1801"/>
      <c r="J80" s="1804"/>
      <c r="K80" s="1801"/>
      <c r="L80" s="1802">
        <f t="shared" si="18"/>
        <v>0</v>
      </c>
      <c r="M80" s="1803" t="str">
        <f t="shared" si="12"/>
        <v/>
      </c>
      <c r="O80" s="1801"/>
      <c r="P80" s="1801"/>
      <c r="Q80" s="1801"/>
      <c r="R80" s="1804"/>
      <c r="T80" s="1796"/>
      <c r="U80" s="1796"/>
    </row>
    <row r="81" spans="1:21">
      <c r="A81" s="1799">
        <f t="shared" si="16"/>
        <v>75</v>
      </c>
      <c r="B81" s="1800" t="s">
        <v>1300</v>
      </c>
      <c r="C81" s="1802">
        <f>SUM(C82:C85)</f>
        <v>0</v>
      </c>
      <c r="D81" s="1802">
        <f>SUM(D82:D85)</f>
        <v>0</v>
      </c>
      <c r="E81" s="1802">
        <f t="shared" si="19"/>
        <v>0</v>
      </c>
      <c r="F81" s="1803" t="str">
        <f t="shared" ref="F81:F100" si="20">IF(C81=0,"",IFERROR(+E81/$E$104,""))</f>
        <v/>
      </c>
      <c r="G81" s="1802">
        <f>SUM(G82:G85)</f>
        <v>0</v>
      </c>
      <c r="H81" s="1802">
        <f t="shared" si="17"/>
        <v>0</v>
      </c>
      <c r="I81" s="1801"/>
      <c r="J81" s="1804"/>
      <c r="K81" s="1801"/>
      <c r="L81" s="1802">
        <f t="shared" si="18"/>
        <v>0</v>
      </c>
      <c r="M81" s="1803" t="str">
        <f t="shared" si="12"/>
        <v/>
      </c>
      <c r="N81" s="1805" t="s">
        <v>279</v>
      </c>
      <c r="O81" s="1802">
        <f>SUM(O82:O84)</f>
        <v>0</v>
      </c>
      <c r="P81" s="1802">
        <f>SUM(P82:P84)</f>
        <v>0</v>
      </c>
      <c r="Q81" s="1802">
        <f t="shared" ref="Q81:Q104" si="21">+O81-P81</f>
        <v>0</v>
      </c>
      <c r="R81" s="1803" t="str">
        <f>IF(AND(P81=0,OR(O81&gt;0,O81&lt;0)),+Q81/Q81,IFERROR(+Q81/P81,""))</f>
        <v/>
      </c>
      <c r="T81" s="1796"/>
      <c r="U81" s="1796"/>
    </row>
    <row r="82" spans="1:21">
      <c r="A82" s="1799">
        <f t="shared" si="16"/>
        <v>76</v>
      </c>
      <c r="B82" s="1800" t="s">
        <v>932</v>
      </c>
      <c r="C82" s="1801"/>
      <c r="D82" s="1801"/>
      <c r="E82" s="1802">
        <f t="shared" si="19"/>
        <v>0</v>
      </c>
      <c r="F82" s="1803" t="str">
        <f t="shared" si="20"/>
        <v/>
      </c>
      <c r="G82" s="1801"/>
      <c r="H82" s="1802">
        <f t="shared" si="17"/>
        <v>0</v>
      </c>
      <c r="I82" s="1801"/>
      <c r="J82" s="1804"/>
      <c r="K82" s="1801"/>
      <c r="L82" s="1802">
        <f t="shared" si="18"/>
        <v>0</v>
      </c>
      <c r="M82" s="1803" t="str">
        <f t="shared" si="12"/>
        <v/>
      </c>
      <c r="N82" s="1805" t="s">
        <v>280</v>
      </c>
      <c r="O82" s="1801"/>
      <c r="P82" s="1801"/>
      <c r="Q82" s="1802">
        <f t="shared" si="21"/>
        <v>0</v>
      </c>
      <c r="R82" s="1803" t="str">
        <f>IF(AND(P82=0,OR(O82&gt;0,O82&lt;0)),+Q82/Q82,IFERROR(+Q82/P82,""))</f>
        <v/>
      </c>
      <c r="T82" s="1796"/>
      <c r="U82" s="1796"/>
    </row>
    <row r="83" spans="1:21">
      <c r="A83" s="1799">
        <f t="shared" si="16"/>
        <v>77</v>
      </c>
      <c r="B83" s="1800" t="s">
        <v>1301</v>
      </c>
      <c r="C83" s="1801"/>
      <c r="D83" s="1801"/>
      <c r="E83" s="1802">
        <f t="shared" si="19"/>
        <v>0</v>
      </c>
      <c r="F83" s="1803" t="str">
        <f t="shared" si="20"/>
        <v/>
      </c>
      <c r="G83" s="1801"/>
      <c r="H83" s="1802">
        <f t="shared" si="17"/>
        <v>0</v>
      </c>
      <c r="I83" s="1801"/>
      <c r="J83" s="1804"/>
      <c r="K83" s="1801"/>
      <c r="L83" s="1802">
        <f t="shared" si="18"/>
        <v>0</v>
      </c>
      <c r="M83" s="1803" t="str">
        <f t="shared" si="12"/>
        <v/>
      </c>
      <c r="N83" s="1805" t="s">
        <v>281</v>
      </c>
      <c r="O83" s="1801"/>
      <c r="P83" s="1801"/>
      <c r="Q83" s="1802">
        <f t="shared" si="21"/>
        <v>0</v>
      </c>
      <c r="R83" s="1803" t="str">
        <f>IF(AND(P83=0,OR(O83&gt;0,O83&lt;0)),+Q83/Q83,IFERROR(+Q83/P83,""))</f>
        <v/>
      </c>
      <c r="T83" s="1796"/>
      <c r="U83" s="1796"/>
    </row>
    <row r="84" spans="1:21">
      <c r="A84" s="1799">
        <f t="shared" si="16"/>
        <v>78</v>
      </c>
      <c r="B84" s="1800" t="s">
        <v>1302</v>
      </c>
      <c r="C84" s="1801"/>
      <c r="D84" s="1801"/>
      <c r="E84" s="1802">
        <f t="shared" si="19"/>
        <v>0</v>
      </c>
      <c r="F84" s="1803" t="str">
        <f t="shared" si="20"/>
        <v/>
      </c>
      <c r="G84" s="1801"/>
      <c r="H84" s="1802">
        <f t="shared" si="17"/>
        <v>0</v>
      </c>
      <c r="I84" s="1801"/>
      <c r="J84" s="1804"/>
      <c r="K84" s="1801"/>
      <c r="L84" s="1802">
        <f t="shared" si="18"/>
        <v>0</v>
      </c>
      <c r="M84" s="1803" t="str">
        <f t="shared" si="12"/>
        <v/>
      </c>
      <c r="N84" s="1805" t="s">
        <v>1303</v>
      </c>
      <c r="O84" s="1801"/>
      <c r="P84" s="1801"/>
      <c r="Q84" s="1802">
        <f t="shared" si="21"/>
        <v>0</v>
      </c>
      <c r="R84" s="1803" t="str">
        <f>IF(AND(P84=0,OR(O84&gt;0,O84&lt;0)),+Q84/Q84,IFERROR(+Q84/P84,""))</f>
        <v/>
      </c>
      <c r="T84" s="1796"/>
      <c r="U84" s="1796"/>
    </row>
    <row r="85" spans="1:21">
      <c r="A85" s="1799">
        <f t="shared" si="16"/>
        <v>79</v>
      </c>
      <c r="B85" s="1800" t="s">
        <v>1304</v>
      </c>
      <c r="C85" s="1801"/>
      <c r="D85" s="1801"/>
      <c r="E85" s="1802">
        <f t="shared" si="19"/>
        <v>0</v>
      </c>
      <c r="F85" s="1803" t="str">
        <f t="shared" si="20"/>
        <v/>
      </c>
      <c r="G85" s="1801"/>
      <c r="H85" s="1802">
        <f t="shared" si="17"/>
        <v>0</v>
      </c>
      <c r="I85" s="1801"/>
      <c r="J85" s="1804"/>
      <c r="K85" s="1801"/>
      <c r="L85" s="1802">
        <f t="shared" si="18"/>
        <v>0</v>
      </c>
      <c r="M85" s="1803" t="str">
        <f t="shared" si="12"/>
        <v/>
      </c>
      <c r="N85" s="1800"/>
      <c r="O85" s="1801"/>
      <c r="P85" s="1801"/>
      <c r="Q85" s="1801"/>
      <c r="R85" s="1804"/>
      <c r="T85" s="1796"/>
      <c r="U85" s="1796"/>
    </row>
    <row r="86" spans="1:21">
      <c r="A86" s="1799">
        <f t="shared" si="16"/>
        <v>80</v>
      </c>
      <c r="B86" s="1800" t="s">
        <v>1305</v>
      </c>
      <c r="C86" s="1801"/>
      <c r="D86" s="1801"/>
      <c r="E86" s="1802">
        <f t="shared" si="19"/>
        <v>0</v>
      </c>
      <c r="F86" s="1803" t="str">
        <f t="shared" si="20"/>
        <v/>
      </c>
      <c r="G86" s="1801"/>
      <c r="H86" s="1802">
        <f t="shared" si="17"/>
        <v>0</v>
      </c>
      <c r="I86" s="1801"/>
      <c r="J86" s="1804"/>
      <c r="K86" s="1801"/>
      <c r="L86" s="1802">
        <f t="shared" si="18"/>
        <v>0</v>
      </c>
      <c r="M86" s="1803" t="str">
        <f t="shared" si="12"/>
        <v/>
      </c>
      <c r="N86" s="1806" t="s">
        <v>1306</v>
      </c>
      <c r="O86" s="1802">
        <f>SUM(O87:O95)</f>
        <v>0</v>
      </c>
      <c r="P86" s="1802">
        <f>SUM(P87:P95)</f>
        <v>0</v>
      </c>
      <c r="Q86" s="1802">
        <f t="shared" si="21"/>
        <v>0</v>
      </c>
      <c r="R86" s="1803" t="str">
        <f t="shared" ref="R86:R101" si="22">IF(AND(P86=0,OR(O86&gt;0,O86&lt;0)),+Q86/Q86,IFERROR(+Q86/P86,""))</f>
        <v/>
      </c>
      <c r="T86" s="1796"/>
      <c r="U86" s="1796"/>
    </row>
    <row r="87" spans="1:21">
      <c r="A87" s="1799">
        <f t="shared" si="16"/>
        <v>81</v>
      </c>
      <c r="B87" s="1800" t="s">
        <v>1307</v>
      </c>
      <c r="C87" s="1802">
        <f>SUM(C88:C97)</f>
        <v>0</v>
      </c>
      <c r="D87" s="1802">
        <f>SUM(D88:D97)</f>
        <v>0</v>
      </c>
      <c r="E87" s="1802">
        <f t="shared" si="19"/>
        <v>0</v>
      </c>
      <c r="F87" s="1803" t="str">
        <f t="shared" si="20"/>
        <v/>
      </c>
      <c r="G87" s="1802">
        <f>SUM(G88:G97)</f>
        <v>0</v>
      </c>
      <c r="H87" s="1802">
        <f t="shared" si="17"/>
        <v>0</v>
      </c>
      <c r="I87" s="1801"/>
      <c r="J87" s="1804"/>
      <c r="K87" s="1801"/>
      <c r="L87" s="1802">
        <f t="shared" si="18"/>
        <v>0</v>
      </c>
      <c r="M87" s="1803" t="str">
        <f t="shared" si="12"/>
        <v/>
      </c>
      <c r="N87" s="1806" t="s">
        <v>1308</v>
      </c>
      <c r="O87" s="1801"/>
      <c r="P87" s="1801"/>
      <c r="Q87" s="1802">
        <f t="shared" si="21"/>
        <v>0</v>
      </c>
      <c r="R87" s="1803" t="str">
        <f t="shared" si="22"/>
        <v/>
      </c>
      <c r="T87" s="1796"/>
      <c r="U87" s="1796"/>
    </row>
    <row r="88" spans="1:21">
      <c r="A88" s="1799">
        <f t="shared" si="16"/>
        <v>82</v>
      </c>
      <c r="B88" s="1800" t="s">
        <v>933</v>
      </c>
      <c r="C88" s="1801"/>
      <c r="D88" s="1801"/>
      <c r="E88" s="1802">
        <f t="shared" si="19"/>
        <v>0</v>
      </c>
      <c r="F88" s="1803" t="str">
        <f t="shared" si="20"/>
        <v/>
      </c>
      <c r="G88" s="1801"/>
      <c r="H88" s="1802">
        <f t="shared" si="17"/>
        <v>0</v>
      </c>
      <c r="I88" s="1801"/>
      <c r="J88" s="1804"/>
      <c r="K88" s="1801"/>
      <c r="L88" s="1802">
        <f t="shared" si="18"/>
        <v>0</v>
      </c>
      <c r="M88" s="1803" t="str">
        <f t="shared" si="12"/>
        <v/>
      </c>
      <c r="N88" s="1805" t="s">
        <v>1309</v>
      </c>
      <c r="O88" s="1801"/>
      <c r="P88" s="1801"/>
      <c r="Q88" s="1802">
        <f t="shared" si="21"/>
        <v>0</v>
      </c>
      <c r="R88" s="1803" t="str">
        <f t="shared" si="22"/>
        <v/>
      </c>
      <c r="T88" s="1796"/>
      <c r="U88" s="1796"/>
    </row>
    <row r="89" spans="1:21">
      <c r="A89" s="1799">
        <f t="shared" si="16"/>
        <v>83</v>
      </c>
      <c r="B89" s="1800" t="s">
        <v>934</v>
      </c>
      <c r="C89" s="1801"/>
      <c r="D89" s="1801"/>
      <c r="E89" s="1802">
        <f t="shared" si="19"/>
        <v>0</v>
      </c>
      <c r="F89" s="1803" t="str">
        <f t="shared" si="20"/>
        <v/>
      </c>
      <c r="G89" s="1801"/>
      <c r="H89" s="1802">
        <f t="shared" si="17"/>
        <v>0</v>
      </c>
      <c r="I89" s="1801"/>
      <c r="J89" s="1804"/>
      <c r="K89" s="1801"/>
      <c r="L89" s="1802">
        <f t="shared" si="18"/>
        <v>0</v>
      </c>
      <c r="M89" s="1803" t="str">
        <f t="shared" si="12"/>
        <v/>
      </c>
      <c r="N89" s="1805" t="s">
        <v>1310</v>
      </c>
      <c r="O89" s="1801"/>
      <c r="P89" s="1801"/>
      <c r="Q89" s="1802">
        <f t="shared" si="21"/>
        <v>0</v>
      </c>
      <c r="R89" s="1803" t="str">
        <f t="shared" si="22"/>
        <v/>
      </c>
      <c r="T89" s="1796"/>
      <c r="U89" s="1796"/>
    </row>
    <row r="90" spans="1:21" ht="14.25" customHeight="1">
      <c r="A90" s="1799">
        <f t="shared" si="16"/>
        <v>84</v>
      </c>
      <c r="B90" s="1800" t="s">
        <v>935</v>
      </c>
      <c r="C90" s="1801"/>
      <c r="D90" s="1801"/>
      <c r="E90" s="1802">
        <f t="shared" si="19"/>
        <v>0</v>
      </c>
      <c r="F90" s="1803" t="str">
        <f t="shared" si="20"/>
        <v/>
      </c>
      <c r="G90" s="1801"/>
      <c r="H90" s="1802">
        <f t="shared" si="17"/>
        <v>0</v>
      </c>
      <c r="I90" s="1801"/>
      <c r="J90" s="1804"/>
      <c r="K90" s="1801"/>
      <c r="L90" s="1802">
        <f t="shared" si="18"/>
        <v>0</v>
      </c>
      <c r="M90" s="1803" t="str">
        <f t="shared" si="12"/>
        <v/>
      </c>
      <c r="N90" s="1811" t="s">
        <v>1311</v>
      </c>
      <c r="O90" s="1801"/>
      <c r="P90" s="1801"/>
      <c r="Q90" s="1802">
        <f t="shared" si="21"/>
        <v>0</v>
      </c>
      <c r="R90" s="1803" t="str">
        <f t="shared" si="22"/>
        <v/>
      </c>
      <c r="T90" s="1796"/>
      <c r="U90" s="1796"/>
    </row>
    <row r="91" spans="1:21">
      <c r="A91" s="1799">
        <f t="shared" si="16"/>
        <v>85</v>
      </c>
      <c r="B91" s="1800" t="s">
        <v>1312</v>
      </c>
      <c r="C91" s="1801"/>
      <c r="D91" s="1801"/>
      <c r="E91" s="1802">
        <f t="shared" si="19"/>
        <v>0</v>
      </c>
      <c r="F91" s="1803" t="str">
        <f t="shared" si="20"/>
        <v/>
      </c>
      <c r="G91" s="1801"/>
      <c r="H91" s="1802">
        <f t="shared" si="17"/>
        <v>0</v>
      </c>
      <c r="I91" s="1801"/>
      <c r="J91" s="1804"/>
      <c r="K91" s="1801"/>
      <c r="L91" s="1802">
        <f t="shared" si="18"/>
        <v>0</v>
      </c>
      <c r="M91" s="1803" t="str">
        <f t="shared" si="12"/>
        <v/>
      </c>
      <c r="N91" s="1811" t="s">
        <v>1313</v>
      </c>
      <c r="O91" s="1801"/>
      <c r="P91" s="1801"/>
      <c r="Q91" s="1802">
        <f>+O91-P91</f>
        <v>0</v>
      </c>
      <c r="R91" s="1803" t="str">
        <f t="shared" si="22"/>
        <v/>
      </c>
      <c r="T91" s="1796"/>
      <c r="U91" s="1796"/>
    </row>
    <row r="92" spans="1:21">
      <c r="A92" s="1799">
        <f t="shared" si="16"/>
        <v>86</v>
      </c>
      <c r="B92" s="1800" t="s">
        <v>1314</v>
      </c>
      <c r="C92" s="1801"/>
      <c r="D92" s="1801"/>
      <c r="E92" s="1802">
        <f t="shared" si="19"/>
        <v>0</v>
      </c>
      <c r="F92" s="1803" t="str">
        <f t="shared" si="20"/>
        <v/>
      </c>
      <c r="G92" s="1801"/>
      <c r="H92" s="1802">
        <f t="shared" si="17"/>
        <v>0</v>
      </c>
      <c r="I92" s="1801"/>
      <c r="J92" s="1804"/>
      <c r="K92" s="1801"/>
      <c r="L92" s="1802">
        <f>+E92-I92</f>
        <v>0</v>
      </c>
      <c r="M92" s="1803" t="str">
        <f t="shared" si="12"/>
        <v/>
      </c>
      <c r="N92" s="1811" t="s">
        <v>1315</v>
      </c>
      <c r="O92" s="1801"/>
      <c r="P92" s="1801"/>
      <c r="Q92" s="1802">
        <f>+O92-P92</f>
        <v>0</v>
      </c>
      <c r="R92" s="1803" t="str">
        <f t="shared" si="22"/>
        <v/>
      </c>
      <c r="T92" s="1796"/>
      <c r="U92" s="1796"/>
    </row>
    <row r="93" spans="1:21">
      <c r="A93" s="1799">
        <f t="shared" si="16"/>
        <v>87</v>
      </c>
      <c r="B93" s="1800" t="s">
        <v>1316</v>
      </c>
      <c r="C93" s="1801"/>
      <c r="D93" s="1801"/>
      <c r="E93" s="1802">
        <f t="shared" si="19"/>
        <v>0</v>
      </c>
      <c r="F93" s="1803" t="str">
        <f t="shared" si="20"/>
        <v/>
      </c>
      <c r="G93" s="1801"/>
      <c r="H93" s="1802">
        <f t="shared" si="17"/>
        <v>0</v>
      </c>
      <c r="I93" s="1801"/>
      <c r="J93" s="1804"/>
      <c r="K93" s="1801"/>
      <c r="L93" s="1802">
        <f t="shared" si="18"/>
        <v>0</v>
      </c>
      <c r="M93" s="1803" t="str">
        <f t="shared" si="12"/>
        <v/>
      </c>
      <c r="N93" s="1800" t="s">
        <v>1317</v>
      </c>
      <c r="O93" s="1801"/>
      <c r="P93" s="1801"/>
      <c r="Q93" s="1802">
        <f t="shared" si="21"/>
        <v>0</v>
      </c>
      <c r="R93" s="1803" t="str">
        <f t="shared" si="22"/>
        <v/>
      </c>
      <c r="T93" s="1796"/>
      <c r="U93" s="1796"/>
    </row>
    <row r="94" spans="1:21">
      <c r="A94" s="1799">
        <f t="shared" si="16"/>
        <v>88</v>
      </c>
      <c r="B94" s="1800" t="s">
        <v>1318</v>
      </c>
      <c r="C94" s="1801"/>
      <c r="D94" s="1801"/>
      <c r="E94" s="1802">
        <f t="shared" si="19"/>
        <v>0</v>
      </c>
      <c r="F94" s="1803" t="str">
        <f t="shared" si="20"/>
        <v/>
      </c>
      <c r="G94" s="1801"/>
      <c r="H94" s="1802">
        <f t="shared" si="17"/>
        <v>0</v>
      </c>
      <c r="I94" s="1801"/>
      <c r="J94" s="1804"/>
      <c r="K94" s="1801"/>
      <c r="L94" s="1802">
        <f t="shared" si="18"/>
        <v>0</v>
      </c>
      <c r="M94" s="1803" t="str">
        <f t="shared" si="12"/>
        <v/>
      </c>
      <c r="N94" s="1800" t="s">
        <v>1319</v>
      </c>
      <c r="O94" s="1801"/>
      <c r="P94" s="1801"/>
      <c r="Q94" s="1802">
        <f t="shared" si="21"/>
        <v>0</v>
      </c>
      <c r="R94" s="1803" t="str">
        <f t="shared" si="22"/>
        <v/>
      </c>
      <c r="T94" s="1796"/>
      <c r="U94" s="1796"/>
    </row>
    <row r="95" spans="1:21">
      <c r="A95" s="1799">
        <f t="shared" si="16"/>
        <v>89</v>
      </c>
      <c r="B95" s="1800" t="s">
        <v>1320</v>
      </c>
      <c r="C95" s="1801"/>
      <c r="D95" s="1801"/>
      <c r="E95" s="1802">
        <f t="shared" si="19"/>
        <v>0</v>
      </c>
      <c r="F95" s="1803" t="str">
        <f t="shared" si="20"/>
        <v/>
      </c>
      <c r="G95" s="1801"/>
      <c r="H95" s="1802">
        <f t="shared" si="17"/>
        <v>0</v>
      </c>
      <c r="I95" s="1801"/>
      <c r="J95" s="1804"/>
      <c r="K95" s="1801"/>
      <c r="L95" s="1802">
        <f t="shared" si="18"/>
        <v>0</v>
      </c>
      <c r="M95" s="1803" t="str">
        <f t="shared" si="12"/>
        <v/>
      </c>
      <c r="N95" s="1811" t="s">
        <v>1321</v>
      </c>
      <c r="O95" s="1801"/>
      <c r="P95" s="1801"/>
      <c r="Q95" s="1802">
        <f t="shared" si="21"/>
        <v>0</v>
      </c>
      <c r="R95" s="1803" t="str">
        <f t="shared" si="22"/>
        <v/>
      </c>
      <c r="T95" s="1796"/>
      <c r="U95" s="1796"/>
    </row>
    <row r="96" spans="1:21">
      <c r="A96" s="1799">
        <f t="shared" si="16"/>
        <v>90</v>
      </c>
      <c r="B96" s="1800" t="s">
        <v>936</v>
      </c>
      <c r="C96" s="1801"/>
      <c r="D96" s="1801"/>
      <c r="E96" s="1802">
        <f t="shared" si="19"/>
        <v>0</v>
      </c>
      <c r="F96" s="1803" t="str">
        <f t="shared" si="20"/>
        <v/>
      </c>
      <c r="G96" s="1801"/>
      <c r="H96" s="1802">
        <f t="shared" si="17"/>
        <v>0</v>
      </c>
      <c r="I96" s="1801"/>
      <c r="J96" s="1804"/>
      <c r="K96" s="1801"/>
      <c r="L96" s="1802">
        <f t="shared" si="18"/>
        <v>0</v>
      </c>
      <c r="M96" s="1803" t="str">
        <f t="shared" si="12"/>
        <v/>
      </c>
      <c r="N96" s="1805" t="s">
        <v>1322</v>
      </c>
      <c r="O96" s="1802">
        <f>+O66+O72+O81+O86</f>
        <v>0</v>
      </c>
      <c r="P96" s="1802">
        <f>+P66+P72+P81+P86</f>
        <v>0</v>
      </c>
      <c r="Q96" s="1802">
        <f t="shared" si="21"/>
        <v>0</v>
      </c>
      <c r="R96" s="1803" t="str">
        <f t="shared" si="22"/>
        <v/>
      </c>
      <c r="T96" s="1796"/>
      <c r="U96" s="1796"/>
    </row>
    <row r="97" spans="1:21">
      <c r="A97" s="1799">
        <f t="shared" si="16"/>
        <v>91</v>
      </c>
      <c r="B97" s="1800" t="s">
        <v>1015</v>
      </c>
      <c r="C97" s="1801"/>
      <c r="D97" s="1801"/>
      <c r="E97" s="1802">
        <f t="shared" si="19"/>
        <v>0</v>
      </c>
      <c r="F97" s="1803" t="str">
        <f t="shared" si="20"/>
        <v/>
      </c>
      <c r="G97" s="1801"/>
      <c r="H97" s="1802">
        <f t="shared" si="17"/>
        <v>0</v>
      </c>
      <c r="I97" s="1801"/>
      <c r="J97" s="1804"/>
      <c r="K97" s="1801"/>
      <c r="L97" s="1802">
        <f t="shared" si="18"/>
        <v>0</v>
      </c>
      <c r="M97" s="1803" t="str">
        <f t="shared" si="12"/>
        <v/>
      </c>
      <c r="N97" s="1805" t="s">
        <v>1223</v>
      </c>
      <c r="O97" s="1801"/>
      <c r="P97" s="1801"/>
      <c r="Q97" s="1802">
        <f t="shared" si="21"/>
        <v>0</v>
      </c>
      <c r="R97" s="1803" t="str">
        <f t="shared" si="22"/>
        <v/>
      </c>
      <c r="T97" s="1796"/>
      <c r="U97" s="1796"/>
    </row>
    <row r="98" spans="1:21">
      <c r="A98" s="1799">
        <f t="shared" si="16"/>
        <v>92</v>
      </c>
      <c r="B98" s="1800" t="s">
        <v>1323</v>
      </c>
      <c r="C98" s="1802">
        <f>SUM(C99:C100)</f>
        <v>0</v>
      </c>
      <c r="D98" s="1802">
        <f>SUM(D99:D100)</f>
        <v>0</v>
      </c>
      <c r="E98" s="1802">
        <f t="shared" si="19"/>
        <v>0</v>
      </c>
      <c r="F98" s="1803" t="str">
        <f t="shared" si="20"/>
        <v/>
      </c>
      <c r="G98" s="1802">
        <f>SUM(G99:G100)</f>
        <v>0</v>
      </c>
      <c r="H98" s="1802">
        <f t="shared" si="17"/>
        <v>0</v>
      </c>
      <c r="I98" s="1801"/>
      <c r="J98" s="1804"/>
      <c r="K98" s="1801"/>
      <c r="L98" s="1802">
        <f t="shared" si="18"/>
        <v>0</v>
      </c>
      <c r="M98" s="1803" t="str">
        <f t="shared" si="12"/>
        <v/>
      </c>
      <c r="N98" s="1805" t="s">
        <v>1224</v>
      </c>
      <c r="O98" s="1802">
        <f>+G104</f>
        <v>0</v>
      </c>
      <c r="P98" s="1801"/>
      <c r="Q98" s="1802">
        <f t="shared" si="21"/>
        <v>0</v>
      </c>
      <c r="R98" s="1803" t="str">
        <f t="shared" si="22"/>
        <v/>
      </c>
      <c r="T98" s="1796"/>
      <c r="U98" s="1796"/>
    </row>
    <row r="99" spans="1:21">
      <c r="A99" s="1799">
        <f t="shared" si="16"/>
        <v>93</v>
      </c>
      <c r="B99" s="1800" t="s">
        <v>937</v>
      </c>
      <c r="C99" s="1801"/>
      <c r="D99" s="1801"/>
      <c r="E99" s="1802">
        <f t="shared" si="19"/>
        <v>0</v>
      </c>
      <c r="F99" s="1803" t="str">
        <f t="shared" si="20"/>
        <v/>
      </c>
      <c r="G99" s="1801"/>
      <c r="H99" s="1802">
        <f t="shared" si="17"/>
        <v>0</v>
      </c>
      <c r="I99" s="1801"/>
      <c r="J99" s="1804"/>
      <c r="K99" s="1801"/>
      <c r="L99" s="1802">
        <f t="shared" si="18"/>
        <v>0</v>
      </c>
      <c r="M99" s="1803" t="str">
        <f t="shared" si="12"/>
        <v/>
      </c>
      <c r="N99" s="1805" t="s">
        <v>1225</v>
      </c>
      <c r="O99" s="1801"/>
      <c r="P99" s="1801"/>
      <c r="Q99" s="1802">
        <f t="shared" si="21"/>
        <v>0</v>
      </c>
      <c r="R99" s="1803" t="str">
        <f t="shared" si="22"/>
        <v/>
      </c>
      <c r="T99" s="1796"/>
      <c r="U99" s="1796"/>
    </row>
    <row r="100" spans="1:21">
      <c r="A100" s="1799">
        <f t="shared" si="16"/>
        <v>94</v>
      </c>
      <c r="B100" s="1800" t="s">
        <v>938</v>
      </c>
      <c r="C100" s="1801"/>
      <c r="D100" s="1801"/>
      <c r="E100" s="1802">
        <f t="shared" si="19"/>
        <v>0</v>
      </c>
      <c r="F100" s="1803" t="str">
        <f t="shared" si="20"/>
        <v/>
      </c>
      <c r="G100" s="1801"/>
      <c r="H100" s="1802">
        <f t="shared" si="17"/>
        <v>0</v>
      </c>
      <c r="I100" s="1801"/>
      <c r="J100" s="1804"/>
      <c r="K100" s="1801"/>
      <c r="L100" s="1802">
        <f t="shared" si="18"/>
        <v>0</v>
      </c>
      <c r="M100" s="1803" t="str">
        <f t="shared" si="12"/>
        <v/>
      </c>
      <c r="N100" s="1805"/>
      <c r="O100" s="1801"/>
      <c r="P100" s="1801"/>
      <c r="Q100" s="1802">
        <f t="shared" si="21"/>
        <v>0</v>
      </c>
      <c r="R100" s="1803" t="str">
        <f t="shared" si="22"/>
        <v/>
      </c>
      <c r="T100" s="1796"/>
      <c r="U100" s="1796"/>
    </row>
    <row r="101" spans="1:21">
      <c r="A101" s="1799">
        <f t="shared" si="16"/>
        <v>95</v>
      </c>
      <c r="B101" s="1800"/>
      <c r="C101" s="1801"/>
      <c r="D101" s="1801"/>
      <c r="E101" s="1801"/>
      <c r="F101" s="1804"/>
      <c r="G101" s="1801"/>
      <c r="H101" s="1801"/>
      <c r="I101" s="1801"/>
      <c r="J101" s="1804"/>
      <c r="K101" s="1801"/>
      <c r="L101" s="1801"/>
      <c r="M101" s="1804"/>
      <c r="N101" s="1805" t="s">
        <v>1226</v>
      </c>
      <c r="O101" s="1802">
        <f>+O96-O97-O98+O99</f>
        <v>0</v>
      </c>
      <c r="P101" s="1802">
        <f>+P96-P97-P98+P99</f>
        <v>0</v>
      </c>
      <c r="Q101" s="1802">
        <f t="shared" si="21"/>
        <v>0</v>
      </c>
      <c r="R101" s="1803" t="str">
        <f t="shared" si="22"/>
        <v/>
      </c>
      <c r="T101" s="1796"/>
      <c r="U101" s="1796"/>
    </row>
    <row r="102" spans="1:21">
      <c r="A102" s="1799">
        <f t="shared" si="16"/>
        <v>96</v>
      </c>
      <c r="B102" s="1800"/>
      <c r="C102" s="1801"/>
      <c r="D102" s="1801"/>
      <c r="E102" s="1801"/>
      <c r="F102" s="1804"/>
      <c r="G102" s="1801"/>
      <c r="H102" s="1801"/>
      <c r="I102" s="1801"/>
      <c r="J102" s="1804"/>
      <c r="K102" s="1801"/>
      <c r="L102" s="1801"/>
      <c r="M102" s="1804"/>
      <c r="N102" s="1805"/>
      <c r="O102" s="1801"/>
      <c r="P102" s="1801"/>
      <c r="Q102" s="1801"/>
      <c r="R102" s="1804"/>
      <c r="T102" s="1796"/>
      <c r="U102" s="1796"/>
    </row>
    <row r="103" spans="1:21">
      <c r="A103" s="1799">
        <f t="shared" si="16"/>
        <v>97</v>
      </c>
      <c r="B103" s="1800"/>
      <c r="C103" s="1801"/>
      <c r="D103" s="1801"/>
      <c r="E103" s="1801"/>
      <c r="F103" s="1804"/>
      <c r="G103" s="1801"/>
      <c r="H103" s="1801"/>
      <c r="I103" s="1801"/>
      <c r="J103" s="1804"/>
      <c r="K103" s="1801"/>
      <c r="L103" s="1801"/>
      <c r="M103" s="1812"/>
      <c r="N103" s="1805" t="s">
        <v>974</v>
      </c>
      <c r="O103" s="1802">
        <f>+O96+O63</f>
        <v>0</v>
      </c>
      <c r="P103" s="1801"/>
      <c r="Q103" s="1802">
        <f t="shared" si="21"/>
        <v>0</v>
      </c>
      <c r="R103" s="1803" t="str">
        <f>IF(AND(P103=0,OR(O103&gt;0,O103&lt;0)),+Q103/Q103,IFERROR(+Q103/P103,""))</f>
        <v/>
      </c>
      <c r="T103" s="1796"/>
      <c r="U103" s="1796"/>
    </row>
    <row r="104" spans="1:21">
      <c r="A104" s="1799">
        <f t="shared" si="16"/>
        <v>98</v>
      </c>
      <c r="B104" s="1805" t="s">
        <v>939</v>
      </c>
      <c r="C104" s="1802">
        <f>+C98+C87+C86+C81+C73+C63+C58+C57+C56+C55+C54+C53+C43+C33+C22+C21+C20+C19+C7+C6</f>
        <v>0</v>
      </c>
      <c r="D104" s="1802">
        <f>+D98+D87+D86+D81+D73+D63+D58+D57+D56+D55+D54+D53+D43+D33+D22+D21+D20+D19+D7+D6</f>
        <v>0</v>
      </c>
      <c r="E104" s="1802">
        <f>+E98+E87+E86+E81+E73+E63+E58+E57+E56+E55+E54+E53+E43+E33+E22+E21+E20+E19+E7+E6</f>
        <v>0</v>
      </c>
      <c r="F104" s="1803" t="str">
        <f>IF(C104=0,"",IFERROR(+E104/$E$104,""))</f>
        <v/>
      </c>
      <c r="G104" s="1802">
        <f>+G98+G87+G86+G81+G73+G63+G58+G57+G56+G55+G54+G53+G43+G33+G22+G21+G20+G19+G7+G6</f>
        <v>0</v>
      </c>
      <c r="H104" s="1802">
        <f>+H98+H87+H86+H81+H73+H63+H58+H57+H56+H55+H54+H53+H43+H33+H22+H21+H20+H19+H7+H6</f>
        <v>0</v>
      </c>
      <c r="I104" s="1801"/>
      <c r="J104" s="1804"/>
      <c r="K104" s="1801"/>
      <c r="L104" s="1802">
        <f>+E104-I104</f>
        <v>0</v>
      </c>
      <c r="M104" s="1803" t="str">
        <f>IF(AND(I104=0,OR(E104&gt;0,E104&lt;0)),+L104/L104,IFERROR(+L104/I104,""))</f>
        <v/>
      </c>
      <c r="N104" s="1805" t="s">
        <v>975</v>
      </c>
      <c r="O104" s="1802">
        <f>+O101+O64</f>
        <v>0</v>
      </c>
      <c r="P104" s="1802">
        <f>+P101+P64</f>
        <v>0</v>
      </c>
      <c r="Q104" s="1802">
        <f t="shared" si="21"/>
        <v>0</v>
      </c>
      <c r="R104" s="1803" t="str">
        <f>IF(AND(P104=0,OR(O104&gt;0,O104&lt;0)),+Q104/Q104,IFERROR(+Q104/P104,""))</f>
        <v/>
      </c>
      <c r="T104" s="1796"/>
      <c r="U104" s="1796"/>
    </row>
    <row r="105" spans="1:21">
      <c r="B105" s="1814"/>
      <c r="C105" s="1814"/>
      <c r="D105" s="1814"/>
      <c r="E105" s="1814"/>
      <c r="F105" s="1814"/>
      <c r="G105" s="458"/>
      <c r="H105" s="458"/>
      <c r="I105" s="458"/>
      <c r="J105" s="458"/>
      <c r="K105" s="458"/>
      <c r="L105" s="458"/>
      <c r="M105" s="458"/>
      <c r="N105" s="1814"/>
      <c r="T105" s="1796"/>
      <c r="U105" s="1796"/>
    </row>
    <row r="106" spans="1:21" ht="16.5">
      <c r="A106" s="1814" t="s">
        <v>694</v>
      </c>
      <c r="B106" s="1792"/>
      <c r="C106" s="1815"/>
      <c r="D106" s="1815"/>
      <c r="E106" s="1815"/>
      <c r="F106" s="1792"/>
      <c r="G106" s="1792"/>
      <c r="H106" s="1792"/>
      <c r="I106" s="1792"/>
      <c r="J106" s="1792"/>
      <c r="K106" s="1792"/>
      <c r="L106" s="1792"/>
      <c r="M106" s="1792"/>
      <c r="N106" s="1792"/>
      <c r="T106" s="1796"/>
      <c r="U106" s="1796"/>
    </row>
    <row r="107" spans="1:21" ht="16.5">
      <c r="A107" s="1816">
        <v>1</v>
      </c>
      <c r="B107" s="1792" t="s">
        <v>1355</v>
      </c>
      <c r="C107" s="1815"/>
      <c r="D107" s="1815"/>
      <c r="E107" s="1815"/>
      <c r="F107" s="1815"/>
      <c r="G107" s="1815"/>
      <c r="H107" s="1815"/>
      <c r="I107" s="1792"/>
      <c r="J107" s="1792"/>
      <c r="K107" s="1792"/>
      <c r="L107" s="1792"/>
      <c r="M107" s="1792"/>
      <c r="N107" s="1792"/>
      <c r="T107" s="1796"/>
      <c r="U107" s="1796"/>
    </row>
    <row r="108" spans="1:21" ht="16.5">
      <c r="A108" s="1816">
        <v>2</v>
      </c>
      <c r="B108" s="1792" t="s">
        <v>1357</v>
      </c>
      <c r="C108" s="1815"/>
      <c r="D108" s="1815"/>
      <c r="E108" s="1815"/>
      <c r="F108" s="1792"/>
      <c r="G108" s="1792"/>
      <c r="H108" s="1792"/>
      <c r="I108" s="1792"/>
      <c r="J108" s="1792"/>
      <c r="K108" s="1792"/>
      <c r="L108" s="1792"/>
      <c r="M108" s="1792"/>
      <c r="N108" s="1792"/>
      <c r="T108" s="1796"/>
      <c r="U108" s="1796"/>
    </row>
    <row r="109" spans="1:21">
      <c r="A109" s="1816">
        <v>3</v>
      </c>
      <c r="B109" s="66" t="s">
        <v>695</v>
      </c>
      <c r="G109" s="1792"/>
      <c r="H109" s="1792"/>
      <c r="T109" s="1796"/>
      <c r="U109" s="1796"/>
    </row>
    <row r="110" spans="1:21">
      <c r="A110" s="1816">
        <v>4</v>
      </c>
      <c r="B110" s="66" t="s">
        <v>696</v>
      </c>
      <c r="G110" s="1792"/>
      <c r="H110" s="1792"/>
      <c r="T110" s="1796"/>
      <c r="U110" s="1796"/>
    </row>
    <row r="111" spans="1:21" ht="16.5">
      <c r="A111" s="1813">
        <v>5</v>
      </c>
      <c r="B111" s="66" t="s">
        <v>1354</v>
      </c>
      <c r="C111" s="32"/>
      <c r="D111" s="32"/>
      <c r="E111" s="32"/>
      <c r="T111" s="1796"/>
      <c r="U111" s="1796"/>
    </row>
    <row r="112" spans="1:21">
      <c r="T112" s="1796"/>
      <c r="U112" s="1796"/>
    </row>
    <row r="113" spans="1:21">
      <c r="T113" s="1796"/>
      <c r="U113" s="1796"/>
    </row>
    <row r="114" spans="1:21">
      <c r="T114" s="1796"/>
      <c r="U114" s="1796"/>
    </row>
    <row r="122" spans="1:21" s="458" customFormat="1">
      <c r="A122" s="1813"/>
      <c r="B122" s="66"/>
      <c r="C122" s="66"/>
      <c r="D122" s="66"/>
      <c r="E122" s="66"/>
      <c r="F122" s="66"/>
      <c r="G122" s="66"/>
      <c r="H122" s="66"/>
      <c r="I122" s="66"/>
      <c r="J122" s="66"/>
      <c r="K122" s="66"/>
      <c r="L122" s="66"/>
      <c r="M122" s="66"/>
      <c r="N122" s="66"/>
      <c r="O122" s="66"/>
      <c r="P122" s="66"/>
      <c r="Q122" s="66"/>
      <c r="R122" s="66"/>
      <c r="S122" s="66"/>
    </row>
    <row r="123" spans="1:21" s="458" customFormat="1">
      <c r="A123" s="1813"/>
      <c r="B123" s="66"/>
      <c r="C123" s="66"/>
      <c r="D123" s="66"/>
      <c r="E123" s="66"/>
      <c r="F123" s="66"/>
      <c r="G123" s="66"/>
      <c r="H123" s="66"/>
      <c r="I123" s="66"/>
      <c r="J123" s="66"/>
      <c r="K123" s="66"/>
      <c r="L123" s="66"/>
      <c r="M123" s="66"/>
      <c r="N123" s="66"/>
      <c r="O123" s="66"/>
      <c r="P123" s="66"/>
      <c r="Q123" s="66"/>
      <c r="R123" s="66"/>
      <c r="S123" s="66"/>
    </row>
    <row r="124" spans="1:21" s="458" customFormat="1">
      <c r="A124" s="1813"/>
      <c r="B124" s="66"/>
      <c r="C124" s="66"/>
      <c r="D124" s="66"/>
      <c r="E124" s="66"/>
      <c r="F124" s="66"/>
      <c r="G124" s="66"/>
      <c r="H124" s="66"/>
      <c r="I124" s="66"/>
      <c r="J124" s="66"/>
      <c r="K124" s="66"/>
      <c r="L124" s="66"/>
      <c r="M124" s="66"/>
      <c r="N124" s="66"/>
      <c r="O124" s="66"/>
      <c r="P124" s="66"/>
      <c r="Q124" s="66"/>
      <c r="R124" s="66"/>
      <c r="S124" s="66"/>
    </row>
  </sheetData>
  <mergeCells count="8">
    <mergeCell ref="N3:N4"/>
    <mergeCell ref="Q3:R3"/>
    <mergeCell ref="P2:R2"/>
    <mergeCell ref="A3:A5"/>
    <mergeCell ref="B3:B4"/>
    <mergeCell ref="C3:H3"/>
    <mergeCell ref="I3:K3"/>
    <mergeCell ref="L3:M3"/>
  </mergeCells>
  <phoneticPr fontId="30"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pane="topRight"/>
      <selection pane="bottomLeft"/>
      <selection pane="bottomRight"/>
    </sheetView>
  </sheetViews>
  <sheetFormatPr defaultColWidth="9" defaultRowHeight="16.5"/>
  <cols>
    <col min="1" max="1" width="5.125" style="1055" customWidth="1"/>
    <col min="2" max="3" width="5" style="1055" bestFit="1" customWidth="1"/>
    <col min="4" max="4" width="7.625" style="1055" bestFit="1" customWidth="1"/>
    <col min="5" max="5" width="10.375" style="1055" customWidth="1"/>
    <col min="6" max="6" width="12.375" style="1055" customWidth="1"/>
    <col min="7" max="7" width="11.375" style="1055" customWidth="1"/>
    <col min="8" max="9" width="12.25" style="1055" bestFit="1" customWidth="1"/>
    <col min="10" max="10" width="8.5" style="1055" bestFit="1" customWidth="1"/>
    <col min="11" max="11" width="12.875" style="1055" customWidth="1"/>
    <col min="12" max="13" width="7.625" style="1055" bestFit="1" customWidth="1"/>
    <col min="14" max="14" width="9.5" style="1055" customWidth="1"/>
    <col min="15" max="15" width="9.125" style="1055" customWidth="1"/>
    <col min="16" max="16" width="5.625" style="1055" customWidth="1"/>
    <col min="17" max="16384" width="9" style="1055"/>
  </cols>
  <sheetData>
    <row r="1" spans="1:16">
      <c r="A1" s="2186" t="str">
        <f>+封面!A3&amp;" "&amp;封面!A2</f>
        <v xml:space="preserve"> 中央再保險股份有限公司 年度檢查報表</v>
      </c>
      <c r="B1" s="1054"/>
      <c r="C1" s="1054"/>
      <c r="D1" s="53"/>
      <c r="E1" s="53"/>
      <c r="F1" s="53"/>
      <c r="G1" s="53"/>
      <c r="H1" s="53"/>
      <c r="I1" s="53"/>
      <c r="J1" s="53"/>
      <c r="K1" s="53"/>
      <c r="L1" s="53"/>
      <c r="M1" s="53"/>
      <c r="N1" s="53"/>
      <c r="O1" s="53"/>
      <c r="P1" s="47"/>
    </row>
    <row r="2" spans="1:16">
      <c r="A2" s="47" t="s">
        <v>4168</v>
      </c>
      <c r="B2" s="47"/>
      <c r="C2" s="47"/>
      <c r="D2" s="47"/>
      <c r="E2" s="47"/>
      <c r="F2" s="47"/>
      <c r="G2" s="47"/>
      <c r="H2" s="47"/>
      <c r="I2" s="47"/>
      <c r="J2" s="47"/>
      <c r="K2" s="47"/>
      <c r="L2" s="47"/>
      <c r="M2" s="47"/>
      <c r="N2" s="1056"/>
      <c r="O2" s="1056"/>
      <c r="P2" s="1056" t="s">
        <v>184</v>
      </c>
    </row>
    <row r="3" spans="1:16" ht="30.4" customHeight="1">
      <c r="A3" s="3077" t="s">
        <v>179</v>
      </c>
      <c r="B3" s="3080" t="s">
        <v>149</v>
      </c>
      <c r="C3" s="3080"/>
      <c r="D3" s="1057" t="s">
        <v>576</v>
      </c>
      <c r="E3" s="1057"/>
      <c r="F3" s="1057"/>
      <c r="G3" s="1057"/>
      <c r="H3" s="1057"/>
      <c r="I3" s="1057"/>
      <c r="J3" s="1057"/>
      <c r="K3" s="1057"/>
      <c r="L3" s="3134" t="s">
        <v>577</v>
      </c>
      <c r="M3" s="3135"/>
      <c r="N3" s="3070" t="s">
        <v>578</v>
      </c>
      <c r="O3" s="3070" t="s">
        <v>579</v>
      </c>
      <c r="P3" s="1058" t="s">
        <v>121</v>
      </c>
    </row>
    <row r="4" spans="1:16" ht="28.5" customHeight="1">
      <c r="A4" s="3078"/>
      <c r="B4" s="1059" t="s">
        <v>159</v>
      </c>
      <c r="C4" s="1059" t="s">
        <v>160</v>
      </c>
      <c r="D4" s="1060" t="s">
        <v>580</v>
      </c>
      <c r="E4" s="1060" t="s">
        <v>581</v>
      </c>
      <c r="F4" s="1060" t="s">
        <v>582</v>
      </c>
      <c r="G4" s="1061" t="s">
        <v>583</v>
      </c>
      <c r="H4" s="1060" t="s">
        <v>584</v>
      </c>
      <c r="I4" s="1061" t="s">
        <v>585</v>
      </c>
      <c r="J4" s="1060" t="s">
        <v>586</v>
      </c>
      <c r="K4" s="1061" t="s">
        <v>467</v>
      </c>
      <c r="L4" s="1060" t="s">
        <v>587</v>
      </c>
      <c r="M4" s="1060" t="s">
        <v>588</v>
      </c>
      <c r="N4" s="3136"/>
      <c r="O4" s="3136"/>
      <c r="P4" s="1060"/>
    </row>
    <row r="5" spans="1:16" ht="45" customHeight="1">
      <c r="A5" s="3079"/>
      <c r="B5" s="1062" t="s">
        <v>122</v>
      </c>
      <c r="C5" s="1062" t="s">
        <v>67</v>
      </c>
      <c r="D5" s="1062" t="s">
        <v>68</v>
      </c>
      <c r="E5" s="1062" t="s">
        <v>69</v>
      </c>
      <c r="F5" s="1062" t="s">
        <v>70</v>
      </c>
      <c r="G5" s="1062" t="s">
        <v>71</v>
      </c>
      <c r="H5" s="1062" t="s">
        <v>72</v>
      </c>
      <c r="I5" s="1062" t="s">
        <v>73</v>
      </c>
      <c r="J5" s="1062" t="s">
        <v>74</v>
      </c>
      <c r="K5" s="1063" t="s">
        <v>589</v>
      </c>
      <c r="L5" s="1063" t="s">
        <v>131</v>
      </c>
      <c r="M5" s="1063" t="s">
        <v>450</v>
      </c>
      <c r="N5" s="1063" t="s">
        <v>590</v>
      </c>
      <c r="O5" s="1063" t="s">
        <v>591</v>
      </c>
      <c r="P5" s="1062" t="s">
        <v>135</v>
      </c>
    </row>
    <row r="6" spans="1:16">
      <c r="A6" s="902">
        <v>1</v>
      </c>
      <c r="B6" s="1064"/>
      <c r="C6" s="1064"/>
      <c r="D6" s="1065"/>
      <c r="E6" s="1065"/>
      <c r="F6" s="1066"/>
      <c r="G6" s="1067"/>
      <c r="H6" s="1067"/>
      <c r="I6" s="1067"/>
      <c r="J6" s="1065"/>
      <c r="K6" s="1066"/>
      <c r="L6" s="1067"/>
      <c r="M6" s="1067"/>
      <c r="N6" s="1068"/>
      <c r="O6" s="1068"/>
      <c r="P6" s="1069"/>
    </row>
    <row r="7" spans="1:16">
      <c r="A7" s="902">
        <v>2</v>
      </c>
      <c r="B7" s="1064"/>
      <c r="C7" s="1064"/>
      <c r="D7" s="1067"/>
      <c r="E7" s="1067"/>
      <c r="F7" s="1067"/>
      <c r="G7" s="1067"/>
      <c r="H7" s="1067"/>
      <c r="I7" s="1067"/>
      <c r="J7" s="1067"/>
      <c r="K7" s="1067"/>
      <c r="L7" s="1067"/>
      <c r="M7" s="1067"/>
      <c r="N7" s="1068"/>
      <c r="O7" s="1068"/>
      <c r="P7" s="1069"/>
    </row>
    <row r="8" spans="1:16">
      <c r="A8" s="902">
        <v>3</v>
      </c>
      <c r="B8" s="1064"/>
      <c r="C8" s="1064"/>
      <c r="D8" s="1067"/>
      <c r="E8" s="1067"/>
      <c r="F8" s="1067"/>
      <c r="G8" s="1067"/>
      <c r="H8" s="1067"/>
      <c r="I8" s="1067"/>
      <c r="J8" s="1067"/>
      <c r="K8" s="1067"/>
      <c r="L8" s="1067"/>
      <c r="M8" s="1067"/>
      <c r="N8" s="1068"/>
      <c r="O8" s="1068"/>
      <c r="P8" s="1069"/>
    </row>
    <row r="9" spans="1:16">
      <c r="A9" s="902">
        <v>4</v>
      </c>
      <c r="B9" s="1064"/>
      <c r="C9" s="1064"/>
      <c r="D9" s="1067"/>
      <c r="E9" s="1067"/>
      <c r="F9" s="1067"/>
      <c r="G9" s="1067"/>
      <c r="H9" s="1067"/>
      <c r="I9" s="1067"/>
      <c r="J9" s="1067"/>
      <c r="K9" s="1067"/>
      <c r="L9" s="1067"/>
      <c r="M9" s="1067"/>
      <c r="N9" s="1068"/>
      <c r="O9" s="1068"/>
      <c r="P9" s="1069"/>
    </row>
    <row r="10" spans="1:16">
      <c r="A10" s="902">
        <v>5</v>
      </c>
      <c r="B10" s="1064"/>
      <c r="C10" s="1064"/>
      <c r="D10" s="1067"/>
      <c r="E10" s="1067"/>
      <c r="F10" s="1067"/>
      <c r="G10" s="1067"/>
      <c r="H10" s="1067"/>
      <c r="I10" s="1067"/>
      <c r="J10" s="1067"/>
      <c r="K10" s="1067"/>
      <c r="L10" s="1067"/>
      <c r="M10" s="1067"/>
      <c r="N10" s="1068"/>
      <c r="O10" s="1068"/>
      <c r="P10" s="1069"/>
    </row>
    <row r="11" spans="1:16">
      <c r="A11" s="902">
        <v>6</v>
      </c>
      <c r="B11" s="1064"/>
      <c r="C11" s="1064"/>
      <c r="D11" s="1067"/>
      <c r="E11" s="1067"/>
      <c r="F11" s="1067"/>
      <c r="G11" s="1067"/>
      <c r="H11" s="1067"/>
      <c r="I11" s="1067"/>
      <c r="J11" s="1067"/>
      <c r="K11" s="1067"/>
      <c r="L11" s="1067"/>
      <c r="M11" s="1067"/>
      <c r="N11" s="1068"/>
      <c r="O11" s="1068"/>
      <c r="P11" s="1069"/>
    </row>
    <row r="12" spans="1:16">
      <c r="A12" s="902">
        <v>7</v>
      </c>
      <c r="B12" s="1064"/>
      <c r="C12" s="1064"/>
      <c r="D12" s="1067"/>
      <c r="E12" s="1067"/>
      <c r="F12" s="1067"/>
      <c r="G12" s="1067"/>
      <c r="H12" s="1067"/>
      <c r="I12" s="1067"/>
      <c r="J12" s="1067"/>
      <c r="K12" s="1067"/>
      <c r="L12" s="1067"/>
      <c r="M12" s="1067"/>
      <c r="N12" s="1068"/>
      <c r="O12" s="1068"/>
      <c r="P12" s="1069"/>
    </row>
    <row r="13" spans="1:16">
      <c r="A13" s="902">
        <v>8</v>
      </c>
      <c r="B13" s="1064"/>
      <c r="C13" s="1064"/>
      <c r="D13" s="1067"/>
      <c r="E13" s="1067"/>
      <c r="F13" s="1067"/>
      <c r="G13" s="1067"/>
      <c r="H13" s="1067"/>
      <c r="I13" s="1067"/>
      <c r="J13" s="1067"/>
      <c r="K13" s="1067"/>
      <c r="L13" s="1067"/>
      <c r="M13" s="1067"/>
      <c r="N13" s="1068"/>
      <c r="O13" s="1068"/>
      <c r="P13" s="1069"/>
    </row>
    <row r="14" spans="1:16">
      <c r="A14" s="902">
        <v>9</v>
      </c>
      <c r="B14" s="1064"/>
      <c r="C14" s="1064"/>
      <c r="D14" s="1067"/>
      <c r="E14" s="1067"/>
      <c r="F14" s="1067"/>
      <c r="G14" s="1067"/>
      <c r="H14" s="1067"/>
      <c r="I14" s="1067"/>
      <c r="J14" s="1067"/>
      <c r="K14" s="1067"/>
      <c r="L14" s="1067"/>
      <c r="M14" s="1067"/>
      <c r="N14" s="1068"/>
      <c r="O14" s="1068"/>
      <c r="P14" s="1069"/>
    </row>
    <row r="15" spans="1:16">
      <c r="A15" s="902">
        <v>10</v>
      </c>
      <c r="B15" s="1064"/>
      <c r="C15" s="1064"/>
      <c r="D15" s="1067"/>
      <c r="E15" s="1067"/>
      <c r="F15" s="1067"/>
      <c r="G15" s="1067"/>
      <c r="H15" s="1067"/>
      <c r="I15" s="1067"/>
      <c r="J15" s="1067"/>
      <c r="K15" s="1067"/>
      <c r="L15" s="1067"/>
      <c r="M15" s="1067"/>
      <c r="N15" s="1068"/>
      <c r="O15" s="1068"/>
      <c r="P15" s="1069"/>
    </row>
    <row r="16" spans="1:16">
      <c r="A16" s="902">
        <v>11</v>
      </c>
      <c r="B16" s="1064"/>
      <c r="C16" s="1064"/>
      <c r="D16" s="1067"/>
      <c r="E16" s="1067"/>
      <c r="F16" s="1067"/>
      <c r="G16" s="1067"/>
      <c r="H16" s="1067"/>
      <c r="I16" s="1067"/>
      <c r="J16" s="1067"/>
      <c r="K16" s="1067"/>
      <c r="L16" s="1067"/>
      <c r="M16" s="1067"/>
      <c r="N16" s="1068"/>
      <c r="O16" s="1068"/>
      <c r="P16" s="1069"/>
    </row>
    <row r="17" spans="1:31">
      <c r="A17" s="902">
        <v>12</v>
      </c>
      <c r="B17" s="1064"/>
      <c r="C17" s="1064"/>
      <c r="D17" s="1067"/>
      <c r="E17" s="1067"/>
      <c r="F17" s="1067"/>
      <c r="G17" s="1067"/>
      <c r="H17" s="1067"/>
      <c r="I17" s="1067"/>
      <c r="J17" s="1067"/>
      <c r="K17" s="1067"/>
      <c r="L17" s="1067"/>
      <c r="M17" s="1067"/>
      <c r="N17" s="1068"/>
      <c r="O17" s="1068"/>
      <c r="P17" s="1069"/>
      <c r="Q17" s="47"/>
      <c r="R17" s="47"/>
      <c r="S17" s="47"/>
      <c r="T17" s="47"/>
      <c r="U17" s="47"/>
      <c r="V17" s="47"/>
      <c r="W17" s="47"/>
      <c r="X17" s="47"/>
      <c r="Y17" s="47"/>
      <c r="Z17" s="47"/>
      <c r="AA17" s="47"/>
      <c r="AB17" s="47"/>
      <c r="AC17" s="47"/>
      <c r="AD17" s="47"/>
      <c r="AE17" s="47"/>
    </row>
    <row r="18" spans="1:31">
      <c r="A18" s="902">
        <v>13</v>
      </c>
      <c r="B18" s="1064"/>
      <c r="C18" s="1064"/>
      <c r="D18" s="1067"/>
      <c r="E18" s="1067"/>
      <c r="F18" s="1067"/>
      <c r="G18" s="1067"/>
      <c r="H18" s="1067"/>
      <c r="I18" s="1067"/>
      <c r="J18" s="1067"/>
      <c r="K18" s="1067"/>
      <c r="L18" s="1067"/>
      <c r="M18" s="1067"/>
      <c r="N18" s="1068"/>
      <c r="O18" s="1068"/>
      <c r="P18" s="1069"/>
      <c r="Q18" s="47"/>
      <c r="R18" s="47"/>
      <c r="S18" s="47"/>
      <c r="T18" s="47"/>
      <c r="U18" s="47"/>
      <c r="V18" s="47"/>
      <c r="W18" s="47"/>
      <c r="X18" s="47"/>
      <c r="Y18" s="47"/>
      <c r="Z18" s="47"/>
      <c r="AA18" s="47"/>
      <c r="AB18" s="47"/>
      <c r="AC18" s="47"/>
      <c r="AD18" s="47"/>
      <c r="AE18" s="47"/>
    </row>
    <row r="19" spans="1:31">
      <c r="A19" s="902">
        <v>14</v>
      </c>
      <c r="B19" s="1064"/>
      <c r="C19" s="1064"/>
      <c r="D19" s="1067"/>
      <c r="E19" s="1067"/>
      <c r="F19" s="1067"/>
      <c r="G19" s="1067"/>
      <c r="H19" s="1067"/>
      <c r="I19" s="1067"/>
      <c r="J19" s="1067"/>
      <c r="K19" s="1067"/>
      <c r="L19" s="1067"/>
      <c r="M19" s="1067"/>
      <c r="N19" s="1068"/>
      <c r="O19" s="1068"/>
      <c r="P19" s="1069"/>
      <c r="Q19" s="47"/>
      <c r="R19" s="47"/>
      <c r="S19" s="47"/>
      <c r="T19" s="47"/>
      <c r="U19" s="47"/>
      <c r="V19" s="47"/>
      <c r="W19" s="47"/>
      <c r="X19" s="47"/>
      <c r="Y19" s="47"/>
      <c r="Z19" s="47"/>
      <c r="AA19" s="47"/>
      <c r="AB19" s="47"/>
      <c r="AC19" s="47"/>
      <c r="AD19" s="47"/>
      <c r="AE19" s="47"/>
    </row>
    <row r="20" spans="1:31">
      <c r="A20" s="902">
        <v>15</v>
      </c>
      <c r="B20" s="1064"/>
      <c r="C20" s="1064"/>
      <c r="D20" s="1067"/>
      <c r="E20" s="1067"/>
      <c r="F20" s="1067"/>
      <c r="G20" s="1067"/>
      <c r="H20" s="1067"/>
      <c r="I20" s="1067"/>
      <c r="J20" s="1067"/>
      <c r="K20" s="1067"/>
      <c r="L20" s="1067"/>
      <c r="M20" s="1067"/>
      <c r="N20" s="1068"/>
      <c r="O20" s="1068"/>
      <c r="P20" s="1069"/>
      <c r="Q20" s="47"/>
      <c r="R20" s="47"/>
      <c r="S20" s="47"/>
      <c r="T20" s="47"/>
      <c r="U20" s="47"/>
      <c r="V20" s="47"/>
      <c r="W20" s="47"/>
      <c r="X20" s="47"/>
      <c r="Y20" s="47"/>
      <c r="Z20" s="47"/>
      <c r="AA20" s="47"/>
      <c r="AB20" s="47"/>
      <c r="AC20" s="47"/>
      <c r="AD20" s="47"/>
      <c r="AE20" s="47"/>
    </row>
    <row r="21" spans="1:31">
      <c r="A21" s="902">
        <v>16</v>
      </c>
      <c r="B21" s="1064"/>
      <c r="C21" s="1064"/>
      <c r="D21" s="1067"/>
      <c r="E21" s="1067"/>
      <c r="F21" s="1067"/>
      <c r="G21" s="1067"/>
      <c r="H21" s="1067"/>
      <c r="I21" s="1067"/>
      <c r="J21" s="1067"/>
      <c r="K21" s="1067"/>
      <c r="L21" s="1067"/>
      <c r="M21" s="1067"/>
      <c r="N21" s="1068"/>
      <c r="O21" s="1068"/>
      <c r="P21" s="1069"/>
      <c r="Q21" s="47"/>
      <c r="R21" s="47"/>
      <c r="S21" s="47"/>
      <c r="T21" s="47"/>
      <c r="U21" s="47"/>
      <c r="V21" s="47"/>
      <c r="W21" s="47"/>
      <c r="X21" s="47"/>
      <c r="Y21" s="47"/>
      <c r="Z21" s="47"/>
      <c r="AA21" s="47"/>
      <c r="AB21" s="47"/>
      <c r="AC21" s="47"/>
      <c r="AD21" s="47"/>
      <c r="AE21" s="47"/>
    </row>
    <row r="22" spans="1:31">
      <c r="A22" s="902">
        <v>17</v>
      </c>
      <c r="B22" s="1064"/>
      <c r="C22" s="1064"/>
      <c r="D22" s="1067"/>
      <c r="E22" s="1067"/>
      <c r="F22" s="1067"/>
      <c r="G22" s="1067"/>
      <c r="H22" s="1067"/>
      <c r="I22" s="1067"/>
      <c r="J22" s="1067"/>
      <c r="K22" s="1067"/>
      <c r="L22" s="1067"/>
      <c r="M22" s="1067"/>
      <c r="N22" s="1068"/>
      <c r="O22" s="1068"/>
      <c r="P22" s="1069"/>
      <c r="Q22" s="47"/>
      <c r="R22" s="47"/>
      <c r="S22" s="47"/>
      <c r="T22" s="47"/>
      <c r="U22" s="47"/>
      <c r="V22" s="47"/>
      <c r="W22" s="47"/>
      <c r="X22" s="47"/>
      <c r="Y22" s="47"/>
      <c r="Z22" s="47"/>
      <c r="AA22" s="47"/>
      <c r="AB22" s="47"/>
      <c r="AC22" s="47"/>
      <c r="AD22" s="47"/>
      <c r="AE22" s="47"/>
    </row>
    <row r="23" spans="1:31">
      <c r="A23" s="902">
        <v>18</v>
      </c>
      <c r="B23" s="1064"/>
      <c r="C23" s="1064"/>
      <c r="D23" s="1067"/>
      <c r="E23" s="1067"/>
      <c r="F23" s="1067"/>
      <c r="G23" s="1067"/>
      <c r="H23" s="1067"/>
      <c r="I23" s="1067"/>
      <c r="J23" s="1067"/>
      <c r="K23" s="1067"/>
      <c r="L23" s="1067"/>
      <c r="M23" s="1067"/>
      <c r="N23" s="1068"/>
      <c r="O23" s="1068"/>
      <c r="P23" s="1069"/>
      <c r="Q23" s="47"/>
      <c r="R23" s="47"/>
      <c r="S23" s="47"/>
      <c r="T23" s="47"/>
      <c r="U23" s="47"/>
      <c r="V23" s="47"/>
      <c r="W23" s="47"/>
      <c r="X23" s="47"/>
      <c r="Y23" s="47"/>
      <c r="Z23" s="47"/>
      <c r="AA23" s="47"/>
      <c r="AB23" s="47"/>
      <c r="AC23" s="47"/>
      <c r="AD23" s="47"/>
      <c r="AE23" s="47"/>
    </row>
    <row r="24" spans="1:31">
      <c r="A24" s="902">
        <v>19</v>
      </c>
      <c r="B24" s="1064"/>
      <c r="C24" s="1064"/>
      <c r="D24" s="1067"/>
      <c r="E24" s="1067"/>
      <c r="F24" s="1067"/>
      <c r="G24" s="1067"/>
      <c r="H24" s="1067"/>
      <c r="I24" s="1067"/>
      <c r="J24" s="1067"/>
      <c r="K24" s="1067"/>
      <c r="L24" s="1067"/>
      <c r="M24" s="1067"/>
      <c r="N24" s="1068"/>
      <c r="O24" s="1068"/>
      <c r="P24" s="1069"/>
      <c r="Q24" s="47"/>
      <c r="R24" s="47"/>
      <c r="S24" s="47"/>
      <c r="T24" s="47"/>
      <c r="U24" s="47"/>
      <c r="V24" s="47"/>
      <c r="W24" s="47"/>
      <c r="X24" s="47"/>
      <c r="Y24" s="47"/>
      <c r="Z24" s="47"/>
      <c r="AA24" s="47"/>
      <c r="AB24" s="47"/>
      <c r="AC24" s="47"/>
      <c r="AD24" s="47"/>
      <c r="AE24" s="47"/>
    </row>
    <row r="25" spans="1:31">
      <c r="A25" s="902">
        <v>20</v>
      </c>
      <c r="B25" s="3081" t="s">
        <v>85</v>
      </c>
      <c r="C25" s="3082"/>
      <c r="D25" s="1067"/>
      <c r="E25" s="1067"/>
      <c r="F25" s="1067"/>
      <c r="G25" s="1067"/>
      <c r="H25" s="1067"/>
      <c r="I25" s="1067"/>
      <c r="J25" s="1067"/>
      <c r="K25" s="1067"/>
      <c r="L25" s="1067"/>
      <c r="M25" s="1067"/>
      <c r="N25" s="1067"/>
      <c r="O25" s="1067"/>
      <c r="P25" s="1070"/>
      <c r="Q25" s="47"/>
      <c r="R25" s="47"/>
      <c r="S25" s="47"/>
      <c r="T25" s="47"/>
      <c r="U25" s="47"/>
      <c r="V25" s="47"/>
      <c r="W25" s="47"/>
      <c r="X25" s="47"/>
      <c r="Y25" s="47"/>
      <c r="Z25" s="47"/>
      <c r="AA25" s="47"/>
      <c r="AB25" s="47"/>
      <c r="AC25" s="47"/>
      <c r="AD25" s="47"/>
      <c r="AE25" s="47"/>
    </row>
    <row r="26" spans="1:31">
      <c r="A26" s="1071" t="s">
        <v>477</v>
      </c>
      <c r="B26" s="1072"/>
      <c r="C26" s="1072"/>
      <c r="D26" s="1072"/>
      <c r="E26" s="1072"/>
      <c r="F26" s="1072"/>
      <c r="G26" s="1072"/>
      <c r="H26" s="1072"/>
      <c r="I26" s="1072"/>
      <c r="J26" s="1072"/>
      <c r="K26" s="1072"/>
      <c r="L26" s="1072"/>
      <c r="M26" s="1072"/>
      <c r="N26" s="1072"/>
      <c r="O26" s="1072"/>
      <c r="P26" s="1072"/>
      <c r="Q26" s="1072"/>
      <c r="R26" s="1071"/>
      <c r="S26" s="1073"/>
      <c r="T26" s="1073"/>
      <c r="U26" s="1073"/>
      <c r="V26" s="1073"/>
      <c r="W26" s="1073"/>
      <c r="X26" s="1073"/>
      <c r="Y26" s="1073"/>
      <c r="Z26" s="1073"/>
      <c r="AA26" s="1073"/>
      <c r="AB26" s="1073"/>
      <c r="AC26" s="1073"/>
      <c r="AD26" s="1073"/>
      <c r="AE26" s="1073"/>
    </row>
    <row r="27" spans="1:31" ht="16.5" customHeight="1">
      <c r="A27" s="1074">
        <v>1</v>
      </c>
      <c r="B27" s="3072" t="s">
        <v>592</v>
      </c>
      <c r="C27" s="3072"/>
      <c r="D27" s="3072"/>
      <c r="E27" s="3072"/>
      <c r="F27" s="3072"/>
      <c r="G27" s="3072"/>
      <c r="H27" s="3072"/>
      <c r="I27" s="3072"/>
      <c r="J27" s="3072"/>
      <c r="K27" s="3072"/>
      <c r="L27" s="3131"/>
      <c r="M27" s="3131"/>
      <c r="N27" s="3131"/>
      <c r="O27" s="3131"/>
      <c r="P27" s="1072"/>
      <c r="Q27" s="1072"/>
      <c r="R27" s="1071"/>
      <c r="S27" s="1073"/>
      <c r="T27" s="1073"/>
      <c r="U27" s="1073"/>
      <c r="V27" s="1073"/>
      <c r="W27" s="1073"/>
      <c r="X27" s="1073"/>
      <c r="Y27" s="1073"/>
      <c r="Z27" s="1073"/>
      <c r="AA27" s="1073"/>
      <c r="AB27" s="1073"/>
      <c r="AC27" s="1073"/>
      <c r="AD27" s="1073"/>
      <c r="AE27" s="1073"/>
    </row>
    <row r="28" spans="1:31">
      <c r="B28" s="3132"/>
      <c r="C28" s="3133"/>
      <c r="D28" s="3133"/>
      <c r="E28" s="3133"/>
      <c r="F28" s="3133"/>
      <c r="G28" s="3133"/>
      <c r="H28" s="3133"/>
      <c r="I28" s="3133"/>
      <c r="J28" s="3133"/>
      <c r="K28" s="3133"/>
      <c r="L28" s="3133"/>
      <c r="M28" s="3133"/>
      <c r="N28" s="3133"/>
      <c r="O28" s="3133"/>
      <c r="P28" s="3133"/>
      <c r="Q28" s="3133"/>
      <c r="R28" s="3133"/>
      <c r="S28" s="3133"/>
    </row>
    <row r="29" spans="1:31">
      <c r="B29" s="3132"/>
      <c r="C29" s="3133"/>
      <c r="D29" s="3133"/>
      <c r="E29" s="3133"/>
      <c r="F29" s="3133"/>
      <c r="G29" s="3133"/>
      <c r="H29" s="3133"/>
      <c r="I29" s="3133"/>
      <c r="J29" s="3133"/>
      <c r="K29" s="3133"/>
      <c r="L29" s="3133"/>
      <c r="M29" s="3133"/>
      <c r="N29" s="3133"/>
      <c r="O29" s="3133"/>
      <c r="P29" s="3133"/>
      <c r="Q29" s="3133"/>
      <c r="R29" s="3133"/>
      <c r="S29" s="3133"/>
    </row>
    <row r="30" spans="1:31">
      <c r="N30" s="1072"/>
      <c r="O30" s="1072"/>
    </row>
    <row r="31" spans="1:31">
      <c r="N31" s="1072"/>
      <c r="O31" s="1072"/>
    </row>
    <row r="32" spans="1:31">
      <c r="N32" s="1072"/>
      <c r="O32" s="1072"/>
    </row>
    <row r="33" spans="14:15">
      <c r="N33" s="1072"/>
      <c r="O33" s="1072"/>
    </row>
    <row r="35" spans="14:15">
      <c r="N35" s="1072"/>
      <c r="O35" s="1072"/>
    </row>
    <row r="36" spans="14:15">
      <c r="N36" s="1072"/>
      <c r="O36" s="1072"/>
    </row>
  </sheetData>
  <mergeCells count="9">
    <mergeCell ref="B27:O27"/>
    <mergeCell ref="B28:S28"/>
    <mergeCell ref="B29:S29"/>
    <mergeCell ref="A3:A5"/>
    <mergeCell ref="B3:C3"/>
    <mergeCell ref="L3:M3"/>
    <mergeCell ref="N3:N4"/>
    <mergeCell ref="O3:O4"/>
    <mergeCell ref="B25:C25"/>
  </mergeCells>
  <phoneticPr fontId="30"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pane="topRight"/>
      <selection pane="bottomLeft"/>
      <selection pane="bottomRight"/>
    </sheetView>
  </sheetViews>
  <sheetFormatPr defaultColWidth="9" defaultRowHeight="16.5"/>
  <cols>
    <col min="1" max="1" width="5.125" style="1055" customWidth="1"/>
    <col min="2" max="3" width="5" style="1055" bestFit="1" customWidth="1"/>
    <col min="4" max="4" width="7.625" style="1055" bestFit="1" customWidth="1"/>
    <col min="5" max="5" width="10.375" style="1055" customWidth="1"/>
    <col min="6" max="6" width="12.375" style="1055" customWidth="1"/>
    <col min="7" max="7" width="11.375" style="1055" customWidth="1"/>
    <col min="8" max="9" width="12.25" style="1055" bestFit="1" customWidth="1"/>
    <col min="10" max="10" width="8.5" style="1055" bestFit="1" customWidth="1"/>
    <col min="11" max="11" width="12.875" style="1055" customWidth="1"/>
    <col min="12" max="13" width="7.625" style="1055" bestFit="1" customWidth="1"/>
    <col min="14" max="14" width="9.5" style="1055" customWidth="1"/>
    <col min="15" max="15" width="9.125" style="1055" customWidth="1"/>
    <col min="16" max="16" width="5.375" style="1055" customWidth="1"/>
    <col min="17" max="16384" width="9" style="1055"/>
  </cols>
  <sheetData>
    <row r="1" spans="1:16">
      <c r="A1" s="2186" t="str">
        <f>+封面!A3&amp;" "&amp;封面!A2</f>
        <v xml:space="preserve"> 中央再保險股份有限公司 年度檢查報表</v>
      </c>
      <c r="B1" s="1054"/>
      <c r="C1" s="1054"/>
      <c r="D1" s="53"/>
      <c r="E1" s="53"/>
      <c r="F1" s="53"/>
      <c r="G1" s="53"/>
      <c r="H1" s="53"/>
      <c r="I1" s="53"/>
      <c r="J1" s="53"/>
      <c r="K1" s="53"/>
      <c r="L1" s="53"/>
      <c r="M1" s="53"/>
      <c r="N1" s="53"/>
      <c r="O1" s="53"/>
      <c r="P1" s="47"/>
    </row>
    <row r="2" spans="1:16">
      <c r="A2" s="47" t="s">
        <v>4167</v>
      </c>
      <c r="B2" s="47"/>
      <c r="C2" s="47"/>
      <c r="D2" s="47"/>
      <c r="E2" s="47"/>
      <c r="F2" s="47"/>
      <c r="G2" s="47"/>
      <c r="H2" s="47"/>
      <c r="I2" s="47"/>
      <c r="J2" s="47"/>
      <c r="K2" s="47"/>
      <c r="L2" s="47"/>
      <c r="M2" s="47"/>
      <c r="N2" s="1056"/>
      <c r="O2" s="1056"/>
      <c r="P2" s="1056" t="s">
        <v>184</v>
      </c>
    </row>
    <row r="3" spans="1:16" ht="30.4" customHeight="1">
      <c r="A3" s="3077" t="s">
        <v>179</v>
      </c>
      <c r="B3" s="3080" t="s">
        <v>149</v>
      </c>
      <c r="C3" s="3080"/>
      <c r="D3" s="1057" t="s">
        <v>576</v>
      </c>
      <c r="E3" s="1057"/>
      <c r="F3" s="1057"/>
      <c r="G3" s="1057"/>
      <c r="H3" s="1057"/>
      <c r="I3" s="1057"/>
      <c r="J3" s="1057"/>
      <c r="K3" s="1057"/>
      <c r="L3" s="3134" t="s">
        <v>577</v>
      </c>
      <c r="M3" s="3135"/>
      <c r="N3" s="3070" t="s">
        <v>578</v>
      </c>
      <c r="O3" s="3070" t="s">
        <v>579</v>
      </c>
      <c r="P3" s="1058" t="s">
        <v>121</v>
      </c>
    </row>
    <row r="4" spans="1:16" ht="28.5" customHeight="1">
      <c r="A4" s="3078"/>
      <c r="B4" s="1059" t="s">
        <v>159</v>
      </c>
      <c r="C4" s="1059" t="s">
        <v>160</v>
      </c>
      <c r="D4" s="1060" t="s">
        <v>580</v>
      </c>
      <c r="E4" s="1060" t="s">
        <v>581</v>
      </c>
      <c r="F4" s="1060" t="s">
        <v>582</v>
      </c>
      <c r="G4" s="1061" t="s">
        <v>583</v>
      </c>
      <c r="H4" s="1060" t="s">
        <v>584</v>
      </c>
      <c r="I4" s="1061" t="s">
        <v>585</v>
      </c>
      <c r="J4" s="1060" t="s">
        <v>586</v>
      </c>
      <c r="K4" s="1061" t="s">
        <v>467</v>
      </c>
      <c r="L4" s="1060" t="s">
        <v>587</v>
      </c>
      <c r="M4" s="1060" t="s">
        <v>588</v>
      </c>
      <c r="N4" s="3136"/>
      <c r="O4" s="3136"/>
      <c r="P4" s="1060"/>
    </row>
    <row r="5" spans="1:16" ht="45" customHeight="1">
      <c r="A5" s="3079"/>
      <c r="B5" s="1062" t="s">
        <v>122</v>
      </c>
      <c r="C5" s="1062" t="s">
        <v>67</v>
      </c>
      <c r="D5" s="1062" t="s">
        <v>68</v>
      </c>
      <c r="E5" s="1062" t="s">
        <v>69</v>
      </c>
      <c r="F5" s="1062" t="s">
        <v>70</v>
      </c>
      <c r="G5" s="1062" t="s">
        <v>71</v>
      </c>
      <c r="H5" s="1062" t="s">
        <v>72</v>
      </c>
      <c r="I5" s="1062" t="s">
        <v>73</v>
      </c>
      <c r="J5" s="1062" t="s">
        <v>74</v>
      </c>
      <c r="K5" s="1063" t="s">
        <v>593</v>
      </c>
      <c r="L5" s="1063" t="s">
        <v>131</v>
      </c>
      <c r="M5" s="1063" t="s">
        <v>450</v>
      </c>
      <c r="N5" s="1063" t="s">
        <v>594</v>
      </c>
      <c r="O5" s="1063" t="s">
        <v>591</v>
      </c>
      <c r="P5" s="1062" t="s">
        <v>135</v>
      </c>
    </row>
    <row r="6" spans="1:16">
      <c r="A6" s="902">
        <v>1</v>
      </c>
      <c r="B6" s="1064"/>
      <c r="C6" s="1064"/>
      <c r="D6" s="1065"/>
      <c r="E6" s="1065"/>
      <c r="F6" s="1066"/>
      <c r="G6" s="1067"/>
      <c r="H6" s="1067"/>
      <c r="I6" s="1067"/>
      <c r="J6" s="1065"/>
      <c r="K6" s="1065"/>
      <c r="L6" s="1067"/>
      <c r="M6" s="1067"/>
      <c r="N6" s="1068"/>
      <c r="O6" s="1068"/>
      <c r="P6" s="1069"/>
    </row>
    <row r="7" spans="1:16">
      <c r="A7" s="902">
        <v>2</v>
      </c>
      <c r="B7" s="1064"/>
      <c r="C7" s="1064"/>
      <c r="D7" s="1067"/>
      <c r="E7" s="1067"/>
      <c r="F7" s="1067"/>
      <c r="G7" s="1067"/>
      <c r="H7" s="1067"/>
      <c r="I7" s="1067"/>
      <c r="J7" s="1067"/>
      <c r="K7" s="1067"/>
      <c r="L7" s="1067"/>
      <c r="M7" s="1067"/>
      <c r="N7" s="1068"/>
      <c r="O7" s="1068"/>
      <c r="P7" s="1069"/>
    </row>
    <row r="8" spans="1:16">
      <c r="A8" s="902">
        <v>3</v>
      </c>
      <c r="B8" s="1064"/>
      <c r="C8" s="1064"/>
      <c r="D8" s="1067"/>
      <c r="E8" s="1067"/>
      <c r="F8" s="1067"/>
      <c r="G8" s="1067"/>
      <c r="H8" s="1067"/>
      <c r="I8" s="1067"/>
      <c r="J8" s="1067"/>
      <c r="K8" s="1067"/>
      <c r="L8" s="1067"/>
      <c r="M8" s="1067"/>
      <c r="N8" s="1068"/>
      <c r="O8" s="1068"/>
      <c r="P8" s="1069"/>
    </row>
    <row r="9" spans="1:16">
      <c r="A9" s="902">
        <v>4</v>
      </c>
      <c r="B9" s="1064"/>
      <c r="C9" s="1064"/>
      <c r="D9" s="1067"/>
      <c r="E9" s="1067"/>
      <c r="F9" s="1067"/>
      <c r="G9" s="1067"/>
      <c r="H9" s="1067"/>
      <c r="I9" s="1067"/>
      <c r="J9" s="1067"/>
      <c r="K9" s="1067"/>
      <c r="L9" s="1067"/>
      <c r="M9" s="1067"/>
      <c r="N9" s="1068"/>
      <c r="O9" s="1068"/>
      <c r="P9" s="1069"/>
    </row>
    <row r="10" spans="1:16">
      <c r="A10" s="902">
        <v>5</v>
      </c>
      <c r="B10" s="1064"/>
      <c r="C10" s="1064"/>
      <c r="D10" s="1067"/>
      <c r="E10" s="1067"/>
      <c r="F10" s="1067"/>
      <c r="G10" s="1067"/>
      <c r="H10" s="1067"/>
      <c r="I10" s="1067"/>
      <c r="J10" s="1067"/>
      <c r="K10" s="1067"/>
      <c r="L10" s="1067"/>
      <c r="M10" s="1067"/>
      <c r="N10" s="1068"/>
      <c r="O10" s="1068"/>
      <c r="P10" s="1069"/>
    </row>
    <row r="11" spans="1:16">
      <c r="A11" s="902">
        <v>6</v>
      </c>
      <c r="B11" s="1064"/>
      <c r="C11" s="1064"/>
      <c r="D11" s="1067"/>
      <c r="E11" s="1067"/>
      <c r="F11" s="1067"/>
      <c r="G11" s="1067"/>
      <c r="H11" s="1067"/>
      <c r="I11" s="1067"/>
      <c r="J11" s="1067"/>
      <c r="K11" s="1067"/>
      <c r="L11" s="1067"/>
      <c r="M11" s="1067"/>
      <c r="N11" s="1068"/>
      <c r="O11" s="1068"/>
      <c r="P11" s="1069"/>
    </row>
    <row r="12" spans="1:16">
      <c r="A12" s="902">
        <v>7</v>
      </c>
      <c r="B12" s="1064"/>
      <c r="C12" s="1064"/>
      <c r="D12" s="1067"/>
      <c r="E12" s="1067"/>
      <c r="F12" s="1067"/>
      <c r="G12" s="1067"/>
      <c r="H12" s="1067"/>
      <c r="I12" s="1067"/>
      <c r="J12" s="1067"/>
      <c r="K12" s="1067"/>
      <c r="L12" s="1067"/>
      <c r="M12" s="1067"/>
      <c r="N12" s="1068"/>
      <c r="O12" s="1068"/>
      <c r="P12" s="1069"/>
    </row>
    <row r="13" spans="1:16">
      <c r="A13" s="902">
        <v>8</v>
      </c>
      <c r="B13" s="1064"/>
      <c r="C13" s="1064"/>
      <c r="D13" s="1067"/>
      <c r="E13" s="1067"/>
      <c r="F13" s="1067"/>
      <c r="G13" s="1067"/>
      <c r="H13" s="1067"/>
      <c r="I13" s="1067"/>
      <c r="J13" s="1067"/>
      <c r="K13" s="1067"/>
      <c r="L13" s="1067"/>
      <c r="M13" s="1067"/>
      <c r="N13" s="1068"/>
      <c r="O13" s="1068"/>
      <c r="P13" s="1069"/>
    </row>
    <row r="14" spans="1:16">
      <c r="A14" s="902">
        <v>9</v>
      </c>
      <c r="B14" s="1064"/>
      <c r="C14" s="1064"/>
      <c r="D14" s="1067"/>
      <c r="E14" s="1067"/>
      <c r="F14" s="1067"/>
      <c r="G14" s="1067"/>
      <c r="H14" s="1067"/>
      <c r="I14" s="1067"/>
      <c r="J14" s="1067"/>
      <c r="K14" s="1067"/>
      <c r="L14" s="1067"/>
      <c r="M14" s="1067"/>
      <c r="N14" s="1068"/>
      <c r="O14" s="1068"/>
      <c r="P14" s="1069"/>
    </row>
    <row r="15" spans="1:16">
      <c r="A15" s="902">
        <v>10</v>
      </c>
      <c r="B15" s="1064"/>
      <c r="C15" s="1064"/>
      <c r="D15" s="1067"/>
      <c r="E15" s="1067"/>
      <c r="F15" s="1067"/>
      <c r="G15" s="1067"/>
      <c r="H15" s="1067"/>
      <c r="I15" s="1067"/>
      <c r="J15" s="1067"/>
      <c r="K15" s="1067"/>
      <c r="L15" s="1067"/>
      <c r="M15" s="1067"/>
      <c r="N15" s="1068"/>
      <c r="O15" s="1068"/>
      <c r="P15" s="1069"/>
    </row>
    <row r="16" spans="1:16">
      <c r="A16" s="902">
        <v>11</v>
      </c>
      <c r="B16" s="1064"/>
      <c r="C16" s="1064"/>
      <c r="D16" s="1067"/>
      <c r="E16" s="1067"/>
      <c r="F16" s="1067"/>
      <c r="G16" s="1067"/>
      <c r="H16" s="1067"/>
      <c r="I16" s="1067"/>
      <c r="J16" s="1067"/>
      <c r="K16" s="1067"/>
      <c r="L16" s="1067"/>
      <c r="M16" s="1067"/>
      <c r="N16" s="1068"/>
      <c r="O16" s="1068"/>
      <c r="P16" s="1069"/>
    </row>
    <row r="17" spans="1:31">
      <c r="A17" s="902">
        <v>12</v>
      </c>
      <c r="B17" s="1064"/>
      <c r="C17" s="1064"/>
      <c r="D17" s="1067"/>
      <c r="E17" s="1067"/>
      <c r="F17" s="1067"/>
      <c r="G17" s="1067"/>
      <c r="H17" s="1067"/>
      <c r="I17" s="1067"/>
      <c r="J17" s="1067"/>
      <c r="K17" s="1067"/>
      <c r="L17" s="1067"/>
      <c r="M17" s="1067"/>
      <c r="N17" s="1068"/>
      <c r="O17" s="1068"/>
      <c r="P17" s="1069"/>
      <c r="Q17" s="47"/>
      <c r="R17" s="47"/>
      <c r="S17" s="47"/>
      <c r="T17" s="47"/>
      <c r="U17" s="47"/>
      <c r="V17" s="47"/>
      <c r="W17" s="47"/>
      <c r="X17" s="47"/>
      <c r="Y17" s="47"/>
      <c r="Z17" s="47"/>
      <c r="AA17" s="47"/>
      <c r="AB17" s="47"/>
      <c r="AC17" s="47"/>
      <c r="AD17" s="47"/>
      <c r="AE17" s="47"/>
    </row>
    <row r="18" spans="1:31">
      <c r="A18" s="902">
        <v>13</v>
      </c>
      <c r="B18" s="1064"/>
      <c r="C18" s="1064"/>
      <c r="D18" s="1067"/>
      <c r="E18" s="1067"/>
      <c r="F18" s="1067"/>
      <c r="G18" s="1067"/>
      <c r="H18" s="1067"/>
      <c r="I18" s="1067"/>
      <c r="J18" s="1067"/>
      <c r="K18" s="1067"/>
      <c r="L18" s="1067"/>
      <c r="M18" s="1067"/>
      <c r="N18" s="1068"/>
      <c r="O18" s="1068"/>
      <c r="P18" s="1069"/>
      <c r="Q18" s="47"/>
      <c r="R18" s="47"/>
      <c r="S18" s="47"/>
      <c r="T18" s="47"/>
      <c r="U18" s="47"/>
      <c r="V18" s="47"/>
      <c r="W18" s="47"/>
      <c r="X18" s="47"/>
      <c r="Y18" s="47"/>
      <c r="Z18" s="47"/>
      <c r="AA18" s="47"/>
      <c r="AB18" s="47"/>
      <c r="AC18" s="47"/>
      <c r="AD18" s="47"/>
      <c r="AE18" s="47"/>
    </row>
    <row r="19" spans="1:31">
      <c r="A19" s="902">
        <v>14</v>
      </c>
      <c r="B19" s="1064"/>
      <c r="C19" s="1064"/>
      <c r="D19" s="1067"/>
      <c r="E19" s="1067"/>
      <c r="F19" s="1067"/>
      <c r="G19" s="1067"/>
      <c r="H19" s="1067"/>
      <c r="I19" s="1067"/>
      <c r="J19" s="1067"/>
      <c r="K19" s="1067"/>
      <c r="L19" s="1067"/>
      <c r="M19" s="1067"/>
      <c r="N19" s="1068"/>
      <c r="O19" s="1068"/>
      <c r="P19" s="1069"/>
      <c r="Q19" s="47"/>
      <c r="R19" s="47"/>
      <c r="S19" s="47"/>
      <c r="T19" s="47"/>
      <c r="U19" s="47"/>
      <c r="V19" s="47"/>
      <c r="W19" s="47"/>
      <c r="X19" s="47"/>
      <c r="Y19" s="47"/>
      <c r="Z19" s="47"/>
      <c r="AA19" s="47"/>
      <c r="AB19" s="47"/>
      <c r="AC19" s="47"/>
      <c r="AD19" s="47"/>
      <c r="AE19" s="47"/>
    </row>
    <row r="20" spans="1:31">
      <c r="A20" s="902">
        <v>15</v>
      </c>
      <c r="B20" s="1064"/>
      <c r="C20" s="1064"/>
      <c r="D20" s="1067"/>
      <c r="E20" s="1067"/>
      <c r="F20" s="1067"/>
      <c r="G20" s="1067"/>
      <c r="H20" s="1067"/>
      <c r="I20" s="1067"/>
      <c r="J20" s="1067"/>
      <c r="K20" s="1067"/>
      <c r="L20" s="1067"/>
      <c r="M20" s="1067"/>
      <c r="N20" s="1068"/>
      <c r="O20" s="1068"/>
      <c r="P20" s="1069"/>
      <c r="Q20" s="47"/>
      <c r="R20" s="47"/>
      <c r="S20" s="47"/>
      <c r="T20" s="47"/>
      <c r="U20" s="47"/>
      <c r="V20" s="47"/>
      <c r="W20" s="47"/>
      <c r="X20" s="47"/>
      <c r="Y20" s="47"/>
      <c r="Z20" s="47"/>
      <c r="AA20" s="47"/>
      <c r="AB20" s="47"/>
      <c r="AC20" s="47"/>
      <c r="AD20" s="47"/>
      <c r="AE20" s="47"/>
    </row>
    <row r="21" spans="1:31">
      <c r="A21" s="902">
        <v>16</v>
      </c>
      <c r="B21" s="1064"/>
      <c r="C21" s="1064"/>
      <c r="D21" s="1067"/>
      <c r="E21" s="1067"/>
      <c r="F21" s="1067"/>
      <c r="G21" s="1067"/>
      <c r="H21" s="1067"/>
      <c r="I21" s="1067"/>
      <c r="J21" s="1067"/>
      <c r="K21" s="1067"/>
      <c r="L21" s="1067"/>
      <c r="M21" s="1067"/>
      <c r="N21" s="1068"/>
      <c r="O21" s="1068"/>
      <c r="P21" s="1069"/>
      <c r="Q21" s="47"/>
      <c r="R21" s="47"/>
      <c r="S21" s="47"/>
      <c r="T21" s="47"/>
      <c r="U21" s="47"/>
      <c r="V21" s="47"/>
      <c r="W21" s="47"/>
      <c r="X21" s="47"/>
      <c r="Y21" s="47"/>
      <c r="Z21" s="47"/>
      <c r="AA21" s="47"/>
      <c r="AB21" s="47"/>
      <c r="AC21" s="47"/>
      <c r="AD21" s="47"/>
      <c r="AE21" s="47"/>
    </row>
    <row r="22" spans="1:31">
      <c r="A22" s="902">
        <v>17</v>
      </c>
      <c r="B22" s="1064"/>
      <c r="C22" s="1064"/>
      <c r="D22" s="1067"/>
      <c r="E22" s="1067"/>
      <c r="F22" s="1067"/>
      <c r="G22" s="1067"/>
      <c r="H22" s="1067"/>
      <c r="I22" s="1067"/>
      <c r="J22" s="1067"/>
      <c r="K22" s="1067"/>
      <c r="L22" s="1067"/>
      <c r="M22" s="1067"/>
      <c r="N22" s="1068"/>
      <c r="O22" s="1068"/>
      <c r="P22" s="1069"/>
      <c r="Q22" s="47"/>
      <c r="R22" s="47"/>
      <c r="S22" s="47"/>
      <c r="T22" s="47"/>
      <c r="U22" s="47"/>
      <c r="V22" s="47"/>
      <c r="W22" s="47"/>
      <c r="X22" s="47"/>
      <c r="Y22" s="47"/>
      <c r="Z22" s="47"/>
      <c r="AA22" s="47"/>
      <c r="AB22" s="47"/>
      <c r="AC22" s="47"/>
      <c r="AD22" s="47"/>
      <c r="AE22" s="47"/>
    </row>
    <row r="23" spans="1:31">
      <c r="A23" s="902">
        <v>18</v>
      </c>
      <c r="B23" s="1064"/>
      <c r="C23" s="1064"/>
      <c r="D23" s="1067"/>
      <c r="E23" s="1067"/>
      <c r="F23" s="1067"/>
      <c r="G23" s="1067"/>
      <c r="H23" s="1067"/>
      <c r="I23" s="1067"/>
      <c r="J23" s="1067"/>
      <c r="K23" s="1067"/>
      <c r="L23" s="1067"/>
      <c r="M23" s="1067"/>
      <c r="N23" s="1068"/>
      <c r="O23" s="1068"/>
      <c r="P23" s="1069"/>
      <c r="Q23" s="47"/>
      <c r="R23" s="47"/>
      <c r="S23" s="47"/>
      <c r="T23" s="47"/>
      <c r="U23" s="47"/>
      <c r="V23" s="47"/>
      <c r="W23" s="47"/>
      <c r="X23" s="47"/>
      <c r="Y23" s="47"/>
      <c r="Z23" s="47"/>
      <c r="AA23" s="47"/>
      <c r="AB23" s="47"/>
      <c r="AC23" s="47"/>
      <c r="AD23" s="47"/>
      <c r="AE23" s="47"/>
    </row>
    <row r="24" spans="1:31">
      <c r="A24" s="902">
        <v>19</v>
      </c>
      <c r="B24" s="1064"/>
      <c r="C24" s="1064"/>
      <c r="D24" s="1067"/>
      <c r="E24" s="1067"/>
      <c r="F24" s="1067"/>
      <c r="G24" s="1067"/>
      <c r="H24" s="1067"/>
      <c r="I24" s="1067"/>
      <c r="J24" s="1067"/>
      <c r="K24" s="1067"/>
      <c r="L24" s="1067"/>
      <c r="M24" s="1067"/>
      <c r="N24" s="1068"/>
      <c r="O24" s="1068"/>
      <c r="P24" s="1069"/>
      <c r="Q24" s="47"/>
      <c r="R24" s="47"/>
      <c r="S24" s="47"/>
      <c r="T24" s="47"/>
      <c r="U24" s="47"/>
      <c r="V24" s="47"/>
      <c r="W24" s="47"/>
      <c r="X24" s="47"/>
      <c r="Y24" s="47"/>
      <c r="Z24" s="47"/>
      <c r="AA24" s="47"/>
      <c r="AB24" s="47"/>
      <c r="AC24" s="47"/>
      <c r="AD24" s="47"/>
      <c r="AE24" s="47"/>
    </row>
    <row r="25" spans="1:31">
      <c r="A25" s="902">
        <v>20</v>
      </c>
      <c r="B25" s="3081" t="s">
        <v>85</v>
      </c>
      <c r="C25" s="3082"/>
      <c r="D25" s="1067"/>
      <c r="E25" s="1067"/>
      <c r="F25" s="1067"/>
      <c r="G25" s="1067"/>
      <c r="H25" s="1067"/>
      <c r="I25" s="1067"/>
      <c r="J25" s="1067"/>
      <c r="K25" s="1067"/>
      <c r="L25" s="1067"/>
      <c r="M25" s="1067"/>
      <c r="N25" s="1067"/>
      <c r="O25" s="1067"/>
      <c r="P25" s="1070"/>
      <c r="Q25" s="47"/>
      <c r="R25" s="47"/>
      <c r="S25" s="47"/>
      <c r="T25" s="47"/>
      <c r="U25" s="47"/>
      <c r="V25" s="47"/>
      <c r="W25" s="47"/>
      <c r="X25" s="47"/>
      <c r="Y25" s="47"/>
      <c r="Z25" s="47"/>
      <c r="AA25" s="47"/>
      <c r="AB25" s="47"/>
      <c r="AC25" s="47"/>
      <c r="AD25" s="47"/>
      <c r="AE25" s="47"/>
    </row>
    <row r="26" spans="1:31">
      <c r="A26" s="1071" t="s">
        <v>477</v>
      </c>
      <c r="B26" s="1072"/>
      <c r="C26" s="1072"/>
      <c r="D26" s="1072"/>
      <c r="E26" s="1072"/>
      <c r="F26" s="1072"/>
      <c r="G26" s="1072"/>
      <c r="H26" s="1072"/>
      <c r="I26" s="1072"/>
      <c r="J26" s="1072"/>
      <c r="K26" s="1072"/>
      <c r="L26" s="1072"/>
      <c r="M26" s="1072"/>
      <c r="N26" s="1072"/>
      <c r="O26" s="1072"/>
      <c r="P26" s="1072"/>
      <c r="Q26" s="1072"/>
      <c r="R26" s="1071"/>
      <c r="S26" s="1073"/>
      <c r="T26" s="1073"/>
      <c r="U26" s="1073"/>
      <c r="V26" s="1073"/>
      <c r="W26" s="1073"/>
      <c r="X26" s="1073"/>
      <c r="Y26" s="1073"/>
      <c r="Z26" s="1073"/>
      <c r="AA26" s="1073"/>
      <c r="AB26" s="1073"/>
      <c r="AC26" s="1073"/>
      <c r="AD26" s="1073"/>
      <c r="AE26" s="1073"/>
    </row>
    <row r="27" spans="1:31">
      <c r="A27" s="1074">
        <v>1</v>
      </c>
      <c r="B27" s="3072" t="s">
        <v>595</v>
      </c>
      <c r="C27" s="3072"/>
      <c r="D27" s="3072"/>
      <c r="E27" s="3072"/>
      <c r="F27" s="3072"/>
      <c r="G27" s="3072"/>
      <c r="H27" s="3072"/>
      <c r="I27" s="3072"/>
      <c r="J27" s="3072"/>
      <c r="K27" s="3072"/>
      <c r="L27" s="3131"/>
      <c r="M27" s="3131"/>
      <c r="N27" s="3131"/>
      <c r="O27" s="3131"/>
      <c r="P27" s="1072"/>
      <c r="Q27" s="1072"/>
      <c r="R27" s="1071"/>
      <c r="S27" s="1073"/>
      <c r="T27" s="1073"/>
      <c r="U27" s="1073"/>
      <c r="V27" s="1073"/>
      <c r="W27" s="1073"/>
      <c r="X27" s="1073"/>
      <c r="Y27" s="1073"/>
      <c r="Z27" s="1073"/>
      <c r="AA27" s="1073"/>
      <c r="AB27" s="1073"/>
      <c r="AC27" s="1073"/>
      <c r="AD27" s="1073"/>
      <c r="AE27" s="1073"/>
    </row>
    <row r="28" spans="1:31">
      <c r="B28" s="3132"/>
      <c r="C28" s="3133"/>
      <c r="D28" s="3133"/>
      <c r="E28" s="3133"/>
      <c r="F28" s="3133"/>
      <c r="G28" s="3133"/>
      <c r="H28" s="3133"/>
      <c r="I28" s="3133"/>
      <c r="J28" s="3133"/>
      <c r="K28" s="3133"/>
      <c r="L28" s="3133"/>
      <c r="M28" s="3133"/>
      <c r="N28" s="3133"/>
      <c r="O28" s="3133"/>
      <c r="P28" s="3133"/>
      <c r="Q28" s="3133"/>
      <c r="R28" s="3133"/>
      <c r="S28" s="3133"/>
    </row>
    <row r="29" spans="1:31">
      <c r="B29" s="3132"/>
      <c r="C29" s="3133"/>
      <c r="D29" s="3133"/>
      <c r="E29" s="3133"/>
      <c r="F29" s="3133"/>
      <c r="G29" s="3133"/>
      <c r="H29" s="3133"/>
      <c r="I29" s="3133"/>
      <c r="J29" s="3133"/>
      <c r="K29" s="3133"/>
      <c r="L29" s="3133"/>
      <c r="M29" s="3133"/>
      <c r="N29" s="3133"/>
      <c r="O29" s="3133"/>
      <c r="P29" s="3133"/>
      <c r="Q29" s="3133"/>
      <c r="R29" s="3133"/>
      <c r="S29" s="3133"/>
    </row>
    <row r="30" spans="1:31">
      <c r="N30" s="1072"/>
      <c r="O30" s="1072"/>
    </row>
    <row r="31" spans="1:31">
      <c r="N31" s="1072"/>
      <c r="O31" s="1072"/>
    </row>
    <row r="32" spans="1:31">
      <c r="N32" s="1072"/>
      <c r="O32" s="1072"/>
    </row>
    <row r="33" spans="14:15">
      <c r="N33" s="1072"/>
      <c r="O33" s="1072"/>
    </row>
    <row r="35" spans="14:15">
      <c r="N35" s="1072"/>
      <c r="O35" s="1072"/>
    </row>
    <row r="36" spans="14:15">
      <c r="N36" s="1072"/>
      <c r="O36" s="1072"/>
    </row>
  </sheetData>
  <mergeCells count="9">
    <mergeCell ref="B27:O27"/>
    <mergeCell ref="B28:S28"/>
    <mergeCell ref="B29:S29"/>
    <mergeCell ref="A3:A5"/>
    <mergeCell ref="B3:C3"/>
    <mergeCell ref="L3:M3"/>
    <mergeCell ref="N3:N4"/>
    <mergeCell ref="O3:O4"/>
    <mergeCell ref="B25:C25"/>
  </mergeCells>
  <phoneticPr fontId="30"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pane="topRight"/>
      <selection pane="bottomLeft"/>
      <selection pane="bottomRight"/>
    </sheetView>
  </sheetViews>
  <sheetFormatPr defaultColWidth="9" defaultRowHeight="14.25"/>
  <cols>
    <col min="1" max="1" width="5.125" style="46" customWidth="1"/>
    <col min="2" max="2" width="29.125" style="46" customWidth="1"/>
    <col min="3" max="5" width="14.375" style="48" customWidth="1"/>
    <col min="6" max="6" width="14.375" style="46" customWidth="1"/>
    <col min="7" max="9" width="14.375" style="48" customWidth="1"/>
    <col min="10" max="10" width="14.375" style="46" customWidth="1"/>
    <col min="11" max="16384" width="9" style="46"/>
  </cols>
  <sheetData>
    <row r="1" spans="1:31" ht="16.5">
      <c r="A1" s="2186" t="str">
        <f>+封面!A3&amp;" "&amp;封面!A2</f>
        <v xml:space="preserve"> 中央再保險股份有限公司 年度檢查報表</v>
      </c>
    </row>
    <row r="2" spans="1:31">
      <c r="A2" s="907" t="s">
        <v>346</v>
      </c>
      <c r="B2" s="933"/>
      <c r="C2" s="1024"/>
      <c r="J2" s="286" t="s">
        <v>347</v>
      </c>
    </row>
    <row r="3" spans="1:31" ht="13.9" customHeight="1">
      <c r="A3" s="3137" t="s">
        <v>348</v>
      </c>
      <c r="B3" s="3140" t="s">
        <v>86</v>
      </c>
      <c r="C3" s="3143" t="s">
        <v>4102</v>
      </c>
      <c r="D3" s="3144"/>
      <c r="E3" s="3144"/>
      <c r="F3" s="3145"/>
      <c r="G3" s="3143" t="s">
        <v>4103</v>
      </c>
      <c r="H3" s="3146"/>
      <c r="I3" s="3146"/>
      <c r="J3" s="3147"/>
    </row>
    <row r="4" spans="1:31">
      <c r="A4" s="3138"/>
      <c r="B4" s="3141"/>
      <c r="C4" s="1011" t="s">
        <v>87</v>
      </c>
      <c r="D4" s="1011" t="s">
        <v>88</v>
      </c>
      <c r="E4" s="1011" t="s">
        <v>349</v>
      </c>
      <c r="F4" s="988" t="s">
        <v>350</v>
      </c>
      <c r="G4" s="1011" t="s">
        <v>87</v>
      </c>
      <c r="H4" s="1011" t="s">
        <v>88</v>
      </c>
      <c r="I4" s="1011" t="s">
        <v>349</v>
      </c>
      <c r="J4" s="988" t="s">
        <v>350</v>
      </c>
    </row>
    <row r="5" spans="1:31" s="1025" customFormat="1">
      <c r="A5" s="3139"/>
      <c r="B5" s="3142"/>
      <c r="C5" s="1014" t="s">
        <v>66</v>
      </c>
      <c r="D5" s="1016" t="s">
        <v>344</v>
      </c>
      <c r="E5" s="1014" t="s">
        <v>351</v>
      </c>
      <c r="F5" s="1015" t="s">
        <v>352</v>
      </c>
      <c r="G5" s="1014" t="s">
        <v>353</v>
      </c>
      <c r="H5" s="1016" t="s">
        <v>354</v>
      </c>
      <c r="I5" s="1014" t="s">
        <v>355</v>
      </c>
      <c r="J5" s="1015" t="s">
        <v>356</v>
      </c>
      <c r="K5" s="46"/>
      <c r="L5" s="46"/>
      <c r="M5" s="46"/>
      <c r="N5" s="46"/>
      <c r="O5" s="46"/>
      <c r="P5" s="46"/>
      <c r="Q5" s="46"/>
      <c r="R5" s="46"/>
      <c r="S5" s="46"/>
      <c r="T5" s="46"/>
      <c r="U5" s="46"/>
      <c r="V5" s="46"/>
      <c r="W5" s="46"/>
      <c r="X5" s="46"/>
      <c r="Y5" s="46"/>
      <c r="Z5" s="46"/>
      <c r="AA5" s="46"/>
      <c r="AB5" s="46"/>
      <c r="AC5" s="46"/>
      <c r="AD5" s="46"/>
      <c r="AE5" s="46"/>
    </row>
    <row r="6" spans="1:31" s="1025" customFormat="1">
      <c r="A6" s="980">
        <v>1</v>
      </c>
      <c r="B6" s="938" t="s">
        <v>4104</v>
      </c>
      <c r="C6" s="1026">
        <f>SUM(C7:C37)</f>
        <v>0</v>
      </c>
      <c r="D6" s="1026">
        <f>SUM(D7:D37)</f>
        <v>0</v>
      </c>
      <c r="E6" s="1026">
        <f>SUM(E7:E37)</f>
        <v>0</v>
      </c>
      <c r="F6" s="1027" t="str">
        <f>IF(C6=0,"",D6/C6)</f>
        <v/>
      </c>
      <c r="G6" s="1026">
        <f>SUM(G7:G37)</f>
        <v>0</v>
      </c>
      <c r="H6" s="1026">
        <f>SUM(H7:H37)</f>
        <v>0</v>
      </c>
      <c r="I6" s="1026">
        <f>SUM(I7:I37)</f>
        <v>0</v>
      </c>
      <c r="J6" s="1027" t="str">
        <f>IF(G6=0,"",H6/G6)</f>
        <v/>
      </c>
      <c r="K6" s="46"/>
      <c r="L6" s="48"/>
      <c r="M6" s="48"/>
      <c r="N6" s="48"/>
      <c r="O6" s="48"/>
      <c r="P6" s="46"/>
      <c r="Q6" s="46"/>
      <c r="R6" s="46"/>
      <c r="S6" s="46"/>
      <c r="T6" s="46"/>
      <c r="U6" s="46"/>
      <c r="V6" s="46"/>
      <c r="W6" s="46"/>
      <c r="X6" s="46"/>
      <c r="Y6" s="46"/>
      <c r="Z6" s="46"/>
      <c r="AA6" s="46"/>
      <c r="AB6" s="46"/>
      <c r="AC6" s="46"/>
      <c r="AD6" s="46"/>
      <c r="AE6" s="46"/>
    </row>
    <row r="7" spans="1:31" s="1025" customFormat="1">
      <c r="A7" s="980">
        <f>A6+1</f>
        <v>2</v>
      </c>
      <c r="B7" s="938" t="s">
        <v>4105</v>
      </c>
      <c r="C7" s="1028"/>
      <c r="D7" s="1029"/>
      <c r="E7" s="1029"/>
      <c r="F7" s="1027" t="str">
        <f t="shared" ref="F7:F47" si="0">IF(C7=0,"",D7/C7)</f>
        <v/>
      </c>
      <c r="G7" s="1028"/>
      <c r="H7" s="1029"/>
      <c r="I7" s="1029"/>
      <c r="J7" s="1027" t="str">
        <f t="shared" ref="J7:J47" si="1">IF(G7=0,"",H7/G7)</f>
        <v/>
      </c>
      <c r="K7" s="46"/>
      <c r="L7" s="48"/>
      <c r="M7" s="48"/>
      <c r="N7" s="48"/>
      <c r="O7" s="48"/>
      <c r="P7" s="46"/>
      <c r="Q7" s="46"/>
      <c r="R7" s="46"/>
      <c r="S7" s="46"/>
      <c r="T7" s="46"/>
      <c r="U7" s="46"/>
      <c r="V7" s="46"/>
      <c r="W7" s="46"/>
      <c r="X7" s="46"/>
      <c r="Y7" s="46"/>
      <c r="Z7" s="46"/>
      <c r="AA7" s="46"/>
      <c r="AB7" s="46"/>
      <c r="AC7" s="46"/>
      <c r="AD7" s="46"/>
      <c r="AE7" s="46"/>
    </row>
    <row r="8" spans="1:31" s="1032" customFormat="1">
      <c r="A8" s="980">
        <f t="shared" ref="A8:A47" si="2">A7+1</f>
        <v>3</v>
      </c>
      <c r="B8" s="943" t="s">
        <v>4106</v>
      </c>
      <c r="C8" s="1030"/>
      <c r="D8" s="1031"/>
      <c r="E8" s="1031"/>
      <c r="F8" s="1027" t="str">
        <f t="shared" si="0"/>
        <v/>
      </c>
      <c r="G8" s="1030"/>
      <c r="H8" s="1031"/>
      <c r="I8" s="1031"/>
      <c r="J8" s="1027" t="str">
        <f t="shared" si="1"/>
        <v/>
      </c>
      <c r="K8" s="46"/>
      <c r="L8" s="48"/>
      <c r="M8" s="48"/>
      <c r="N8" s="48"/>
      <c r="O8" s="48"/>
      <c r="P8" s="46"/>
      <c r="Q8" s="46"/>
      <c r="R8" s="46"/>
      <c r="S8" s="46"/>
      <c r="T8" s="46"/>
      <c r="U8" s="46"/>
      <c r="V8" s="46"/>
      <c r="W8" s="46"/>
      <c r="X8" s="46"/>
      <c r="Y8" s="46"/>
      <c r="Z8" s="46"/>
      <c r="AA8" s="46"/>
      <c r="AB8" s="46"/>
      <c r="AC8" s="46"/>
      <c r="AD8" s="46"/>
      <c r="AE8" s="46"/>
    </row>
    <row r="9" spans="1:31" s="1032" customFormat="1">
      <c r="A9" s="980">
        <f t="shared" si="2"/>
        <v>4</v>
      </c>
      <c r="B9" s="943" t="s">
        <v>4107</v>
      </c>
      <c r="C9" s="1033"/>
      <c r="D9" s="1034"/>
      <c r="E9" s="1034"/>
      <c r="F9" s="1027" t="str">
        <f t="shared" si="0"/>
        <v/>
      </c>
      <c r="G9" s="1033"/>
      <c r="H9" s="1034"/>
      <c r="I9" s="1034"/>
      <c r="J9" s="1027" t="str">
        <f t="shared" si="1"/>
        <v/>
      </c>
      <c r="K9" s="46"/>
      <c r="L9" s="48"/>
      <c r="M9" s="48"/>
      <c r="N9" s="48"/>
      <c r="O9" s="48"/>
      <c r="P9" s="46"/>
      <c r="Q9" s="46"/>
      <c r="R9" s="46"/>
      <c r="S9" s="46"/>
      <c r="T9" s="46"/>
      <c r="U9" s="46"/>
      <c r="V9" s="46"/>
      <c r="W9" s="46"/>
      <c r="X9" s="46"/>
      <c r="Y9" s="46"/>
      <c r="Z9" s="46"/>
      <c r="AA9" s="46"/>
      <c r="AB9" s="46"/>
      <c r="AC9" s="46"/>
      <c r="AD9" s="46"/>
      <c r="AE9" s="46"/>
    </row>
    <row r="10" spans="1:31" s="1032" customFormat="1">
      <c r="A10" s="980">
        <f t="shared" si="2"/>
        <v>5</v>
      </c>
      <c r="B10" s="943" t="s">
        <v>4108</v>
      </c>
      <c r="C10" s="1033"/>
      <c r="D10" s="1034"/>
      <c r="E10" s="1034"/>
      <c r="F10" s="1027" t="str">
        <f t="shared" si="0"/>
        <v/>
      </c>
      <c r="G10" s="1033"/>
      <c r="H10" s="1034"/>
      <c r="I10" s="1034"/>
      <c r="J10" s="1027" t="str">
        <f t="shared" si="1"/>
        <v/>
      </c>
      <c r="K10" s="46"/>
      <c r="L10" s="48"/>
      <c r="M10" s="48"/>
      <c r="N10" s="48"/>
      <c r="O10" s="48"/>
      <c r="P10" s="46"/>
      <c r="Q10" s="46"/>
      <c r="R10" s="46"/>
      <c r="S10" s="46"/>
      <c r="T10" s="46"/>
      <c r="U10" s="46"/>
      <c r="V10" s="46"/>
      <c r="W10" s="46"/>
      <c r="X10" s="46"/>
      <c r="Y10" s="46"/>
      <c r="Z10" s="46"/>
      <c r="AA10" s="46"/>
      <c r="AB10" s="46"/>
      <c r="AC10" s="46"/>
      <c r="AD10" s="46"/>
      <c r="AE10" s="46"/>
    </row>
    <row r="11" spans="1:31" s="1032" customFormat="1">
      <c r="A11" s="980">
        <f t="shared" si="2"/>
        <v>6</v>
      </c>
      <c r="B11" s="943" t="s">
        <v>4109</v>
      </c>
      <c r="C11" s="1033"/>
      <c r="D11" s="1034"/>
      <c r="E11" s="1034"/>
      <c r="F11" s="1027" t="str">
        <f t="shared" si="0"/>
        <v/>
      </c>
      <c r="G11" s="1033"/>
      <c r="H11" s="1034"/>
      <c r="I11" s="1034"/>
      <c r="J11" s="1027" t="str">
        <f t="shared" si="1"/>
        <v/>
      </c>
      <c r="K11" s="46"/>
      <c r="L11" s="48"/>
      <c r="M11" s="48"/>
      <c r="N11" s="48"/>
      <c r="O11" s="48"/>
      <c r="P11" s="46"/>
      <c r="Q11" s="46"/>
      <c r="R11" s="46"/>
      <c r="S11" s="46"/>
      <c r="T11" s="46"/>
      <c r="U11" s="46"/>
      <c r="V11" s="46"/>
      <c r="W11" s="46"/>
      <c r="X11" s="46"/>
      <c r="Y11" s="46"/>
      <c r="Z11" s="46"/>
      <c r="AA11" s="46"/>
      <c r="AB11" s="46"/>
      <c r="AC11" s="46"/>
      <c r="AD11" s="46"/>
      <c r="AE11" s="46"/>
    </row>
    <row r="12" spans="1:31" s="1032" customFormat="1">
      <c r="A12" s="980">
        <f t="shared" si="2"/>
        <v>7</v>
      </c>
      <c r="B12" s="943" t="s">
        <v>4110</v>
      </c>
      <c r="C12" s="1033"/>
      <c r="D12" s="1034"/>
      <c r="E12" s="1034"/>
      <c r="F12" s="1027" t="str">
        <f t="shared" si="0"/>
        <v/>
      </c>
      <c r="G12" s="1033"/>
      <c r="H12" s="1034"/>
      <c r="I12" s="1034"/>
      <c r="J12" s="1027" t="str">
        <f t="shared" si="1"/>
        <v/>
      </c>
      <c r="K12" s="46"/>
      <c r="L12" s="48"/>
      <c r="M12" s="48"/>
      <c r="N12" s="48"/>
      <c r="O12" s="48"/>
      <c r="P12" s="46"/>
      <c r="Q12" s="46"/>
      <c r="R12" s="46"/>
      <c r="S12" s="46"/>
      <c r="T12" s="46"/>
      <c r="U12" s="46"/>
      <c r="V12" s="46"/>
      <c r="W12" s="46"/>
      <c r="X12" s="46"/>
      <c r="Y12" s="46"/>
      <c r="Z12" s="46"/>
      <c r="AA12" s="46"/>
      <c r="AB12" s="46"/>
      <c r="AC12" s="46"/>
      <c r="AD12" s="46"/>
      <c r="AE12" s="46"/>
    </row>
    <row r="13" spans="1:31" s="1032" customFormat="1">
      <c r="A13" s="980">
        <f t="shared" si="2"/>
        <v>8</v>
      </c>
      <c r="B13" s="943" t="s">
        <v>4111</v>
      </c>
      <c r="C13" s="1033"/>
      <c r="D13" s="1034"/>
      <c r="E13" s="1034"/>
      <c r="F13" s="1027" t="str">
        <f t="shared" si="0"/>
        <v/>
      </c>
      <c r="G13" s="1033"/>
      <c r="H13" s="1034"/>
      <c r="I13" s="1034"/>
      <c r="J13" s="1027" t="str">
        <f t="shared" si="1"/>
        <v/>
      </c>
      <c r="K13" s="46"/>
      <c r="L13" s="48"/>
      <c r="M13" s="48"/>
      <c r="N13" s="48"/>
      <c r="O13" s="48"/>
      <c r="P13" s="46"/>
      <c r="Q13" s="46"/>
      <c r="R13" s="46"/>
      <c r="S13" s="46"/>
      <c r="T13" s="46"/>
      <c r="U13" s="46"/>
      <c r="V13" s="46"/>
      <c r="W13" s="46"/>
      <c r="X13" s="46"/>
      <c r="Y13" s="46"/>
      <c r="Z13" s="46"/>
      <c r="AA13" s="46"/>
      <c r="AB13" s="46"/>
      <c r="AC13" s="46"/>
      <c r="AD13" s="46"/>
      <c r="AE13" s="46"/>
    </row>
    <row r="14" spans="1:31" s="1032" customFormat="1">
      <c r="A14" s="980">
        <f t="shared" si="2"/>
        <v>9</v>
      </c>
      <c r="B14" s="943" t="s">
        <v>4112</v>
      </c>
      <c r="C14" s="1033"/>
      <c r="D14" s="1034"/>
      <c r="E14" s="1034"/>
      <c r="F14" s="1027" t="str">
        <f t="shared" si="0"/>
        <v/>
      </c>
      <c r="G14" s="1033"/>
      <c r="H14" s="1034"/>
      <c r="I14" s="1034"/>
      <c r="J14" s="1027" t="str">
        <f t="shared" si="1"/>
        <v/>
      </c>
      <c r="K14" s="46"/>
      <c r="L14" s="48"/>
      <c r="M14" s="48"/>
      <c r="N14" s="48"/>
      <c r="O14" s="48"/>
      <c r="P14" s="46"/>
      <c r="Q14" s="46"/>
      <c r="R14" s="46"/>
      <c r="S14" s="46"/>
      <c r="T14" s="46"/>
      <c r="U14" s="46"/>
      <c r="V14" s="46"/>
      <c r="W14" s="46"/>
      <c r="X14" s="46"/>
      <c r="Y14" s="46"/>
      <c r="Z14" s="46"/>
      <c r="AA14" s="46"/>
      <c r="AB14" s="46"/>
      <c r="AC14" s="46"/>
      <c r="AD14" s="46"/>
      <c r="AE14" s="46"/>
    </row>
    <row r="15" spans="1:31" s="1032" customFormat="1">
      <c r="A15" s="980">
        <f t="shared" si="2"/>
        <v>10</v>
      </c>
      <c r="B15" s="943" t="s">
        <v>4113</v>
      </c>
      <c r="C15" s="1033"/>
      <c r="D15" s="1034"/>
      <c r="E15" s="1034"/>
      <c r="F15" s="1027" t="str">
        <f t="shared" si="0"/>
        <v/>
      </c>
      <c r="G15" s="1033"/>
      <c r="H15" s="1034"/>
      <c r="I15" s="1034"/>
      <c r="J15" s="1027" t="str">
        <f t="shared" si="1"/>
        <v/>
      </c>
      <c r="K15" s="46"/>
      <c r="L15" s="48"/>
      <c r="M15" s="48"/>
      <c r="N15" s="48"/>
      <c r="O15" s="48"/>
      <c r="P15" s="46"/>
      <c r="Q15" s="46"/>
      <c r="R15" s="46"/>
      <c r="S15" s="46"/>
      <c r="T15" s="46"/>
      <c r="U15" s="46"/>
      <c r="V15" s="46"/>
      <c r="W15" s="46"/>
      <c r="X15" s="46"/>
      <c r="Y15" s="46"/>
      <c r="Z15" s="46"/>
      <c r="AA15" s="46"/>
      <c r="AB15" s="46"/>
      <c r="AC15" s="46"/>
      <c r="AD15" s="46"/>
      <c r="AE15" s="46"/>
    </row>
    <row r="16" spans="1:31">
      <c r="A16" s="980">
        <f t="shared" si="2"/>
        <v>11</v>
      </c>
      <c r="B16" s="943" t="s">
        <v>4114</v>
      </c>
      <c r="C16" s="1033"/>
      <c r="D16" s="1034"/>
      <c r="E16" s="1034"/>
      <c r="F16" s="1027" t="str">
        <f t="shared" si="0"/>
        <v/>
      </c>
      <c r="G16" s="1033"/>
      <c r="H16" s="1034"/>
      <c r="I16" s="1034"/>
      <c r="J16" s="1027" t="str">
        <f t="shared" si="1"/>
        <v/>
      </c>
      <c r="L16" s="48"/>
      <c r="M16" s="48"/>
      <c r="N16" s="48"/>
      <c r="O16" s="48"/>
    </row>
    <row r="17" spans="1:31">
      <c r="A17" s="980">
        <f t="shared" si="2"/>
        <v>12</v>
      </c>
      <c r="B17" s="943" t="s">
        <v>4115</v>
      </c>
      <c r="C17" s="1033"/>
      <c r="D17" s="1034"/>
      <c r="E17" s="1034"/>
      <c r="F17" s="1027" t="str">
        <f t="shared" si="0"/>
        <v/>
      </c>
      <c r="G17" s="1033"/>
      <c r="H17" s="1034"/>
      <c r="I17" s="1034"/>
      <c r="J17" s="1027" t="str">
        <f t="shared" si="1"/>
        <v/>
      </c>
      <c r="L17" s="48"/>
      <c r="M17" s="48"/>
      <c r="N17" s="48"/>
      <c r="O17" s="48"/>
    </row>
    <row r="18" spans="1:31" s="1025" customFormat="1">
      <c r="A18" s="980">
        <f t="shared" si="2"/>
        <v>13</v>
      </c>
      <c r="B18" s="943" t="s">
        <v>4116</v>
      </c>
      <c r="C18" s="1035"/>
      <c r="D18" s="1036"/>
      <c r="E18" s="1036"/>
      <c r="F18" s="1027" t="str">
        <f t="shared" si="0"/>
        <v/>
      </c>
      <c r="G18" s="1037"/>
      <c r="H18" s="1036"/>
      <c r="I18" s="1036"/>
      <c r="J18" s="1027" t="str">
        <f t="shared" si="1"/>
        <v/>
      </c>
      <c r="K18" s="46"/>
      <c r="L18" s="48"/>
      <c r="M18" s="48"/>
      <c r="N18" s="48"/>
      <c r="O18" s="48"/>
      <c r="P18" s="46"/>
      <c r="Q18" s="46"/>
      <c r="R18" s="46"/>
      <c r="S18" s="46"/>
      <c r="T18" s="46"/>
      <c r="U18" s="46"/>
      <c r="V18" s="46"/>
      <c r="W18" s="46"/>
      <c r="X18" s="46"/>
      <c r="Y18" s="46"/>
      <c r="Z18" s="46"/>
      <c r="AA18" s="46"/>
      <c r="AB18" s="46"/>
      <c r="AC18" s="46"/>
      <c r="AD18" s="46"/>
      <c r="AE18" s="46"/>
    </row>
    <row r="19" spans="1:31" s="1032" customFormat="1">
      <c r="A19" s="980">
        <f t="shared" si="2"/>
        <v>14</v>
      </c>
      <c r="B19" s="943" t="s">
        <v>4117</v>
      </c>
      <c r="C19" s="1038"/>
      <c r="D19" s="1034"/>
      <c r="E19" s="1034"/>
      <c r="F19" s="1027" t="str">
        <f t="shared" si="0"/>
        <v/>
      </c>
      <c r="G19" s="1034"/>
      <c r="H19" s="1034"/>
      <c r="I19" s="1034"/>
      <c r="J19" s="1027" t="str">
        <f t="shared" si="1"/>
        <v/>
      </c>
      <c r="K19" s="46"/>
      <c r="L19" s="48"/>
      <c r="M19" s="48"/>
      <c r="N19" s="48"/>
      <c r="O19" s="48"/>
      <c r="P19" s="46"/>
      <c r="Q19" s="46"/>
      <c r="R19" s="46"/>
      <c r="S19" s="46"/>
      <c r="T19" s="46"/>
      <c r="U19" s="46"/>
      <c r="V19" s="46"/>
      <c r="W19" s="46"/>
      <c r="X19" s="46"/>
      <c r="Y19" s="46"/>
      <c r="Z19" s="46"/>
      <c r="AA19" s="46"/>
      <c r="AB19" s="46"/>
      <c r="AC19" s="46"/>
      <c r="AD19" s="46"/>
      <c r="AE19" s="46"/>
    </row>
    <row r="20" spans="1:31" s="1032" customFormat="1">
      <c r="A20" s="980">
        <f t="shared" si="2"/>
        <v>15</v>
      </c>
      <c r="B20" s="943" t="s">
        <v>4118</v>
      </c>
      <c r="C20" s="1026"/>
      <c r="D20" s="1026"/>
      <c r="E20" s="1026"/>
      <c r="F20" s="1027" t="str">
        <f t="shared" si="0"/>
        <v/>
      </c>
      <c r="G20" s="1026"/>
      <c r="H20" s="1026"/>
      <c r="I20" s="1026"/>
      <c r="J20" s="1027" t="str">
        <f t="shared" si="1"/>
        <v/>
      </c>
      <c r="K20" s="46"/>
      <c r="L20" s="48"/>
      <c r="M20" s="48"/>
      <c r="N20" s="48"/>
      <c r="O20" s="48"/>
      <c r="P20" s="46"/>
      <c r="Q20" s="46"/>
      <c r="R20" s="46"/>
      <c r="S20" s="46"/>
      <c r="T20" s="46"/>
      <c r="U20" s="46"/>
      <c r="V20" s="46"/>
      <c r="W20" s="46"/>
      <c r="X20" s="46"/>
      <c r="Y20" s="46"/>
      <c r="Z20" s="46"/>
      <c r="AA20" s="46"/>
      <c r="AB20" s="46"/>
      <c r="AC20" s="46"/>
      <c r="AD20" s="46"/>
      <c r="AE20" s="46"/>
    </row>
    <row r="21" spans="1:31" s="1039" customFormat="1">
      <c r="A21" s="980">
        <f t="shared" si="2"/>
        <v>16</v>
      </c>
      <c r="B21" s="943" t="s">
        <v>4119</v>
      </c>
      <c r="C21" s="1026"/>
      <c r="D21" s="1026"/>
      <c r="E21" s="1026"/>
      <c r="F21" s="1027" t="str">
        <f t="shared" si="0"/>
        <v/>
      </c>
      <c r="G21" s="1026"/>
      <c r="H21" s="1026"/>
      <c r="I21" s="1026"/>
      <c r="J21" s="1027" t="str">
        <f t="shared" si="1"/>
        <v/>
      </c>
      <c r="K21" s="46"/>
      <c r="L21" s="48"/>
      <c r="M21" s="48"/>
      <c r="N21" s="48"/>
      <c r="O21" s="48"/>
      <c r="P21" s="46"/>
      <c r="Q21" s="46"/>
      <c r="R21" s="46"/>
      <c r="S21" s="46"/>
      <c r="T21" s="46"/>
      <c r="U21" s="46"/>
      <c r="V21" s="46"/>
      <c r="W21" s="46"/>
      <c r="X21" s="46"/>
      <c r="Y21" s="46"/>
      <c r="Z21" s="46"/>
      <c r="AA21" s="46"/>
      <c r="AB21" s="46"/>
      <c r="AC21" s="46"/>
      <c r="AD21" s="46"/>
      <c r="AE21" s="46"/>
    </row>
    <row r="22" spans="1:31">
      <c r="A22" s="980">
        <f t="shared" si="2"/>
        <v>17</v>
      </c>
      <c r="B22" s="943" t="s">
        <v>4120</v>
      </c>
      <c r="C22" s="1028"/>
      <c r="D22" s="1028"/>
      <c r="E22" s="1028"/>
      <c r="F22" s="1027" t="str">
        <f t="shared" si="0"/>
        <v/>
      </c>
      <c r="G22" s="1028"/>
      <c r="H22" s="1028"/>
      <c r="I22" s="1028"/>
      <c r="J22" s="1027" t="str">
        <f t="shared" si="1"/>
        <v/>
      </c>
      <c r="L22" s="48"/>
      <c r="M22" s="48"/>
      <c r="N22" s="48"/>
      <c r="O22" s="48"/>
    </row>
    <row r="23" spans="1:31">
      <c r="A23" s="980">
        <f t="shared" si="2"/>
        <v>18</v>
      </c>
      <c r="B23" s="943" t="s">
        <v>4121</v>
      </c>
      <c r="C23" s="1028"/>
      <c r="D23" s="1028"/>
      <c r="E23" s="1028"/>
      <c r="F23" s="1027" t="str">
        <f t="shared" si="0"/>
        <v/>
      </c>
      <c r="G23" s="1028"/>
      <c r="H23" s="1028"/>
      <c r="I23" s="1028"/>
      <c r="J23" s="1027" t="str">
        <f t="shared" si="1"/>
        <v/>
      </c>
      <c r="L23" s="48"/>
      <c r="M23" s="48"/>
      <c r="N23" s="48"/>
      <c r="O23" s="48"/>
    </row>
    <row r="24" spans="1:31">
      <c r="A24" s="980">
        <f t="shared" si="2"/>
        <v>19</v>
      </c>
      <c r="B24" s="943" t="s">
        <v>4122</v>
      </c>
      <c r="C24" s="1028"/>
      <c r="D24" s="1028"/>
      <c r="E24" s="1028"/>
      <c r="F24" s="1027" t="str">
        <f t="shared" si="0"/>
        <v/>
      </c>
      <c r="G24" s="1028"/>
      <c r="H24" s="1028"/>
      <c r="I24" s="1028"/>
      <c r="J24" s="1027" t="str">
        <f t="shared" si="1"/>
        <v/>
      </c>
      <c r="L24" s="48"/>
      <c r="M24" s="48"/>
      <c r="N24" s="48"/>
      <c r="O24" s="48"/>
    </row>
    <row r="25" spans="1:31">
      <c r="A25" s="980">
        <f t="shared" si="2"/>
        <v>20</v>
      </c>
      <c r="B25" s="943" t="s">
        <v>4123</v>
      </c>
      <c r="C25" s="1040"/>
      <c r="D25" s="1028"/>
      <c r="E25" s="1028"/>
      <c r="F25" s="1027" t="str">
        <f t="shared" si="0"/>
        <v/>
      </c>
      <c r="G25" s="1028"/>
      <c r="H25" s="1028"/>
      <c r="I25" s="1028"/>
      <c r="J25" s="1027" t="str">
        <f t="shared" si="1"/>
        <v/>
      </c>
      <c r="L25" s="48"/>
      <c r="M25" s="48"/>
      <c r="N25" s="48"/>
      <c r="O25" s="48"/>
    </row>
    <row r="26" spans="1:31">
      <c r="A26" s="980">
        <f t="shared" si="2"/>
        <v>21</v>
      </c>
      <c r="B26" s="943" t="s">
        <v>4124</v>
      </c>
      <c r="C26" s="1028"/>
      <c r="D26" s="1028"/>
      <c r="E26" s="1028"/>
      <c r="F26" s="1027" t="str">
        <f t="shared" si="0"/>
        <v/>
      </c>
      <c r="G26" s="1028"/>
      <c r="H26" s="1028"/>
      <c r="I26" s="1028"/>
      <c r="J26" s="1027" t="str">
        <f t="shared" si="1"/>
        <v/>
      </c>
      <c r="L26" s="48"/>
      <c r="M26" s="48"/>
      <c r="N26" s="48"/>
      <c r="O26" s="48"/>
    </row>
    <row r="27" spans="1:31">
      <c r="A27" s="980">
        <f t="shared" si="2"/>
        <v>22</v>
      </c>
      <c r="B27" s="943" t="s">
        <v>4125</v>
      </c>
      <c r="C27" s="1040"/>
      <c r="D27" s="1028"/>
      <c r="E27" s="1028"/>
      <c r="F27" s="1027" t="str">
        <f t="shared" si="0"/>
        <v/>
      </c>
      <c r="G27" s="1028"/>
      <c r="H27" s="1028"/>
      <c r="I27" s="1028"/>
      <c r="J27" s="1027" t="str">
        <f t="shared" si="1"/>
        <v/>
      </c>
      <c r="L27" s="48"/>
      <c r="M27" s="48"/>
      <c r="N27" s="48"/>
      <c r="O27" s="48"/>
    </row>
    <row r="28" spans="1:31">
      <c r="A28" s="980">
        <f t="shared" si="2"/>
        <v>23</v>
      </c>
      <c r="B28" s="943" t="s">
        <v>4126</v>
      </c>
      <c r="C28" s="1040"/>
      <c r="D28" s="1028"/>
      <c r="E28" s="1028"/>
      <c r="F28" s="1027" t="str">
        <f t="shared" si="0"/>
        <v/>
      </c>
      <c r="G28" s="1028"/>
      <c r="H28" s="1028"/>
      <c r="I28" s="1028"/>
      <c r="J28" s="1027" t="str">
        <f t="shared" si="1"/>
        <v/>
      </c>
      <c r="L28" s="48"/>
      <c r="M28" s="48"/>
      <c r="N28" s="48"/>
      <c r="O28" s="48"/>
    </row>
    <row r="29" spans="1:31">
      <c r="A29" s="980">
        <f t="shared" si="2"/>
        <v>24</v>
      </c>
      <c r="B29" s="943" t="s">
        <v>4127</v>
      </c>
      <c r="C29" s="1040"/>
      <c r="D29" s="1028"/>
      <c r="E29" s="1028"/>
      <c r="F29" s="1027" t="str">
        <f t="shared" si="0"/>
        <v/>
      </c>
      <c r="G29" s="1028"/>
      <c r="H29" s="1028"/>
      <c r="I29" s="1028"/>
      <c r="J29" s="1027" t="str">
        <f t="shared" si="1"/>
        <v/>
      </c>
      <c r="L29" s="48"/>
      <c r="M29" s="48"/>
      <c r="N29" s="48"/>
      <c r="O29" s="48"/>
    </row>
    <row r="30" spans="1:31">
      <c r="A30" s="980">
        <f t="shared" si="2"/>
        <v>25</v>
      </c>
      <c r="B30" s="943" t="s">
        <v>4128</v>
      </c>
      <c r="C30" s="1041"/>
      <c r="D30" s="1042"/>
      <c r="E30" s="1042"/>
      <c r="F30" s="1027" t="str">
        <f t="shared" si="0"/>
        <v/>
      </c>
      <c r="G30" s="1042"/>
      <c r="H30" s="1042"/>
      <c r="I30" s="1042"/>
      <c r="J30" s="1027" t="str">
        <f t="shared" si="1"/>
        <v/>
      </c>
      <c r="L30" s="48"/>
      <c r="M30" s="48"/>
      <c r="N30" s="48"/>
      <c r="O30" s="48"/>
    </row>
    <row r="31" spans="1:31" ht="12.75" customHeight="1">
      <c r="A31" s="980">
        <f t="shared" si="2"/>
        <v>26</v>
      </c>
      <c r="B31" s="944" t="s">
        <v>4129</v>
      </c>
      <c r="C31" s="1041"/>
      <c r="D31" s="1042"/>
      <c r="E31" s="1042"/>
      <c r="F31" s="1027" t="str">
        <f t="shared" si="0"/>
        <v/>
      </c>
      <c r="G31" s="1042"/>
      <c r="H31" s="1042"/>
      <c r="I31" s="1042"/>
      <c r="J31" s="1027" t="str">
        <f t="shared" si="1"/>
        <v/>
      </c>
      <c r="L31" s="48"/>
      <c r="M31" s="48"/>
      <c r="N31" s="48"/>
      <c r="O31" s="48"/>
    </row>
    <row r="32" spans="1:31">
      <c r="A32" s="980">
        <f t="shared" si="2"/>
        <v>27</v>
      </c>
      <c r="B32" s="943" t="s">
        <v>4130</v>
      </c>
      <c r="C32" s="1040"/>
      <c r="D32" s="1028"/>
      <c r="E32" s="1028"/>
      <c r="F32" s="1027" t="str">
        <f t="shared" si="0"/>
        <v/>
      </c>
      <c r="G32" s="1028"/>
      <c r="H32" s="1028"/>
      <c r="I32" s="1028"/>
      <c r="J32" s="1027" t="str">
        <f t="shared" si="1"/>
        <v/>
      </c>
      <c r="L32" s="48"/>
      <c r="M32" s="48"/>
      <c r="N32" s="48"/>
      <c r="O32" s="48"/>
    </row>
    <row r="33" spans="1:15">
      <c r="A33" s="980">
        <f t="shared" si="2"/>
        <v>28</v>
      </c>
      <c r="B33" s="943" t="s">
        <v>4131</v>
      </c>
      <c r="C33" s="1040"/>
      <c r="D33" s="1028"/>
      <c r="E33" s="1028"/>
      <c r="F33" s="1027" t="str">
        <f t="shared" si="0"/>
        <v/>
      </c>
      <c r="G33" s="1028"/>
      <c r="H33" s="1028"/>
      <c r="I33" s="1028"/>
      <c r="J33" s="1027" t="str">
        <f>IF(G33=0,"",H33/G33)</f>
        <v/>
      </c>
      <c r="L33" s="48"/>
      <c r="M33" s="48"/>
      <c r="N33" s="48"/>
      <c r="O33" s="48"/>
    </row>
    <row r="34" spans="1:15">
      <c r="A34" s="980">
        <f t="shared" si="2"/>
        <v>29</v>
      </c>
      <c r="B34" s="943" t="s">
        <v>4132</v>
      </c>
      <c r="C34" s="1040"/>
      <c r="D34" s="1028"/>
      <c r="E34" s="1028"/>
      <c r="F34" s="1027" t="str">
        <f t="shared" si="0"/>
        <v/>
      </c>
      <c r="G34" s="1028"/>
      <c r="H34" s="1028"/>
      <c r="I34" s="1028"/>
      <c r="J34" s="1027" t="str">
        <f t="shared" ref="J34:J37" si="3">IF(G34=0,"",H34/G34)</f>
        <v/>
      </c>
      <c r="L34" s="48"/>
      <c r="M34" s="48"/>
      <c r="N34" s="48"/>
      <c r="O34" s="48"/>
    </row>
    <row r="35" spans="1:15">
      <c r="A35" s="980">
        <f t="shared" si="2"/>
        <v>30</v>
      </c>
      <c r="B35" s="943" t="s">
        <v>4133</v>
      </c>
      <c r="C35" s="1040"/>
      <c r="D35" s="1028"/>
      <c r="E35" s="1028"/>
      <c r="F35" s="1027" t="str">
        <f t="shared" si="0"/>
        <v/>
      </c>
      <c r="G35" s="1028"/>
      <c r="H35" s="1028"/>
      <c r="I35" s="1028"/>
      <c r="J35" s="1027" t="str">
        <f t="shared" si="3"/>
        <v/>
      </c>
      <c r="L35" s="48"/>
      <c r="M35" s="48"/>
      <c r="N35" s="48"/>
      <c r="O35" s="48"/>
    </row>
    <row r="36" spans="1:15">
      <c r="A36" s="980">
        <f t="shared" si="2"/>
        <v>31</v>
      </c>
      <c r="B36" s="2176" t="s">
        <v>672</v>
      </c>
      <c r="C36" s="1040"/>
      <c r="D36" s="1028"/>
      <c r="E36" s="1028"/>
      <c r="F36" s="1027" t="str">
        <f t="shared" si="0"/>
        <v/>
      </c>
      <c r="G36" s="1028"/>
      <c r="H36" s="1028"/>
      <c r="I36" s="1028"/>
      <c r="J36" s="1027" t="str">
        <f t="shared" si="3"/>
        <v/>
      </c>
      <c r="L36" s="48"/>
      <c r="M36" s="48"/>
      <c r="N36" s="48"/>
      <c r="O36" s="48"/>
    </row>
    <row r="37" spans="1:15">
      <c r="A37" s="980">
        <f t="shared" si="2"/>
        <v>32</v>
      </c>
      <c r="B37" s="913" t="s">
        <v>4989</v>
      </c>
      <c r="C37" s="1040"/>
      <c r="D37" s="1028"/>
      <c r="E37" s="1028"/>
      <c r="F37" s="1027" t="str">
        <f t="shared" si="0"/>
        <v/>
      </c>
      <c r="G37" s="1028"/>
      <c r="H37" s="1028"/>
      <c r="I37" s="1028"/>
      <c r="J37" s="1027" t="str">
        <f t="shared" si="3"/>
        <v/>
      </c>
      <c r="L37" s="48"/>
      <c r="M37" s="48"/>
      <c r="N37" s="48"/>
      <c r="O37" s="48"/>
    </row>
    <row r="38" spans="1:15">
      <c r="A38" s="980">
        <f t="shared" si="2"/>
        <v>33</v>
      </c>
      <c r="B38" s="945" t="s">
        <v>4134</v>
      </c>
      <c r="C38" s="1040">
        <f>SUM(C39:C46)</f>
        <v>0</v>
      </c>
      <c r="D38" s="1040">
        <f>SUM(D39:D46)</f>
        <v>0</v>
      </c>
      <c r="E38" s="1040">
        <f>SUM(E39:E46)</f>
        <v>0</v>
      </c>
      <c r="F38" s="1027" t="str">
        <f t="shared" si="0"/>
        <v/>
      </c>
      <c r="G38" s="1028">
        <f>SUM(G39:G46)</f>
        <v>0</v>
      </c>
      <c r="H38" s="1028">
        <f>SUM(H39:H46)</f>
        <v>0</v>
      </c>
      <c r="I38" s="1028">
        <f>SUM(I39:I46)</f>
        <v>0</v>
      </c>
      <c r="J38" s="1027" t="str">
        <f t="shared" si="1"/>
        <v/>
      </c>
      <c r="L38" s="48"/>
      <c r="M38" s="48"/>
      <c r="N38" s="48"/>
      <c r="O38" s="48"/>
    </row>
    <row r="39" spans="1:15">
      <c r="A39" s="980">
        <f t="shared" si="2"/>
        <v>34</v>
      </c>
      <c r="B39" s="943" t="s">
        <v>4135</v>
      </c>
      <c r="C39" s="1028"/>
      <c r="D39" s="1028"/>
      <c r="E39" s="1028"/>
      <c r="F39" s="1027" t="str">
        <f t="shared" si="0"/>
        <v/>
      </c>
      <c r="G39" s="1028"/>
      <c r="H39" s="1028"/>
      <c r="I39" s="1028"/>
      <c r="J39" s="1027" t="str">
        <f t="shared" si="1"/>
        <v/>
      </c>
      <c r="L39" s="48"/>
      <c r="M39" s="48"/>
      <c r="N39" s="48"/>
      <c r="O39" s="48"/>
    </row>
    <row r="40" spans="1:15" ht="13.9" customHeight="1">
      <c r="A40" s="980">
        <f t="shared" si="2"/>
        <v>35</v>
      </c>
      <c r="B40" s="943" t="s">
        <v>4136</v>
      </c>
      <c r="C40" s="1028"/>
      <c r="D40" s="1028"/>
      <c r="E40" s="1028"/>
      <c r="F40" s="1027" t="str">
        <f t="shared" si="0"/>
        <v/>
      </c>
      <c r="G40" s="1028"/>
      <c r="H40" s="1028"/>
      <c r="I40" s="1028"/>
      <c r="J40" s="1027" t="str">
        <f t="shared" si="1"/>
        <v/>
      </c>
      <c r="L40" s="48"/>
      <c r="M40" s="48"/>
      <c r="N40" s="48"/>
      <c r="O40" s="48"/>
    </row>
    <row r="41" spans="1:15">
      <c r="A41" s="980">
        <f t="shared" si="2"/>
        <v>36</v>
      </c>
      <c r="B41" s="943" t="s">
        <v>4137</v>
      </c>
      <c r="C41" s="1043"/>
      <c r="D41" s="1028"/>
      <c r="E41" s="1028"/>
      <c r="F41" s="1027" t="str">
        <f t="shared" si="0"/>
        <v/>
      </c>
      <c r="G41" s="1043"/>
      <c r="H41" s="1028"/>
      <c r="I41" s="1028"/>
      <c r="J41" s="1027" t="str">
        <f t="shared" si="1"/>
        <v/>
      </c>
      <c r="L41" s="48"/>
      <c r="M41" s="48"/>
      <c r="N41" s="48"/>
      <c r="O41" s="48"/>
    </row>
    <row r="42" spans="1:15">
      <c r="A42" s="980">
        <f t="shared" si="2"/>
        <v>37</v>
      </c>
      <c r="B42" s="943" t="s">
        <v>4138</v>
      </c>
      <c r="C42" s="1043"/>
      <c r="D42" s="1028"/>
      <c r="E42" s="1028"/>
      <c r="F42" s="1027" t="str">
        <f t="shared" si="0"/>
        <v/>
      </c>
      <c r="G42" s="1043"/>
      <c r="H42" s="1028"/>
      <c r="I42" s="1028"/>
      <c r="J42" s="1027" t="str">
        <f t="shared" si="1"/>
        <v/>
      </c>
      <c r="L42" s="48"/>
      <c r="M42" s="48"/>
      <c r="N42" s="48"/>
      <c r="O42" s="48"/>
    </row>
    <row r="43" spans="1:15">
      <c r="A43" s="980">
        <f t="shared" si="2"/>
        <v>38</v>
      </c>
      <c r="B43" s="943" t="s">
        <v>4139</v>
      </c>
      <c r="C43" s="1043"/>
      <c r="D43" s="1028"/>
      <c r="E43" s="1028"/>
      <c r="F43" s="1027" t="str">
        <f t="shared" si="0"/>
        <v/>
      </c>
      <c r="G43" s="1043"/>
      <c r="H43" s="1028"/>
      <c r="I43" s="1028"/>
      <c r="J43" s="1027" t="str">
        <f t="shared" si="1"/>
        <v/>
      </c>
      <c r="L43" s="48"/>
      <c r="M43" s="48"/>
      <c r="N43" s="48"/>
      <c r="O43" s="48"/>
    </row>
    <row r="44" spans="1:15">
      <c r="A44" s="980">
        <f t="shared" si="2"/>
        <v>39</v>
      </c>
      <c r="B44" s="943" t="s">
        <v>4140</v>
      </c>
      <c r="C44" s="1043"/>
      <c r="D44" s="1028"/>
      <c r="E44" s="1028"/>
      <c r="F44" s="1027" t="str">
        <f t="shared" si="0"/>
        <v/>
      </c>
      <c r="G44" s="1043"/>
      <c r="H44" s="1028"/>
      <c r="I44" s="1028"/>
      <c r="J44" s="1027" t="str">
        <f t="shared" si="1"/>
        <v/>
      </c>
      <c r="L44" s="48"/>
      <c r="M44" s="48"/>
      <c r="N44" s="48"/>
      <c r="O44" s="48"/>
    </row>
    <row r="45" spans="1:15">
      <c r="A45" s="980">
        <f t="shared" si="2"/>
        <v>40</v>
      </c>
      <c r="B45" s="943" t="s">
        <v>4141</v>
      </c>
      <c r="C45" s="1043"/>
      <c r="D45" s="1028"/>
      <c r="E45" s="1028"/>
      <c r="F45" s="1027" t="str">
        <f t="shared" si="0"/>
        <v/>
      </c>
      <c r="G45" s="1043"/>
      <c r="H45" s="1028"/>
      <c r="I45" s="1028"/>
      <c r="J45" s="1027" t="str">
        <f t="shared" si="1"/>
        <v/>
      </c>
      <c r="L45" s="48"/>
      <c r="M45" s="48"/>
      <c r="N45" s="48"/>
      <c r="O45" s="48"/>
    </row>
    <row r="46" spans="1:15">
      <c r="A46" s="980">
        <f t="shared" si="2"/>
        <v>41</v>
      </c>
      <c r="B46" s="943" t="s">
        <v>4142</v>
      </c>
      <c r="C46" s="1044"/>
      <c r="D46" s="1028"/>
      <c r="E46" s="1028"/>
      <c r="F46" s="1027" t="str">
        <f t="shared" si="0"/>
        <v/>
      </c>
      <c r="G46" s="1043"/>
      <c r="H46" s="1028"/>
      <c r="I46" s="1028"/>
      <c r="J46" s="1027" t="str">
        <f t="shared" si="1"/>
        <v/>
      </c>
      <c r="L46" s="48"/>
      <c r="M46" s="48"/>
      <c r="N46" s="48"/>
      <c r="O46" s="48"/>
    </row>
    <row r="47" spans="1:15">
      <c r="A47" s="980">
        <f t="shared" si="2"/>
        <v>42</v>
      </c>
      <c r="B47" s="947" t="s">
        <v>3638</v>
      </c>
      <c r="C47" s="1043">
        <f>C6+C38</f>
        <v>0</v>
      </c>
      <c r="D47" s="1043">
        <f>D6+D38</f>
        <v>0</v>
      </c>
      <c r="E47" s="1043">
        <f>E6+E38</f>
        <v>0</v>
      </c>
      <c r="F47" s="1027" t="str">
        <f t="shared" si="0"/>
        <v/>
      </c>
      <c r="G47" s="1043">
        <f>G6+G38</f>
        <v>0</v>
      </c>
      <c r="H47" s="1043">
        <f>H6+H38</f>
        <v>0</v>
      </c>
      <c r="I47" s="1043">
        <f>I6+I38</f>
        <v>0</v>
      </c>
      <c r="J47" s="1027" t="str">
        <f t="shared" si="1"/>
        <v/>
      </c>
      <c r="L47" s="48"/>
      <c r="M47" s="48"/>
      <c r="N47" s="48"/>
      <c r="O47" s="48"/>
    </row>
    <row r="48" spans="1:15">
      <c r="A48" s="1045" t="s">
        <v>4165</v>
      </c>
      <c r="B48" s="1046" t="s">
        <v>4166</v>
      </c>
      <c r="C48" s="1047">
        <f>C47-SUM(C20:C22)-C35</f>
        <v>0</v>
      </c>
      <c r="D48" s="1047">
        <f>D47-SUM(D20:D22)-D35</f>
        <v>0</v>
      </c>
      <c r="E48" s="1047">
        <f>E47-SUM(E20:E22)-E35</f>
        <v>0</v>
      </c>
      <c r="F48" s="1048"/>
      <c r="G48" s="1049">
        <f>G47-G20-G21-G22-G35</f>
        <v>0</v>
      </c>
      <c r="H48" s="1049">
        <f>H47-H20-H21-H22-H35</f>
        <v>0</v>
      </c>
      <c r="I48" s="1049">
        <f>I47-I20-I21-I22-I35</f>
        <v>0</v>
      </c>
      <c r="J48" s="1048"/>
    </row>
    <row r="49" spans="1:10">
      <c r="A49" s="1023">
        <v>1</v>
      </c>
      <c r="B49" s="46" t="s">
        <v>430</v>
      </c>
      <c r="C49" s="1050"/>
      <c r="D49" s="1050"/>
      <c r="E49" s="1050"/>
      <c r="F49" s="1051"/>
      <c r="G49" s="1052"/>
      <c r="H49" s="1052"/>
      <c r="I49" s="1052"/>
      <c r="J49" s="1053"/>
    </row>
    <row r="50" spans="1:10">
      <c r="A50" s="1023">
        <v>2</v>
      </c>
      <c r="B50" s="46" t="s">
        <v>431</v>
      </c>
      <c r="C50" s="1052"/>
      <c r="D50" s="1052"/>
      <c r="E50" s="1052"/>
      <c r="F50" s="1053"/>
      <c r="G50" s="1052"/>
      <c r="H50" s="1052"/>
      <c r="I50" s="1052"/>
      <c r="J50" s="1053"/>
    </row>
    <row r="51" spans="1:10">
      <c r="A51" s="1023">
        <v>3</v>
      </c>
      <c r="B51" s="46" t="s">
        <v>4164</v>
      </c>
    </row>
    <row r="52" spans="1:10">
      <c r="A52" s="1023"/>
    </row>
    <row r="53" spans="1:10">
      <c r="A53" s="1023"/>
    </row>
  </sheetData>
  <mergeCells count="4">
    <mergeCell ref="A3:A5"/>
    <mergeCell ref="B3:B5"/>
    <mergeCell ref="C3:F3"/>
    <mergeCell ref="G3:J3"/>
  </mergeCells>
  <phoneticPr fontId="32"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heetViews>
  <sheetFormatPr defaultColWidth="9.625" defaultRowHeight="14.25"/>
  <cols>
    <col min="1" max="1" width="5.125" style="50" customWidth="1"/>
    <col min="2" max="2" width="55.25" style="50" bestFit="1" customWidth="1"/>
    <col min="3" max="3" width="14.125" style="52" customWidth="1"/>
    <col min="4" max="4" width="12.625" style="52" customWidth="1"/>
    <col min="5" max="5" width="13.375" style="52" customWidth="1"/>
    <col min="6" max="6" width="13.5" style="50" customWidth="1"/>
    <col min="7" max="7" width="13.125" style="52" customWidth="1"/>
    <col min="8" max="8" width="12.875" style="52" customWidth="1"/>
    <col min="9" max="9" width="12.625" style="52" customWidth="1"/>
    <col min="10" max="10" width="14" style="50" customWidth="1"/>
    <col min="11" max="11" width="8.625" style="50" customWidth="1"/>
    <col min="12" max="12" width="9.75" style="50" customWidth="1"/>
    <col min="13" max="13" width="11.25" style="50" customWidth="1"/>
    <col min="14" max="14" width="9.375" style="50" customWidth="1"/>
    <col min="15" max="15" width="8.5" style="50" customWidth="1"/>
    <col min="16" max="16" width="12.875" style="50" customWidth="1"/>
    <col min="17" max="17" width="8.625" style="50" customWidth="1"/>
    <col min="18" max="18" width="9.75" style="50" customWidth="1"/>
    <col min="19" max="19" width="11.25" style="50" customWidth="1"/>
    <col min="20" max="20" width="9.375" style="50" customWidth="1"/>
    <col min="21" max="21" width="8.5" style="50" customWidth="1"/>
    <col min="22" max="22" width="12.875" style="50" customWidth="1"/>
    <col min="23" max="16384" width="9.625" style="50"/>
  </cols>
  <sheetData>
    <row r="1" spans="1:22" ht="15.75" customHeight="1">
      <c r="A1" s="2186" t="str">
        <f>+封面!A3&amp;" "&amp;封面!A2</f>
        <v xml:space="preserve"> 中央再保險股份有限公司 年度檢查報表</v>
      </c>
      <c r="B1" s="49"/>
      <c r="C1" s="51"/>
      <c r="D1" s="51"/>
      <c r="E1" s="51"/>
      <c r="F1" s="49"/>
      <c r="G1" s="51"/>
      <c r="H1" s="51"/>
      <c r="I1" s="51"/>
      <c r="J1" s="49"/>
      <c r="K1" s="1007"/>
      <c r="L1" s="1007"/>
      <c r="M1" s="1007"/>
      <c r="N1" s="1007"/>
      <c r="O1" s="1007"/>
      <c r="P1" s="1007"/>
      <c r="Q1" s="1007"/>
      <c r="R1" s="1007"/>
      <c r="S1" s="1007"/>
      <c r="T1" s="1007"/>
      <c r="U1" s="1007"/>
      <c r="V1" s="1007"/>
    </row>
    <row r="2" spans="1:22" ht="15.75" customHeight="1">
      <c r="A2" s="933" t="s">
        <v>432</v>
      </c>
      <c r="B2" s="998"/>
      <c r="C2" s="1008"/>
      <c r="J2" s="286" t="s">
        <v>347</v>
      </c>
      <c r="K2" s="998"/>
      <c r="Q2" s="998"/>
    </row>
    <row r="3" spans="1:22" ht="16.5">
      <c r="A3" s="3148" t="s">
        <v>433</v>
      </c>
      <c r="B3" s="3149" t="s">
        <v>434</v>
      </c>
      <c r="C3" s="3150" t="s">
        <v>4102</v>
      </c>
      <c r="D3" s="3144"/>
      <c r="E3" s="3144"/>
      <c r="F3" s="3145"/>
      <c r="G3" s="3143" t="s">
        <v>4161</v>
      </c>
      <c r="H3" s="3146"/>
      <c r="I3" s="3146"/>
      <c r="J3" s="3147"/>
    </row>
    <row r="4" spans="1:22">
      <c r="A4" s="3148"/>
      <c r="B4" s="3149"/>
      <c r="C4" s="1009" t="s">
        <v>87</v>
      </c>
      <c r="D4" s="1010" t="s">
        <v>88</v>
      </c>
      <c r="E4" s="1011" t="s">
        <v>349</v>
      </c>
      <c r="F4" s="988" t="s">
        <v>350</v>
      </c>
      <c r="G4" s="1011" t="s">
        <v>87</v>
      </c>
      <c r="H4" s="1011" t="s">
        <v>88</v>
      </c>
      <c r="I4" s="1011" t="s">
        <v>349</v>
      </c>
      <c r="J4" s="988" t="s">
        <v>350</v>
      </c>
    </row>
    <row r="5" spans="1:22">
      <c r="A5" s="3148"/>
      <c r="B5" s="3149"/>
      <c r="C5" s="1012" t="s">
        <v>66</v>
      </c>
      <c r="D5" s="1013" t="s">
        <v>344</v>
      </c>
      <c r="E5" s="1014" t="s">
        <v>351</v>
      </c>
      <c r="F5" s="1015" t="s">
        <v>352</v>
      </c>
      <c r="G5" s="1014" t="s">
        <v>353</v>
      </c>
      <c r="H5" s="1016" t="s">
        <v>354</v>
      </c>
      <c r="I5" s="1014" t="s">
        <v>355</v>
      </c>
      <c r="J5" s="1015" t="s">
        <v>356</v>
      </c>
    </row>
    <row r="6" spans="1:22" ht="18" customHeight="1">
      <c r="A6" s="980">
        <v>1</v>
      </c>
      <c r="B6" s="989" t="s">
        <v>4162</v>
      </c>
      <c r="C6" s="1000">
        <f>SUM(C7:C13)</f>
        <v>0</v>
      </c>
      <c r="D6" s="1000">
        <f>SUM(D7:D13)</f>
        <v>0</v>
      </c>
      <c r="E6" s="1000">
        <f>SUM(E7:E13)</f>
        <v>0</v>
      </c>
      <c r="F6" s="1017" t="str">
        <f>IF(C6=0,"",(D6-D12-D13)/(C6-C12-C13))</f>
        <v/>
      </c>
      <c r="G6" s="1000">
        <f>SUM(G7:G13)</f>
        <v>0</v>
      </c>
      <c r="H6" s="1000">
        <f>SUM(H7:H13)</f>
        <v>0</v>
      </c>
      <c r="I6" s="1000">
        <f>SUM(I7:I13)</f>
        <v>0</v>
      </c>
      <c r="J6" s="1017" t="str">
        <f>IF(G6=0,"",(H6-H12-H13)/(G6-G12-G13))</f>
        <v/>
      </c>
      <c r="K6" s="52"/>
      <c r="L6" s="52"/>
      <c r="M6" s="52"/>
      <c r="N6" s="52"/>
    </row>
    <row r="7" spans="1:22" ht="18" customHeight="1">
      <c r="A7" s="980">
        <v>2</v>
      </c>
      <c r="B7" s="989" t="s">
        <v>4156</v>
      </c>
      <c r="C7" s="1000"/>
      <c r="D7" s="1000"/>
      <c r="E7" s="1000"/>
      <c r="F7" s="1018" t="str">
        <f t="shared" ref="F7:F19" si="0">IF(C7=0,"",D7/C7)</f>
        <v/>
      </c>
      <c r="G7" s="1000"/>
      <c r="H7" s="1000"/>
      <c r="I7" s="1000"/>
      <c r="J7" s="1018" t="str">
        <f t="shared" ref="J7:J19" si="1">IF(G7=0,"",H7/G7)</f>
        <v/>
      </c>
      <c r="K7" s="52"/>
      <c r="L7" s="52"/>
      <c r="M7" s="52"/>
      <c r="N7" s="52"/>
    </row>
    <row r="8" spans="1:22" ht="18" customHeight="1">
      <c r="A8" s="980">
        <v>3</v>
      </c>
      <c r="B8" s="989" t="s">
        <v>4157</v>
      </c>
      <c r="C8" s="1000"/>
      <c r="D8" s="1000"/>
      <c r="E8" s="1000"/>
      <c r="F8" s="1018" t="str">
        <f t="shared" si="0"/>
        <v/>
      </c>
      <c r="G8" s="1000"/>
      <c r="H8" s="1000"/>
      <c r="I8" s="1000"/>
      <c r="J8" s="1018" t="str">
        <f t="shared" si="1"/>
        <v/>
      </c>
      <c r="K8" s="52"/>
      <c r="L8" s="52"/>
      <c r="M8" s="52"/>
      <c r="N8" s="52"/>
    </row>
    <row r="9" spans="1:22" ht="18" customHeight="1">
      <c r="A9" s="980">
        <v>4</v>
      </c>
      <c r="B9" s="993" t="s">
        <v>1173</v>
      </c>
      <c r="C9" s="1000"/>
      <c r="D9" s="1000"/>
      <c r="E9" s="1000"/>
      <c r="F9" s="1018" t="str">
        <f t="shared" si="0"/>
        <v/>
      </c>
      <c r="G9" s="1000"/>
      <c r="H9" s="1000"/>
      <c r="I9" s="1000"/>
      <c r="J9" s="1018" t="str">
        <f t="shared" si="1"/>
        <v/>
      </c>
      <c r="K9" s="52"/>
      <c r="L9" s="52"/>
      <c r="M9" s="52"/>
      <c r="N9" s="52"/>
    </row>
    <row r="10" spans="1:22" ht="18" customHeight="1">
      <c r="A10" s="980">
        <v>5</v>
      </c>
      <c r="B10" s="989" t="s">
        <v>4158</v>
      </c>
      <c r="C10" s="1019"/>
      <c r="D10" s="1019"/>
      <c r="E10" s="1019"/>
      <c r="F10" s="1018" t="str">
        <f t="shared" si="0"/>
        <v/>
      </c>
      <c r="G10" s="1019"/>
      <c r="H10" s="1020"/>
      <c r="I10" s="1020"/>
      <c r="J10" s="1018" t="str">
        <f t="shared" si="1"/>
        <v/>
      </c>
      <c r="K10" s="52"/>
      <c r="L10" s="52"/>
      <c r="M10" s="52"/>
      <c r="N10" s="52"/>
    </row>
    <row r="11" spans="1:22" ht="18" customHeight="1">
      <c r="A11" s="980">
        <v>6</v>
      </c>
      <c r="B11" s="989" t="s">
        <v>4159</v>
      </c>
      <c r="C11" s="1019"/>
      <c r="D11" s="1019"/>
      <c r="E11" s="1019"/>
      <c r="F11" s="1018" t="str">
        <f t="shared" si="0"/>
        <v/>
      </c>
      <c r="G11" s="1019"/>
      <c r="H11" s="1020"/>
      <c r="I11" s="1020"/>
      <c r="J11" s="1018" t="str">
        <f t="shared" si="1"/>
        <v/>
      </c>
      <c r="K11" s="52"/>
      <c r="L11" s="52"/>
      <c r="M11" s="52"/>
      <c r="N11" s="52"/>
    </row>
    <row r="12" spans="1:22" ht="18" customHeight="1">
      <c r="A12" s="980">
        <v>7</v>
      </c>
      <c r="B12" s="993" t="s">
        <v>1029</v>
      </c>
      <c r="C12" s="1019"/>
      <c r="D12" s="1019"/>
      <c r="E12" s="1019"/>
      <c r="F12" s="1021"/>
      <c r="G12" s="1019"/>
      <c r="H12" s="1019"/>
      <c r="I12" s="1019"/>
      <c r="J12" s="1021"/>
      <c r="K12" s="52"/>
      <c r="L12" s="52"/>
      <c r="M12" s="52"/>
      <c r="N12" s="52"/>
    </row>
    <row r="13" spans="1:22" ht="18" customHeight="1">
      <c r="A13" s="980">
        <v>8</v>
      </c>
      <c r="B13" s="993" t="s">
        <v>1030</v>
      </c>
      <c r="C13" s="1019"/>
      <c r="D13" s="1019"/>
      <c r="E13" s="1019"/>
      <c r="F13" s="1021"/>
      <c r="G13" s="1019"/>
      <c r="H13" s="1019"/>
      <c r="I13" s="1019"/>
      <c r="J13" s="1021"/>
      <c r="K13" s="52"/>
      <c r="L13" s="52"/>
      <c r="M13" s="52"/>
      <c r="N13" s="52"/>
    </row>
    <row r="14" spans="1:22" ht="18" customHeight="1">
      <c r="A14" s="980">
        <v>9</v>
      </c>
      <c r="B14" s="989" t="s">
        <v>4163</v>
      </c>
      <c r="C14" s="1000">
        <f>SUM(C15:C19)</f>
        <v>0</v>
      </c>
      <c r="D14" s="1000">
        <f>SUM(D15:D19)</f>
        <v>0</v>
      </c>
      <c r="E14" s="1000">
        <f>SUM(E15:E19)</f>
        <v>0</v>
      </c>
      <c r="F14" s="1018" t="str">
        <f t="shared" si="0"/>
        <v/>
      </c>
      <c r="G14" s="1000">
        <f>SUM(G15:G19)</f>
        <v>0</v>
      </c>
      <c r="H14" s="1000">
        <f>SUM(H15:H19)</f>
        <v>0</v>
      </c>
      <c r="I14" s="1000">
        <f>SUM(I15:I19)</f>
        <v>0</v>
      </c>
      <c r="J14" s="1018" t="str">
        <f t="shared" si="1"/>
        <v/>
      </c>
      <c r="K14" s="52"/>
      <c r="L14" s="52"/>
      <c r="M14" s="52"/>
      <c r="N14" s="52"/>
    </row>
    <row r="15" spans="1:22" ht="18" customHeight="1">
      <c r="A15" s="980">
        <v>10</v>
      </c>
      <c r="B15" s="989" t="s">
        <v>4147</v>
      </c>
      <c r="C15" s="1000"/>
      <c r="D15" s="1000"/>
      <c r="E15" s="1000"/>
      <c r="F15" s="1018" t="str">
        <f t="shared" si="0"/>
        <v/>
      </c>
      <c r="G15" s="1000"/>
      <c r="H15" s="1000"/>
      <c r="I15" s="1000"/>
      <c r="J15" s="1018" t="str">
        <f t="shared" si="1"/>
        <v/>
      </c>
      <c r="K15" s="52"/>
      <c r="L15" s="52"/>
      <c r="M15" s="52"/>
      <c r="N15" s="52"/>
    </row>
    <row r="16" spans="1:22" ht="18" customHeight="1">
      <c r="A16" s="980">
        <v>11</v>
      </c>
      <c r="B16" s="989" t="s">
        <v>4148</v>
      </c>
      <c r="C16" s="1000"/>
      <c r="D16" s="1000"/>
      <c r="E16" s="1000"/>
      <c r="F16" s="1018" t="str">
        <f t="shared" si="0"/>
        <v/>
      </c>
      <c r="G16" s="1000"/>
      <c r="H16" s="1000"/>
      <c r="I16" s="1000"/>
      <c r="J16" s="1018" t="str">
        <f t="shared" si="1"/>
        <v/>
      </c>
      <c r="K16" s="52"/>
      <c r="L16" s="52"/>
      <c r="M16" s="52"/>
      <c r="N16" s="52"/>
    </row>
    <row r="17" spans="1:14" ht="18" customHeight="1">
      <c r="A17" s="980">
        <v>12</v>
      </c>
      <c r="B17" s="989" t="s">
        <v>4149</v>
      </c>
      <c r="C17" s="1000"/>
      <c r="D17" s="1000"/>
      <c r="E17" s="1000"/>
      <c r="F17" s="1018" t="str">
        <f t="shared" si="0"/>
        <v/>
      </c>
      <c r="G17" s="1000"/>
      <c r="H17" s="1000"/>
      <c r="I17" s="1000"/>
      <c r="J17" s="1018" t="str">
        <f t="shared" si="1"/>
        <v/>
      </c>
      <c r="K17" s="52"/>
      <c r="L17" s="52"/>
      <c r="M17" s="52"/>
      <c r="N17" s="52"/>
    </row>
    <row r="18" spans="1:14" ht="18" customHeight="1">
      <c r="A18" s="980">
        <v>13</v>
      </c>
      <c r="B18" s="989" t="s">
        <v>4150</v>
      </c>
      <c r="C18" s="1000"/>
      <c r="D18" s="1000"/>
      <c r="E18" s="1000"/>
      <c r="F18" s="1018" t="str">
        <f t="shared" si="0"/>
        <v/>
      </c>
      <c r="G18" s="1000"/>
      <c r="H18" s="1000"/>
      <c r="I18" s="1000"/>
      <c r="J18" s="1018" t="str">
        <f t="shared" si="1"/>
        <v/>
      </c>
      <c r="K18" s="52"/>
      <c r="L18" s="52"/>
      <c r="M18" s="52"/>
      <c r="N18" s="52"/>
    </row>
    <row r="19" spans="1:14" ht="18" customHeight="1">
      <c r="A19" s="980">
        <v>14</v>
      </c>
      <c r="B19" s="989" t="s">
        <v>4151</v>
      </c>
      <c r="C19" s="1000"/>
      <c r="D19" s="1000"/>
      <c r="E19" s="1000"/>
      <c r="F19" s="1018" t="str">
        <f t="shared" si="0"/>
        <v/>
      </c>
      <c r="G19" s="1000"/>
      <c r="H19" s="1000"/>
      <c r="I19" s="1000"/>
      <c r="J19" s="1018" t="str">
        <f t="shared" si="1"/>
        <v/>
      </c>
      <c r="K19" s="52"/>
      <c r="L19" s="52"/>
      <c r="M19" s="52"/>
      <c r="N19" s="52"/>
    </row>
    <row r="20" spans="1:14" ht="18" customHeight="1">
      <c r="A20" s="980">
        <v>15</v>
      </c>
      <c r="B20" s="947" t="s">
        <v>3638</v>
      </c>
      <c r="C20" s="1000">
        <f>C6+C14</f>
        <v>0</v>
      </c>
      <c r="D20" s="1000">
        <f>D6+D14</f>
        <v>0</v>
      </c>
      <c r="E20" s="1000">
        <f>E6+E14</f>
        <v>0</v>
      </c>
      <c r="F20" s="1018" t="str">
        <f>IF(C20=0,"",(D20-D12-D13)/(C20-C12-C13))</f>
        <v/>
      </c>
      <c r="G20" s="1000">
        <f>G6+G14</f>
        <v>0</v>
      </c>
      <c r="H20" s="1000">
        <f>H6+H14</f>
        <v>0</v>
      </c>
      <c r="I20" s="1000">
        <f>I6+I14</f>
        <v>0</v>
      </c>
      <c r="J20" s="1018" t="str">
        <f>IF(G20=0,"",(H20-H12-H13)/(G20-G12-G13))</f>
        <v/>
      </c>
      <c r="K20" s="52"/>
      <c r="L20" s="52"/>
      <c r="M20" s="52"/>
      <c r="N20" s="52"/>
    </row>
    <row r="21" spans="1:14" ht="18" customHeight="1">
      <c r="A21" s="995" t="s">
        <v>435</v>
      </c>
    </row>
    <row r="22" spans="1:14" ht="14.25" customHeight="1">
      <c r="A22" s="1022">
        <v>1</v>
      </c>
      <c r="B22" s="46" t="s">
        <v>436</v>
      </c>
      <c r="C22" s="48"/>
    </row>
    <row r="23" spans="1:14">
      <c r="A23" s="1023">
        <v>2</v>
      </c>
      <c r="B23" s="46" t="s">
        <v>4164</v>
      </c>
    </row>
    <row r="24" spans="1:14">
      <c r="A24" s="1022">
        <v>3</v>
      </c>
      <c r="B24" s="50" t="s">
        <v>1031</v>
      </c>
    </row>
    <row r="25" spans="1:14">
      <c r="A25" s="1022">
        <v>4</v>
      </c>
      <c r="B25" s="50" t="s">
        <v>1032</v>
      </c>
    </row>
    <row r="26" spans="1:14">
      <c r="A26" s="1022">
        <v>5</v>
      </c>
      <c r="B26" s="50" t="s">
        <v>1033</v>
      </c>
    </row>
  </sheetData>
  <mergeCells count="4">
    <mergeCell ref="A3:A5"/>
    <mergeCell ref="B3:B5"/>
    <mergeCell ref="C3:F3"/>
    <mergeCell ref="G3:J3"/>
  </mergeCells>
  <phoneticPr fontId="30"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pane="topRight"/>
      <selection pane="bottomLeft"/>
      <selection pane="bottomRight"/>
    </sheetView>
  </sheetViews>
  <sheetFormatPr defaultColWidth="9.625" defaultRowHeight="14.25"/>
  <cols>
    <col min="1" max="1" width="5.125" style="50" customWidth="1"/>
    <col min="2" max="2" width="26.125" style="50" customWidth="1"/>
    <col min="3" max="3" width="11.375" style="50" customWidth="1"/>
    <col min="4" max="4" width="11.5" style="50" customWidth="1"/>
    <col min="5" max="6" width="11.75" style="50" customWidth="1"/>
    <col min="7" max="7" width="10" style="50" customWidth="1"/>
    <col min="8" max="8" width="11.375" style="50" customWidth="1"/>
    <col min="9" max="9" width="12.125" style="50" customWidth="1"/>
    <col min="10" max="10" width="11.25" style="50" customWidth="1"/>
    <col min="11" max="11" width="11.875" style="50" customWidth="1"/>
    <col min="12" max="13" width="11.25" style="50" customWidth="1"/>
    <col min="14" max="14" width="12.5" style="50" customWidth="1"/>
    <col min="15" max="17" width="12.75" style="50" customWidth="1"/>
    <col min="18" max="18" width="13.625" style="50" customWidth="1"/>
    <col min="19" max="19" width="4.375" style="50" customWidth="1"/>
    <col min="20" max="20" width="11" style="50" bestFit="1" customWidth="1"/>
    <col min="21" max="16384" width="9.625" style="50"/>
  </cols>
  <sheetData>
    <row r="1" spans="1:22" ht="16.5">
      <c r="A1" s="2186" t="str">
        <f>+封面!A3&amp;" "&amp;封面!A2</f>
        <v xml:space="preserve"> 中央再保險股份有限公司 年度檢查報表</v>
      </c>
      <c r="B1" s="49"/>
      <c r="C1" s="49"/>
      <c r="D1" s="49"/>
      <c r="E1" s="49"/>
      <c r="F1" s="49"/>
      <c r="G1" s="49"/>
      <c r="H1" s="49"/>
      <c r="I1" s="49"/>
      <c r="J1" s="49"/>
      <c r="K1" s="49"/>
      <c r="L1" s="49"/>
      <c r="M1" s="49"/>
      <c r="N1" s="49"/>
    </row>
    <row r="2" spans="1:22">
      <c r="A2" s="997" t="s">
        <v>439</v>
      </c>
      <c r="B2" s="998"/>
      <c r="C2" s="998"/>
      <c r="R2" s="286" t="s">
        <v>258</v>
      </c>
    </row>
    <row r="3" spans="1:22">
      <c r="A3" s="3157" t="s">
        <v>181</v>
      </c>
      <c r="B3" s="3160" t="s">
        <v>440</v>
      </c>
      <c r="C3" s="3143" t="s">
        <v>4154</v>
      </c>
      <c r="D3" s="3146"/>
      <c r="E3" s="3146"/>
      <c r="F3" s="3146"/>
      <c r="G3" s="3146"/>
      <c r="H3" s="3146"/>
      <c r="I3" s="3146"/>
      <c r="J3" s="3146"/>
      <c r="K3" s="3146"/>
      <c r="L3" s="3146"/>
      <c r="M3" s="3146"/>
      <c r="N3" s="3147"/>
      <c r="O3" s="3151" t="s">
        <v>4155</v>
      </c>
      <c r="P3" s="3152"/>
      <c r="Q3" s="3152"/>
      <c r="R3" s="3153"/>
    </row>
    <row r="4" spans="1:22">
      <c r="A4" s="3158"/>
      <c r="B4" s="3161"/>
      <c r="C4" s="3143" t="s">
        <v>441</v>
      </c>
      <c r="D4" s="3146"/>
      <c r="E4" s="3146"/>
      <c r="F4" s="3147"/>
      <c r="G4" s="3143" t="s">
        <v>442</v>
      </c>
      <c r="H4" s="3146"/>
      <c r="I4" s="3146"/>
      <c r="J4" s="3147"/>
      <c r="K4" s="3143" t="s">
        <v>85</v>
      </c>
      <c r="L4" s="3146"/>
      <c r="M4" s="3146"/>
      <c r="N4" s="3147"/>
      <c r="O4" s="3154"/>
      <c r="P4" s="3155"/>
      <c r="Q4" s="3155"/>
      <c r="R4" s="3156"/>
    </row>
    <row r="5" spans="1:22">
      <c r="A5" s="3158"/>
      <c r="B5" s="3161"/>
      <c r="C5" s="878" t="s">
        <v>437</v>
      </c>
      <c r="D5" s="878" t="s">
        <v>438</v>
      </c>
      <c r="E5" s="878" t="s">
        <v>443</v>
      </c>
      <c r="F5" s="988" t="s">
        <v>186</v>
      </c>
      <c r="G5" s="878" t="s">
        <v>437</v>
      </c>
      <c r="H5" s="878" t="s">
        <v>438</v>
      </c>
      <c r="I5" s="878" t="s">
        <v>443</v>
      </c>
      <c r="J5" s="988" t="s">
        <v>186</v>
      </c>
      <c r="K5" s="878" t="s">
        <v>437</v>
      </c>
      <c r="L5" s="878" t="s">
        <v>438</v>
      </c>
      <c r="M5" s="878" t="s">
        <v>443</v>
      </c>
      <c r="N5" s="988" t="s">
        <v>186</v>
      </c>
      <c r="O5" s="878" t="s">
        <v>437</v>
      </c>
      <c r="P5" s="878" t="s">
        <v>438</v>
      </c>
      <c r="Q5" s="878" t="s">
        <v>443</v>
      </c>
      <c r="R5" s="988" t="s">
        <v>186</v>
      </c>
    </row>
    <row r="6" spans="1:22" s="999" customFormat="1">
      <c r="A6" s="3159"/>
      <c r="B6" s="3162"/>
      <c r="C6" s="889" t="s">
        <v>66</v>
      </c>
      <c r="D6" s="893" t="s">
        <v>344</v>
      </c>
      <c r="E6" s="889" t="s">
        <v>391</v>
      </c>
      <c r="F6" s="893" t="s">
        <v>124</v>
      </c>
      <c r="G6" s="889" t="s">
        <v>125</v>
      </c>
      <c r="H6" s="893" t="s">
        <v>126</v>
      </c>
      <c r="I6" s="889" t="s">
        <v>127</v>
      </c>
      <c r="J6" s="893" t="s">
        <v>128</v>
      </c>
      <c r="K6" s="889" t="s">
        <v>129</v>
      </c>
      <c r="L6" s="893" t="s">
        <v>130</v>
      </c>
      <c r="M6" s="889" t="s">
        <v>131</v>
      </c>
      <c r="N6" s="893" t="s">
        <v>132</v>
      </c>
      <c r="O6" s="889" t="s">
        <v>133</v>
      </c>
      <c r="P6" s="893" t="s">
        <v>134</v>
      </c>
      <c r="Q6" s="889" t="s">
        <v>135</v>
      </c>
      <c r="R6" s="893" t="s">
        <v>136</v>
      </c>
    </row>
    <row r="7" spans="1:22">
      <c r="A7" s="980">
        <v>1</v>
      </c>
      <c r="B7" s="938" t="s">
        <v>4104</v>
      </c>
      <c r="C7" s="1000">
        <f>SUM(C8:C38)</f>
        <v>0</v>
      </c>
      <c r="D7" s="1000">
        <f>SUM(D8:D38)</f>
        <v>0</v>
      </c>
      <c r="E7" s="1000">
        <f>SUM(E8:E38)</f>
        <v>0</v>
      </c>
      <c r="F7" s="1001" t="str">
        <f>IF(C7=0,"",D7/C7)</f>
        <v/>
      </c>
      <c r="G7" s="1000">
        <f>SUM(G8:G38)</f>
        <v>0</v>
      </c>
      <c r="H7" s="1000">
        <f>SUM(H8:H38)</f>
        <v>0</v>
      </c>
      <c r="I7" s="1000">
        <f>SUM(I8:I38)</f>
        <v>0</v>
      </c>
      <c r="J7" s="1001" t="str">
        <f>IF(G7=0,"",H7/G7)</f>
        <v/>
      </c>
      <c r="K7" s="1000">
        <f>SUM(K8:K38)</f>
        <v>0</v>
      </c>
      <c r="L7" s="1000">
        <f>SUM(L8:L38)</f>
        <v>0</v>
      </c>
      <c r="M7" s="1000">
        <f>SUM(M8:M38)</f>
        <v>0</v>
      </c>
      <c r="N7" s="1001" t="str">
        <f>IF(K7=0,"",L7/K7)</f>
        <v/>
      </c>
      <c r="O7" s="1000"/>
      <c r="P7" s="1000"/>
      <c r="Q7" s="1000"/>
      <c r="R7" s="1001" t="str">
        <f>IF(O7=0,"",P7/O7)</f>
        <v/>
      </c>
      <c r="S7" s="52"/>
      <c r="T7" s="1002"/>
      <c r="U7" s="52"/>
      <c r="V7" s="52"/>
    </row>
    <row r="8" spans="1:22">
      <c r="A8" s="980">
        <f>A7+1</f>
        <v>2</v>
      </c>
      <c r="B8" s="938" t="s">
        <v>4105</v>
      </c>
      <c r="C8" s="1000"/>
      <c r="D8" s="1000"/>
      <c r="E8" s="1000"/>
      <c r="F8" s="1001" t="str">
        <f t="shared" ref="F8:F48" si="0">IF(C8=0,"",D8/C8)</f>
        <v/>
      </c>
      <c r="G8" s="1000"/>
      <c r="H8" s="1000"/>
      <c r="I8" s="1000"/>
      <c r="J8" s="1001" t="str">
        <f t="shared" ref="J8:J48" si="1">IF(G8=0,"",H8/G8)</f>
        <v/>
      </c>
      <c r="K8" s="1000">
        <f t="shared" ref="K8:M26" si="2">C8+G8</f>
        <v>0</v>
      </c>
      <c r="L8" s="1000">
        <f t="shared" si="2"/>
        <v>0</v>
      </c>
      <c r="M8" s="1000">
        <f t="shared" si="2"/>
        <v>0</v>
      </c>
      <c r="N8" s="1001" t="str">
        <f t="shared" ref="N8:N48" si="3">IF(K8=0,"",L8/K8)</f>
        <v/>
      </c>
      <c r="O8" s="1000"/>
      <c r="P8" s="1000"/>
      <c r="Q8" s="1000"/>
      <c r="R8" s="1001" t="str">
        <f t="shared" ref="R8:R48" si="4">IF(O8=0,"",P8/O8)</f>
        <v/>
      </c>
      <c r="S8" s="52"/>
      <c r="T8" s="1002"/>
      <c r="U8" s="52"/>
      <c r="V8" s="52"/>
    </row>
    <row r="9" spans="1:22">
      <c r="A9" s="980">
        <f t="shared" ref="A9:A48" si="5">A8+1</f>
        <v>3</v>
      </c>
      <c r="B9" s="943" t="s">
        <v>4106</v>
      </c>
      <c r="C9" s="1000"/>
      <c r="D9" s="1000"/>
      <c r="E9" s="1000"/>
      <c r="F9" s="1001" t="str">
        <f t="shared" si="0"/>
        <v/>
      </c>
      <c r="G9" s="1000"/>
      <c r="H9" s="1000"/>
      <c r="I9" s="1000"/>
      <c r="J9" s="1001" t="str">
        <f t="shared" si="1"/>
        <v/>
      </c>
      <c r="K9" s="1000">
        <f t="shared" si="2"/>
        <v>0</v>
      </c>
      <c r="L9" s="1000">
        <f t="shared" si="2"/>
        <v>0</v>
      </c>
      <c r="M9" s="1000">
        <f t="shared" si="2"/>
        <v>0</v>
      </c>
      <c r="N9" s="1001" t="str">
        <f t="shared" si="3"/>
        <v/>
      </c>
      <c r="O9" s="1000"/>
      <c r="P9" s="1000"/>
      <c r="Q9" s="1000"/>
      <c r="R9" s="1001" t="str">
        <f t="shared" si="4"/>
        <v/>
      </c>
      <c r="S9" s="52"/>
      <c r="T9" s="1002"/>
      <c r="U9" s="52"/>
      <c r="V9" s="52"/>
    </row>
    <row r="10" spans="1:22">
      <c r="A10" s="980">
        <f t="shared" si="5"/>
        <v>4</v>
      </c>
      <c r="B10" s="943" t="s">
        <v>4107</v>
      </c>
      <c r="C10" s="1000"/>
      <c r="D10" s="1000"/>
      <c r="E10" s="1000"/>
      <c r="F10" s="1001" t="str">
        <f t="shared" si="0"/>
        <v/>
      </c>
      <c r="G10" s="1000"/>
      <c r="H10" s="1000"/>
      <c r="I10" s="1000"/>
      <c r="J10" s="1001" t="str">
        <f t="shared" si="1"/>
        <v/>
      </c>
      <c r="K10" s="1000">
        <f t="shared" si="2"/>
        <v>0</v>
      </c>
      <c r="L10" s="1000">
        <f t="shared" si="2"/>
        <v>0</v>
      </c>
      <c r="M10" s="1000">
        <f t="shared" si="2"/>
        <v>0</v>
      </c>
      <c r="N10" s="1001" t="str">
        <f t="shared" si="3"/>
        <v/>
      </c>
      <c r="O10" s="1000"/>
      <c r="P10" s="1000"/>
      <c r="Q10" s="1000"/>
      <c r="R10" s="1001" t="str">
        <f t="shared" si="4"/>
        <v/>
      </c>
      <c r="S10" s="52"/>
      <c r="T10" s="1002"/>
      <c r="U10" s="52"/>
      <c r="V10" s="52"/>
    </row>
    <row r="11" spans="1:22">
      <c r="A11" s="980">
        <f t="shared" si="5"/>
        <v>5</v>
      </c>
      <c r="B11" s="943" t="s">
        <v>4108</v>
      </c>
      <c r="C11" s="1000"/>
      <c r="D11" s="1000"/>
      <c r="E11" s="1000"/>
      <c r="F11" s="1001" t="str">
        <f t="shared" si="0"/>
        <v/>
      </c>
      <c r="G11" s="1000"/>
      <c r="H11" s="1000"/>
      <c r="I11" s="1000"/>
      <c r="J11" s="1001" t="str">
        <f t="shared" si="1"/>
        <v/>
      </c>
      <c r="K11" s="1000">
        <f t="shared" si="2"/>
        <v>0</v>
      </c>
      <c r="L11" s="1000">
        <f t="shared" si="2"/>
        <v>0</v>
      </c>
      <c r="M11" s="1000">
        <f t="shared" si="2"/>
        <v>0</v>
      </c>
      <c r="N11" s="1001" t="str">
        <f t="shared" si="3"/>
        <v/>
      </c>
      <c r="O11" s="1000"/>
      <c r="P11" s="1000"/>
      <c r="Q11" s="1000"/>
      <c r="R11" s="1001" t="str">
        <f t="shared" si="4"/>
        <v/>
      </c>
      <c r="S11" s="52"/>
      <c r="T11" s="1002"/>
      <c r="U11" s="52"/>
      <c r="V11" s="52"/>
    </row>
    <row r="12" spans="1:22">
      <c r="A12" s="980">
        <f t="shared" si="5"/>
        <v>6</v>
      </c>
      <c r="B12" s="943" t="s">
        <v>4109</v>
      </c>
      <c r="C12" s="1000"/>
      <c r="D12" s="1000"/>
      <c r="E12" s="1000"/>
      <c r="F12" s="1001" t="str">
        <f t="shared" si="0"/>
        <v/>
      </c>
      <c r="G12" s="1000"/>
      <c r="H12" s="1000"/>
      <c r="I12" s="1000"/>
      <c r="J12" s="1001" t="str">
        <f t="shared" si="1"/>
        <v/>
      </c>
      <c r="K12" s="1000">
        <f t="shared" si="2"/>
        <v>0</v>
      </c>
      <c r="L12" s="1000">
        <f t="shared" si="2"/>
        <v>0</v>
      </c>
      <c r="M12" s="1000">
        <f t="shared" si="2"/>
        <v>0</v>
      </c>
      <c r="N12" s="1001" t="str">
        <f t="shared" si="3"/>
        <v/>
      </c>
      <c r="O12" s="1000"/>
      <c r="P12" s="1000"/>
      <c r="Q12" s="1000"/>
      <c r="R12" s="1001" t="str">
        <f t="shared" si="4"/>
        <v/>
      </c>
      <c r="S12" s="52"/>
      <c r="T12" s="1002"/>
      <c r="U12" s="52"/>
      <c r="V12" s="52"/>
    </row>
    <row r="13" spans="1:22">
      <c r="A13" s="980">
        <f t="shared" si="5"/>
        <v>7</v>
      </c>
      <c r="B13" s="943" t="s">
        <v>4110</v>
      </c>
      <c r="C13" s="1000"/>
      <c r="D13" s="1000"/>
      <c r="E13" s="1000"/>
      <c r="F13" s="1001" t="str">
        <f t="shared" si="0"/>
        <v/>
      </c>
      <c r="G13" s="1000"/>
      <c r="H13" s="1000"/>
      <c r="I13" s="1000"/>
      <c r="J13" s="1001" t="str">
        <f t="shared" si="1"/>
        <v/>
      </c>
      <c r="K13" s="1000">
        <f t="shared" si="2"/>
        <v>0</v>
      </c>
      <c r="L13" s="990">
        <f t="shared" si="2"/>
        <v>0</v>
      </c>
      <c r="M13" s="990">
        <f t="shared" si="2"/>
        <v>0</v>
      </c>
      <c r="N13" s="1001" t="str">
        <f t="shared" si="3"/>
        <v/>
      </c>
      <c r="O13" s="1000"/>
      <c r="P13" s="1000"/>
      <c r="Q13" s="1000"/>
      <c r="R13" s="1001" t="str">
        <f t="shared" si="4"/>
        <v/>
      </c>
      <c r="S13" s="52"/>
      <c r="T13" s="1002"/>
      <c r="U13" s="52"/>
      <c r="V13" s="52"/>
    </row>
    <row r="14" spans="1:22">
      <c r="A14" s="980">
        <f t="shared" si="5"/>
        <v>8</v>
      </c>
      <c r="B14" s="943" t="s">
        <v>4111</v>
      </c>
      <c r="C14" s="1000"/>
      <c r="D14" s="1000"/>
      <c r="E14" s="1000"/>
      <c r="F14" s="1001" t="str">
        <f t="shared" si="0"/>
        <v/>
      </c>
      <c r="G14" s="1000"/>
      <c r="H14" s="1000"/>
      <c r="I14" s="1000"/>
      <c r="J14" s="1001" t="str">
        <f t="shared" si="1"/>
        <v/>
      </c>
      <c r="K14" s="1000">
        <f t="shared" si="2"/>
        <v>0</v>
      </c>
      <c r="L14" s="990">
        <f t="shared" si="2"/>
        <v>0</v>
      </c>
      <c r="M14" s="990">
        <f t="shared" si="2"/>
        <v>0</v>
      </c>
      <c r="N14" s="1001" t="str">
        <f t="shared" si="3"/>
        <v/>
      </c>
      <c r="O14" s="1000"/>
      <c r="P14" s="1000"/>
      <c r="Q14" s="1000"/>
      <c r="R14" s="1001" t="str">
        <f t="shared" si="4"/>
        <v/>
      </c>
      <c r="S14" s="52"/>
      <c r="T14" s="1002"/>
      <c r="U14" s="52"/>
      <c r="V14" s="52"/>
    </row>
    <row r="15" spans="1:22">
      <c r="A15" s="980">
        <f t="shared" si="5"/>
        <v>9</v>
      </c>
      <c r="B15" s="943" t="s">
        <v>4112</v>
      </c>
      <c r="C15" s="1000"/>
      <c r="D15" s="1000"/>
      <c r="E15" s="1000"/>
      <c r="F15" s="1001" t="str">
        <f t="shared" si="0"/>
        <v/>
      </c>
      <c r="G15" s="1000"/>
      <c r="H15" s="1000"/>
      <c r="I15" s="1000"/>
      <c r="J15" s="1001" t="str">
        <f t="shared" si="1"/>
        <v/>
      </c>
      <c r="K15" s="1000">
        <f t="shared" si="2"/>
        <v>0</v>
      </c>
      <c r="L15" s="990">
        <f t="shared" si="2"/>
        <v>0</v>
      </c>
      <c r="M15" s="990">
        <f t="shared" si="2"/>
        <v>0</v>
      </c>
      <c r="N15" s="1001" t="str">
        <f t="shared" si="3"/>
        <v/>
      </c>
      <c r="O15" s="1000"/>
      <c r="P15" s="1000"/>
      <c r="Q15" s="1000"/>
      <c r="R15" s="1001" t="str">
        <f t="shared" si="4"/>
        <v/>
      </c>
      <c r="S15" s="52"/>
      <c r="T15" s="1002"/>
      <c r="U15" s="52"/>
      <c r="V15" s="52"/>
    </row>
    <row r="16" spans="1:22">
      <c r="A16" s="980">
        <f t="shared" si="5"/>
        <v>10</v>
      </c>
      <c r="B16" s="943" t="s">
        <v>4113</v>
      </c>
      <c r="C16" s="1000"/>
      <c r="D16" s="1000"/>
      <c r="E16" s="1000"/>
      <c r="F16" s="1001" t="str">
        <f t="shared" si="0"/>
        <v/>
      </c>
      <c r="G16" s="1000"/>
      <c r="H16" s="1000"/>
      <c r="I16" s="1000"/>
      <c r="J16" s="1001" t="str">
        <f t="shared" si="1"/>
        <v/>
      </c>
      <c r="K16" s="1000">
        <f t="shared" si="2"/>
        <v>0</v>
      </c>
      <c r="L16" s="990">
        <f t="shared" si="2"/>
        <v>0</v>
      </c>
      <c r="M16" s="990">
        <f t="shared" si="2"/>
        <v>0</v>
      </c>
      <c r="N16" s="1001" t="str">
        <f t="shared" si="3"/>
        <v/>
      </c>
      <c r="O16" s="1000"/>
      <c r="P16" s="1000"/>
      <c r="Q16" s="1000"/>
      <c r="R16" s="1001" t="str">
        <f t="shared" si="4"/>
        <v/>
      </c>
      <c r="S16" s="52"/>
      <c r="T16" s="1002"/>
      <c r="U16" s="52"/>
      <c r="V16" s="52"/>
    </row>
    <row r="17" spans="1:22">
      <c r="A17" s="980">
        <f t="shared" si="5"/>
        <v>11</v>
      </c>
      <c r="B17" s="943" t="s">
        <v>4114</v>
      </c>
      <c r="C17" s="1000"/>
      <c r="D17" s="1000"/>
      <c r="E17" s="1000"/>
      <c r="F17" s="1001" t="str">
        <f t="shared" si="0"/>
        <v/>
      </c>
      <c r="G17" s="1000"/>
      <c r="H17" s="1000"/>
      <c r="I17" s="1000"/>
      <c r="J17" s="1001" t="str">
        <f t="shared" si="1"/>
        <v/>
      </c>
      <c r="K17" s="1000">
        <f t="shared" si="2"/>
        <v>0</v>
      </c>
      <c r="L17" s="990">
        <f t="shared" si="2"/>
        <v>0</v>
      </c>
      <c r="M17" s="990">
        <f t="shared" si="2"/>
        <v>0</v>
      </c>
      <c r="N17" s="1001" t="str">
        <f t="shared" si="3"/>
        <v/>
      </c>
      <c r="O17" s="1000"/>
      <c r="P17" s="1000"/>
      <c r="Q17" s="1000"/>
      <c r="R17" s="1001" t="str">
        <f t="shared" si="4"/>
        <v/>
      </c>
      <c r="S17" s="52"/>
      <c r="T17" s="1002"/>
      <c r="U17" s="52"/>
      <c r="V17" s="52"/>
    </row>
    <row r="18" spans="1:22">
      <c r="A18" s="980">
        <f t="shared" si="5"/>
        <v>12</v>
      </c>
      <c r="B18" s="943" t="s">
        <v>4115</v>
      </c>
      <c r="C18" s="1000"/>
      <c r="D18" s="1000"/>
      <c r="E18" s="1000"/>
      <c r="F18" s="1001" t="str">
        <f t="shared" si="0"/>
        <v/>
      </c>
      <c r="G18" s="1000"/>
      <c r="H18" s="1000"/>
      <c r="I18" s="1000"/>
      <c r="J18" s="1001" t="str">
        <f t="shared" si="1"/>
        <v/>
      </c>
      <c r="K18" s="1000">
        <f t="shared" si="2"/>
        <v>0</v>
      </c>
      <c r="L18" s="990">
        <f t="shared" si="2"/>
        <v>0</v>
      </c>
      <c r="M18" s="990">
        <f t="shared" si="2"/>
        <v>0</v>
      </c>
      <c r="N18" s="1001" t="str">
        <f t="shared" si="3"/>
        <v/>
      </c>
      <c r="O18" s="1000"/>
      <c r="P18" s="1000"/>
      <c r="Q18" s="1000"/>
      <c r="R18" s="1001" t="str">
        <f t="shared" si="4"/>
        <v/>
      </c>
      <c r="S18" s="52"/>
      <c r="T18" s="1002"/>
      <c r="U18" s="52"/>
      <c r="V18" s="52"/>
    </row>
    <row r="19" spans="1:22">
      <c r="A19" s="980">
        <f t="shared" si="5"/>
        <v>13</v>
      </c>
      <c r="B19" s="943" t="s">
        <v>4116</v>
      </c>
      <c r="C19" s="1000"/>
      <c r="D19" s="1000"/>
      <c r="E19" s="1000"/>
      <c r="F19" s="1001" t="str">
        <f t="shared" si="0"/>
        <v/>
      </c>
      <c r="G19" s="1000"/>
      <c r="H19" s="1000"/>
      <c r="I19" s="1000"/>
      <c r="J19" s="1001" t="str">
        <f t="shared" si="1"/>
        <v/>
      </c>
      <c r="K19" s="1000">
        <f t="shared" si="2"/>
        <v>0</v>
      </c>
      <c r="L19" s="990">
        <f t="shared" si="2"/>
        <v>0</v>
      </c>
      <c r="M19" s="990">
        <f t="shared" si="2"/>
        <v>0</v>
      </c>
      <c r="N19" s="1001" t="str">
        <f t="shared" si="3"/>
        <v/>
      </c>
      <c r="O19" s="1000"/>
      <c r="P19" s="1000"/>
      <c r="Q19" s="1000"/>
      <c r="R19" s="1001" t="str">
        <f t="shared" si="4"/>
        <v/>
      </c>
      <c r="S19" s="52"/>
      <c r="T19" s="1002"/>
      <c r="U19" s="52"/>
      <c r="V19" s="52"/>
    </row>
    <row r="20" spans="1:22">
      <c r="A20" s="980">
        <f t="shared" si="5"/>
        <v>14</v>
      </c>
      <c r="B20" s="943" t="s">
        <v>4117</v>
      </c>
      <c r="C20" s="1000"/>
      <c r="D20" s="1000"/>
      <c r="E20" s="1000"/>
      <c r="F20" s="1001" t="str">
        <f t="shared" si="0"/>
        <v/>
      </c>
      <c r="G20" s="1000"/>
      <c r="H20" s="1000"/>
      <c r="I20" s="1000"/>
      <c r="J20" s="1001" t="str">
        <f t="shared" si="1"/>
        <v/>
      </c>
      <c r="K20" s="1000">
        <f t="shared" si="2"/>
        <v>0</v>
      </c>
      <c r="L20" s="990">
        <f t="shared" si="2"/>
        <v>0</v>
      </c>
      <c r="M20" s="990">
        <f t="shared" si="2"/>
        <v>0</v>
      </c>
      <c r="N20" s="1001" t="str">
        <f t="shared" si="3"/>
        <v/>
      </c>
      <c r="O20" s="1000"/>
      <c r="P20" s="1000"/>
      <c r="Q20" s="1000"/>
      <c r="R20" s="1001" t="str">
        <f t="shared" si="4"/>
        <v/>
      </c>
      <c r="S20" s="52"/>
      <c r="T20" s="1002"/>
      <c r="U20" s="52"/>
      <c r="V20" s="52"/>
    </row>
    <row r="21" spans="1:22">
      <c r="A21" s="980">
        <f t="shared" si="5"/>
        <v>15</v>
      </c>
      <c r="B21" s="943" t="s">
        <v>4118</v>
      </c>
      <c r="C21" s="1000"/>
      <c r="D21" s="1000"/>
      <c r="E21" s="1000"/>
      <c r="F21" s="1001" t="str">
        <f t="shared" si="0"/>
        <v/>
      </c>
      <c r="G21" s="1000"/>
      <c r="H21" s="1000"/>
      <c r="I21" s="1000"/>
      <c r="J21" s="1001" t="str">
        <f t="shared" si="1"/>
        <v/>
      </c>
      <c r="K21" s="1000">
        <f t="shared" si="2"/>
        <v>0</v>
      </c>
      <c r="L21" s="990">
        <f t="shared" si="2"/>
        <v>0</v>
      </c>
      <c r="M21" s="990">
        <f t="shared" si="2"/>
        <v>0</v>
      </c>
      <c r="N21" s="1001" t="str">
        <f t="shared" si="3"/>
        <v/>
      </c>
      <c r="O21" s="1000"/>
      <c r="P21" s="1000"/>
      <c r="Q21" s="1000"/>
      <c r="R21" s="1001" t="str">
        <f t="shared" si="4"/>
        <v/>
      </c>
      <c r="S21" s="52"/>
      <c r="T21" s="1002"/>
      <c r="U21" s="52"/>
      <c r="V21" s="52"/>
    </row>
    <row r="22" spans="1:22">
      <c r="A22" s="980">
        <f t="shared" si="5"/>
        <v>16</v>
      </c>
      <c r="B22" s="943" t="s">
        <v>4119</v>
      </c>
      <c r="C22" s="1000"/>
      <c r="D22" s="1000"/>
      <c r="E22" s="1000"/>
      <c r="F22" s="1001" t="str">
        <f t="shared" si="0"/>
        <v/>
      </c>
      <c r="G22" s="1000"/>
      <c r="H22" s="1000"/>
      <c r="I22" s="1000"/>
      <c r="J22" s="1001" t="str">
        <f t="shared" si="1"/>
        <v/>
      </c>
      <c r="K22" s="1000">
        <f t="shared" si="2"/>
        <v>0</v>
      </c>
      <c r="L22" s="990">
        <f t="shared" si="2"/>
        <v>0</v>
      </c>
      <c r="M22" s="990">
        <f t="shared" si="2"/>
        <v>0</v>
      </c>
      <c r="N22" s="1001" t="str">
        <f t="shared" si="3"/>
        <v/>
      </c>
      <c r="O22" s="1000"/>
      <c r="P22" s="1000"/>
      <c r="Q22" s="1000"/>
      <c r="R22" s="1001" t="str">
        <f t="shared" si="4"/>
        <v/>
      </c>
      <c r="S22" s="52"/>
      <c r="T22" s="1002"/>
      <c r="U22" s="52"/>
      <c r="V22" s="52"/>
    </row>
    <row r="23" spans="1:22" ht="15.75" customHeight="1">
      <c r="A23" s="980">
        <f t="shared" si="5"/>
        <v>17</v>
      </c>
      <c r="B23" s="943" t="s">
        <v>4120</v>
      </c>
      <c r="C23" s="1000"/>
      <c r="D23" s="1000"/>
      <c r="E23" s="1000"/>
      <c r="F23" s="1001" t="str">
        <f t="shared" si="0"/>
        <v/>
      </c>
      <c r="G23" s="1000"/>
      <c r="H23" s="1000"/>
      <c r="I23" s="1000"/>
      <c r="J23" s="1001" t="str">
        <f t="shared" si="1"/>
        <v/>
      </c>
      <c r="K23" s="1000">
        <f t="shared" si="2"/>
        <v>0</v>
      </c>
      <c r="L23" s="990">
        <f t="shared" si="2"/>
        <v>0</v>
      </c>
      <c r="M23" s="990">
        <f t="shared" si="2"/>
        <v>0</v>
      </c>
      <c r="N23" s="1001" t="str">
        <f t="shared" si="3"/>
        <v/>
      </c>
      <c r="O23" s="1000"/>
      <c r="P23" s="1000"/>
      <c r="Q23" s="1000"/>
      <c r="R23" s="1001" t="str">
        <f t="shared" si="4"/>
        <v/>
      </c>
      <c r="S23" s="52"/>
      <c r="T23" s="1002"/>
      <c r="U23" s="52"/>
      <c r="V23" s="52"/>
    </row>
    <row r="24" spans="1:22" ht="17.649999999999999" customHeight="1">
      <c r="A24" s="980">
        <f t="shared" si="5"/>
        <v>18</v>
      </c>
      <c r="B24" s="943" t="s">
        <v>4121</v>
      </c>
      <c r="C24" s="1000"/>
      <c r="D24" s="1000"/>
      <c r="E24" s="1000"/>
      <c r="F24" s="1001" t="str">
        <f t="shared" si="0"/>
        <v/>
      </c>
      <c r="G24" s="1000"/>
      <c r="H24" s="1000"/>
      <c r="I24" s="1000"/>
      <c r="J24" s="1001" t="str">
        <f t="shared" si="1"/>
        <v/>
      </c>
      <c r="K24" s="1000">
        <f t="shared" si="2"/>
        <v>0</v>
      </c>
      <c r="L24" s="990">
        <f t="shared" si="2"/>
        <v>0</v>
      </c>
      <c r="M24" s="990">
        <f t="shared" si="2"/>
        <v>0</v>
      </c>
      <c r="N24" s="1001" t="str">
        <f t="shared" si="3"/>
        <v/>
      </c>
      <c r="O24" s="1000"/>
      <c r="P24" s="1000"/>
      <c r="Q24" s="1000"/>
      <c r="R24" s="1001" t="str">
        <f t="shared" si="4"/>
        <v/>
      </c>
      <c r="S24" s="52"/>
      <c r="T24" s="1002"/>
      <c r="U24" s="52"/>
      <c r="V24" s="52"/>
    </row>
    <row r="25" spans="1:22">
      <c r="A25" s="980">
        <f t="shared" si="5"/>
        <v>19</v>
      </c>
      <c r="B25" s="943" t="s">
        <v>4122</v>
      </c>
      <c r="C25" s="1000"/>
      <c r="D25" s="1000"/>
      <c r="E25" s="1000"/>
      <c r="F25" s="1001" t="str">
        <f t="shared" si="0"/>
        <v/>
      </c>
      <c r="G25" s="1000"/>
      <c r="H25" s="1000"/>
      <c r="I25" s="1000"/>
      <c r="J25" s="1001" t="str">
        <f t="shared" si="1"/>
        <v/>
      </c>
      <c r="K25" s="1000">
        <f t="shared" si="2"/>
        <v>0</v>
      </c>
      <c r="L25" s="990">
        <f t="shared" si="2"/>
        <v>0</v>
      </c>
      <c r="M25" s="990">
        <f t="shared" si="2"/>
        <v>0</v>
      </c>
      <c r="N25" s="1001" t="str">
        <f t="shared" si="3"/>
        <v/>
      </c>
      <c r="O25" s="1000"/>
      <c r="P25" s="1000"/>
      <c r="Q25" s="1000"/>
      <c r="R25" s="1001" t="str">
        <f t="shared" si="4"/>
        <v/>
      </c>
      <c r="S25" s="52"/>
      <c r="T25" s="1002"/>
      <c r="U25" s="52"/>
      <c r="V25" s="52"/>
    </row>
    <row r="26" spans="1:22">
      <c r="A26" s="980">
        <f t="shared" si="5"/>
        <v>20</v>
      </c>
      <c r="B26" s="943" t="s">
        <v>4123</v>
      </c>
      <c r="C26" s="1000"/>
      <c r="D26" s="1000"/>
      <c r="E26" s="1000"/>
      <c r="F26" s="1001" t="str">
        <f t="shared" si="0"/>
        <v/>
      </c>
      <c r="G26" s="1000"/>
      <c r="H26" s="1000"/>
      <c r="I26" s="1000"/>
      <c r="J26" s="1001" t="str">
        <f t="shared" si="1"/>
        <v/>
      </c>
      <c r="K26" s="1000">
        <f t="shared" si="2"/>
        <v>0</v>
      </c>
      <c r="L26" s="990">
        <f t="shared" si="2"/>
        <v>0</v>
      </c>
      <c r="M26" s="990">
        <f t="shared" si="2"/>
        <v>0</v>
      </c>
      <c r="N26" s="1001" t="str">
        <f t="shared" si="3"/>
        <v/>
      </c>
      <c r="O26" s="1000"/>
      <c r="P26" s="1000"/>
      <c r="Q26" s="1000"/>
      <c r="R26" s="1001" t="str">
        <f t="shared" si="4"/>
        <v/>
      </c>
      <c r="S26" s="52"/>
      <c r="T26" s="1002"/>
      <c r="U26" s="52"/>
      <c r="V26" s="52"/>
    </row>
    <row r="27" spans="1:22">
      <c r="A27" s="980">
        <f t="shared" si="5"/>
        <v>21</v>
      </c>
      <c r="B27" s="943" t="s">
        <v>4124</v>
      </c>
      <c r="C27" s="1000"/>
      <c r="D27" s="1000"/>
      <c r="E27" s="1000"/>
      <c r="F27" s="1001" t="str">
        <f t="shared" si="0"/>
        <v/>
      </c>
      <c r="G27" s="1000"/>
      <c r="H27" s="1000"/>
      <c r="I27" s="1000"/>
      <c r="J27" s="1001" t="str">
        <f t="shared" si="1"/>
        <v/>
      </c>
      <c r="K27" s="1000">
        <f>C27+G27</f>
        <v>0</v>
      </c>
      <c r="L27" s="990">
        <f>D27+H27</f>
        <v>0</v>
      </c>
      <c r="M27" s="990">
        <f>E27+I27</f>
        <v>0</v>
      </c>
      <c r="N27" s="1001" t="str">
        <f t="shared" si="3"/>
        <v/>
      </c>
      <c r="O27" s="1000"/>
      <c r="P27" s="1000"/>
      <c r="Q27" s="1000"/>
      <c r="R27" s="1001" t="str">
        <f t="shared" si="4"/>
        <v/>
      </c>
      <c r="S27" s="52"/>
      <c r="T27" s="1002"/>
      <c r="U27" s="52"/>
      <c r="V27" s="52"/>
    </row>
    <row r="28" spans="1:22">
      <c r="A28" s="980">
        <f t="shared" si="5"/>
        <v>22</v>
      </c>
      <c r="B28" s="943" t="s">
        <v>4125</v>
      </c>
      <c r="C28" s="1000"/>
      <c r="D28" s="1000"/>
      <c r="E28" s="1000"/>
      <c r="F28" s="1001" t="str">
        <f t="shared" si="0"/>
        <v/>
      </c>
      <c r="G28" s="1000"/>
      <c r="H28" s="1000"/>
      <c r="I28" s="1000"/>
      <c r="J28" s="1001" t="str">
        <f t="shared" si="1"/>
        <v/>
      </c>
      <c r="K28" s="1000">
        <f t="shared" ref="K28:M48" si="6">C28+G28</f>
        <v>0</v>
      </c>
      <c r="L28" s="990">
        <f t="shared" si="6"/>
        <v>0</v>
      </c>
      <c r="M28" s="990">
        <f t="shared" si="6"/>
        <v>0</v>
      </c>
      <c r="N28" s="1001" t="str">
        <f t="shared" si="3"/>
        <v/>
      </c>
      <c r="O28" s="1000"/>
      <c r="P28" s="1000"/>
      <c r="Q28" s="1000"/>
      <c r="R28" s="1001" t="str">
        <f t="shared" si="4"/>
        <v/>
      </c>
      <c r="S28" s="52"/>
      <c r="T28" s="1002"/>
      <c r="U28" s="52"/>
      <c r="V28" s="52"/>
    </row>
    <row r="29" spans="1:22">
      <c r="A29" s="980">
        <f t="shared" si="5"/>
        <v>23</v>
      </c>
      <c r="B29" s="943" t="s">
        <v>4126</v>
      </c>
      <c r="C29" s="1000"/>
      <c r="D29" s="1000"/>
      <c r="E29" s="1000"/>
      <c r="F29" s="1001" t="str">
        <f t="shared" si="0"/>
        <v/>
      </c>
      <c r="G29" s="1000"/>
      <c r="H29" s="1000"/>
      <c r="I29" s="1000"/>
      <c r="J29" s="1001" t="str">
        <f t="shared" si="1"/>
        <v/>
      </c>
      <c r="K29" s="1000">
        <f t="shared" si="6"/>
        <v>0</v>
      </c>
      <c r="L29" s="990">
        <f t="shared" si="6"/>
        <v>0</v>
      </c>
      <c r="M29" s="990">
        <f t="shared" si="6"/>
        <v>0</v>
      </c>
      <c r="N29" s="1001" t="str">
        <f t="shared" si="3"/>
        <v/>
      </c>
      <c r="O29" s="1000"/>
      <c r="P29" s="1000"/>
      <c r="Q29" s="1000"/>
      <c r="R29" s="1001" t="str">
        <f t="shared" si="4"/>
        <v/>
      </c>
      <c r="S29" s="52"/>
      <c r="T29" s="1002"/>
      <c r="U29" s="52"/>
      <c r="V29" s="52"/>
    </row>
    <row r="30" spans="1:22">
      <c r="A30" s="980">
        <f t="shared" si="5"/>
        <v>24</v>
      </c>
      <c r="B30" s="943" t="s">
        <v>4127</v>
      </c>
      <c r="C30" s="1000"/>
      <c r="D30" s="1000"/>
      <c r="E30" s="1000"/>
      <c r="F30" s="1001" t="str">
        <f t="shared" si="0"/>
        <v/>
      </c>
      <c r="G30" s="1000"/>
      <c r="H30" s="1000"/>
      <c r="I30" s="1000"/>
      <c r="J30" s="1001" t="str">
        <f t="shared" si="1"/>
        <v/>
      </c>
      <c r="K30" s="1000">
        <f t="shared" si="6"/>
        <v>0</v>
      </c>
      <c r="L30" s="990">
        <f t="shared" si="6"/>
        <v>0</v>
      </c>
      <c r="M30" s="990">
        <f t="shared" si="6"/>
        <v>0</v>
      </c>
      <c r="N30" s="1001" t="str">
        <f t="shared" si="3"/>
        <v/>
      </c>
      <c r="O30" s="1000"/>
      <c r="P30" s="1000"/>
      <c r="Q30" s="1000"/>
      <c r="R30" s="1001" t="str">
        <f t="shared" si="4"/>
        <v/>
      </c>
      <c r="S30" s="52"/>
      <c r="T30" s="1002"/>
      <c r="U30" s="52"/>
      <c r="V30" s="52"/>
    </row>
    <row r="31" spans="1:22">
      <c r="A31" s="980">
        <f t="shared" si="5"/>
        <v>25</v>
      </c>
      <c r="B31" s="943" t="s">
        <v>4128</v>
      </c>
      <c r="C31" s="1000"/>
      <c r="D31" s="1000"/>
      <c r="E31" s="1000"/>
      <c r="F31" s="1001" t="str">
        <f t="shared" si="0"/>
        <v/>
      </c>
      <c r="G31" s="1000"/>
      <c r="H31" s="1000"/>
      <c r="I31" s="1000"/>
      <c r="J31" s="1001" t="str">
        <f t="shared" si="1"/>
        <v/>
      </c>
      <c r="K31" s="1000">
        <f t="shared" si="6"/>
        <v>0</v>
      </c>
      <c r="L31" s="990">
        <f t="shared" si="6"/>
        <v>0</v>
      </c>
      <c r="M31" s="990">
        <f t="shared" si="6"/>
        <v>0</v>
      </c>
      <c r="N31" s="1001" t="str">
        <f t="shared" si="3"/>
        <v/>
      </c>
      <c r="O31" s="1000"/>
      <c r="P31" s="1000"/>
      <c r="Q31" s="1000"/>
      <c r="R31" s="1001" t="str">
        <f t="shared" si="4"/>
        <v/>
      </c>
      <c r="S31" s="52"/>
      <c r="T31" s="1002"/>
      <c r="U31" s="52"/>
      <c r="V31" s="52"/>
    </row>
    <row r="32" spans="1:22">
      <c r="A32" s="980">
        <f t="shared" si="5"/>
        <v>26</v>
      </c>
      <c r="B32" s="944" t="s">
        <v>4129</v>
      </c>
      <c r="C32" s="1000"/>
      <c r="D32" s="1000"/>
      <c r="E32" s="1000"/>
      <c r="F32" s="1001" t="str">
        <f t="shared" si="0"/>
        <v/>
      </c>
      <c r="G32" s="1000"/>
      <c r="H32" s="1000"/>
      <c r="I32" s="1000"/>
      <c r="J32" s="1001" t="str">
        <f t="shared" si="1"/>
        <v/>
      </c>
      <c r="K32" s="1000">
        <f t="shared" si="6"/>
        <v>0</v>
      </c>
      <c r="L32" s="990">
        <f t="shared" si="6"/>
        <v>0</v>
      </c>
      <c r="M32" s="990">
        <f t="shared" si="6"/>
        <v>0</v>
      </c>
      <c r="N32" s="1001" t="str">
        <f t="shared" si="3"/>
        <v/>
      </c>
      <c r="O32" s="990"/>
      <c r="P32" s="990"/>
      <c r="Q32" s="990"/>
      <c r="R32" s="1001" t="str">
        <f t="shared" si="4"/>
        <v/>
      </c>
      <c r="S32" s="52"/>
      <c r="T32" s="1002"/>
      <c r="U32" s="52"/>
      <c r="V32" s="52"/>
    </row>
    <row r="33" spans="1:22">
      <c r="A33" s="980">
        <f t="shared" si="5"/>
        <v>27</v>
      </c>
      <c r="B33" s="943" t="s">
        <v>4130</v>
      </c>
      <c r="C33" s="1000"/>
      <c r="D33" s="1000"/>
      <c r="E33" s="1000"/>
      <c r="F33" s="1001" t="str">
        <f t="shared" si="0"/>
        <v/>
      </c>
      <c r="G33" s="1000"/>
      <c r="H33" s="1000"/>
      <c r="I33" s="1000"/>
      <c r="J33" s="1001" t="str">
        <f t="shared" si="1"/>
        <v/>
      </c>
      <c r="K33" s="1000">
        <f t="shared" si="6"/>
        <v>0</v>
      </c>
      <c r="L33" s="990">
        <f t="shared" si="6"/>
        <v>0</v>
      </c>
      <c r="M33" s="990">
        <f t="shared" si="6"/>
        <v>0</v>
      </c>
      <c r="N33" s="1001" t="str">
        <f t="shared" si="3"/>
        <v/>
      </c>
      <c r="O33" s="990"/>
      <c r="P33" s="990"/>
      <c r="Q33" s="990"/>
      <c r="R33" s="1001" t="str">
        <f t="shared" si="4"/>
        <v/>
      </c>
      <c r="S33" s="52"/>
      <c r="T33" s="1002"/>
      <c r="U33" s="52"/>
      <c r="V33" s="52"/>
    </row>
    <row r="34" spans="1:22">
      <c r="A34" s="980">
        <f t="shared" si="5"/>
        <v>28</v>
      </c>
      <c r="B34" s="943" t="s">
        <v>4131</v>
      </c>
      <c r="C34" s="1000"/>
      <c r="D34" s="1000"/>
      <c r="E34" s="1000"/>
      <c r="F34" s="1001" t="str">
        <f t="shared" si="0"/>
        <v/>
      </c>
      <c r="G34" s="1000"/>
      <c r="H34" s="1000"/>
      <c r="I34" s="1000"/>
      <c r="J34" s="1001" t="str">
        <f t="shared" si="1"/>
        <v/>
      </c>
      <c r="K34" s="1000">
        <f t="shared" si="6"/>
        <v>0</v>
      </c>
      <c r="L34" s="990">
        <f t="shared" si="6"/>
        <v>0</v>
      </c>
      <c r="M34" s="990">
        <f t="shared" si="6"/>
        <v>0</v>
      </c>
      <c r="N34" s="1001" t="str">
        <f t="shared" si="3"/>
        <v/>
      </c>
      <c r="O34" s="990"/>
      <c r="P34" s="990"/>
      <c r="Q34" s="990"/>
      <c r="R34" s="1001" t="str">
        <f t="shared" si="4"/>
        <v/>
      </c>
      <c r="S34" s="52"/>
      <c r="T34" s="1002"/>
      <c r="U34" s="52"/>
      <c r="V34" s="52"/>
    </row>
    <row r="35" spans="1:22">
      <c r="A35" s="980">
        <f t="shared" si="5"/>
        <v>29</v>
      </c>
      <c r="B35" s="943" t="s">
        <v>4132</v>
      </c>
      <c r="C35" s="1000"/>
      <c r="D35" s="1000"/>
      <c r="E35" s="1000"/>
      <c r="F35" s="1001" t="str">
        <f t="shared" si="0"/>
        <v/>
      </c>
      <c r="G35" s="1000"/>
      <c r="H35" s="1000"/>
      <c r="I35" s="1000"/>
      <c r="J35" s="1001" t="str">
        <f t="shared" si="1"/>
        <v/>
      </c>
      <c r="K35" s="1000">
        <f t="shared" si="6"/>
        <v>0</v>
      </c>
      <c r="L35" s="990">
        <f t="shared" si="6"/>
        <v>0</v>
      </c>
      <c r="M35" s="990">
        <f t="shared" si="6"/>
        <v>0</v>
      </c>
      <c r="N35" s="1001" t="str">
        <f t="shared" si="3"/>
        <v/>
      </c>
      <c r="O35" s="990"/>
      <c r="P35" s="990"/>
      <c r="Q35" s="990"/>
      <c r="R35" s="1001" t="str">
        <f t="shared" si="4"/>
        <v/>
      </c>
      <c r="S35" s="52"/>
      <c r="T35" s="1002"/>
      <c r="U35" s="52"/>
      <c r="V35" s="52"/>
    </row>
    <row r="36" spans="1:22">
      <c r="A36" s="980">
        <f t="shared" si="5"/>
        <v>30</v>
      </c>
      <c r="B36" s="943" t="s">
        <v>4133</v>
      </c>
      <c r="C36" s="1000"/>
      <c r="D36" s="1000"/>
      <c r="E36" s="1000"/>
      <c r="F36" s="1001" t="str">
        <f t="shared" si="0"/>
        <v/>
      </c>
      <c r="G36" s="1000"/>
      <c r="H36" s="1000"/>
      <c r="I36" s="1000"/>
      <c r="J36" s="1001" t="str">
        <f t="shared" si="1"/>
        <v/>
      </c>
      <c r="K36" s="1000">
        <f t="shared" si="6"/>
        <v>0</v>
      </c>
      <c r="L36" s="990">
        <f t="shared" si="6"/>
        <v>0</v>
      </c>
      <c r="M36" s="990">
        <f t="shared" si="6"/>
        <v>0</v>
      </c>
      <c r="N36" s="1001" t="str">
        <f t="shared" si="3"/>
        <v/>
      </c>
      <c r="O36" s="990"/>
      <c r="P36" s="990"/>
      <c r="Q36" s="990"/>
      <c r="R36" s="1001" t="str">
        <f t="shared" si="4"/>
        <v/>
      </c>
      <c r="S36" s="52"/>
      <c r="T36" s="1002"/>
      <c r="U36" s="52"/>
      <c r="V36" s="52"/>
    </row>
    <row r="37" spans="1:22">
      <c r="A37" s="980">
        <f t="shared" si="5"/>
        <v>31</v>
      </c>
      <c r="B37" s="2176" t="s">
        <v>672</v>
      </c>
      <c r="C37" s="1000"/>
      <c r="D37" s="1000"/>
      <c r="E37" s="1000"/>
      <c r="F37" s="1001" t="str">
        <f t="shared" si="0"/>
        <v/>
      </c>
      <c r="G37" s="1000"/>
      <c r="H37" s="1000"/>
      <c r="I37" s="1000"/>
      <c r="J37" s="1001" t="str">
        <f t="shared" si="1"/>
        <v/>
      </c>
      <c r="K37" s="1000">
        <f t="shared" si="6"/>
        <v>0</v>
      </c>
      <c r="L37" s="990">
        <f t="shared" si="6"/>
        <v>0</v>
      </c>
      <c r="M37" s="990">
        <f t="shared" si="6"/>
        <v>0</v>
      </c>
      <c r="N37" s="1001" t="str">
        <f t="shared" si="3"/>
        <v/>
      </c>
      <c r="O37" s="990"/>
      <c r="P37" s="990"/>
      <c r="Q37" s="990"/>
      <c r="R37" s="1001" t="str">
        <f t="shared" si="4"/>
        <v/>
      </c>
      <c r="S37" s="52"/>
      <c r="T37" s="1002"/>
      <c r="U37" s="52"/>
      <c r="V37" s="52"/>
    </row>
    <row r="38" spans="1:22">
      <c r="A38" s="980">
        <f t="shared" si="5"/>
        <v>32</v>
      </c>
      <c r="B38" s="913" t="s">
        <v>4986</v>
      </c>
      <c r="C38" s="1000"/>
      <c r="D38" s="1000"/>
      <c r="E38" s="1000"/>
      <c r="F38" s="1001" t="str">
        <f t="shared" si="0"/>
        <v/>
      </c>
      <c r="G38" s="1000"/>
      <c r="H38" s="1000"/>
      <c r="I38" s="1000"/>
      <c r="J38" s="1001" t="str">
        <f t="shared" si="1"/>
        <v/>
      </c>
      <c r="K38" s="1000">
        <f t="shared" si="6"/>
        <v>0</v>
      </c>
      <c r="L38" s="990">
        <f t="shared" si="6"/>
        <v>0</v>
      </c>
      <c r="M38" s="990">
        <f t="shared" si="6"/>
        <v>0</v>
      </c>
      <c r="N38" s="1001" t="str">
        <f t="shared" si="3"/>
        <v/>
      </c>
      <c r="O38" s="990"/>
      <c r="P38" s="990"/>
      <c r="Q38" s="990"/>
      <c r="R38" s="1001"/>
      <c r="S38" s="52"/>
      <c r="T38" s="1002"/>
      <c r="U38" s="52"/>
      <c r="V38" s="52"/>
    </row>
    <row r="39" spans="1:22">
      <c r="A39" s="980">
        <f t="shared" si="5"/>
        <v>33</v>
      </c>
      <c r="B39" s="945" t="s">
        <v>4134</v>
      </c>
      <c r="C39" s="1000">
        <f>SUM(C40:C47)</f>
        <v>0</v>
      </c>
      <c r="D39" s="1000">
        <f>SUM(D40:D47)</f>
        <v>0</v>
      </c>
      <c r="E39" s="1000">
        <f>SUM(E40:E47)</f>
        <v>0</v>
      </c>
      <c r="F39" s="1001" t="str">
        <f t="shared" si="0"/>
        <v/>
      </c>
      <c r="G39" s="1000">
        <f>SUM(G40:G47)</f>
        <v>0</v>
      </c>
      <c r="H39" s="1000">
        <f>SUM(H40:H47)</f>
        <v>0</v>
      </c>
      <c r="I39" s="1000">
        <f>SUM(I40:I47)</f>
        <v>0</v>
      </c>
      <c r="J39" s="1001" t="str">
        <f t="shared" si="1"/>
        <v/>
      </c>
      <c r="K39" s="1000">
        <f>SUM(K40:K47)</f>
        <v>0</v>
      </c>
      <c r="L39" s="990">
        <f>SUM(L40:L47)</f>
        <v>0</v>
      </c>
      <c r="M39" s="990">
        <f>SUM(M40:M47)</f>
        <v>0</v>
      </c>
      <c r="N39" s="1001" t="str">
        <f t="shared" si="3"/>
        <v/>
      </c>
      <c r="O39" s="990"/>
      <c r="P39" s="990"/>
      <c r="Q39" s="990"/>
      <c r="R39" s="1001" t="str">
        <f t="shared" si="4"/>
        <v/>
      </c>
      <c r="S39" s="52"/>
      <c r="T39" s="1002"/>
      <c r="U39" s="52"/>
      <c r="V39" s="52"/>
    </row>
    <row r="40" spans="1:22">
      <c r="A40" s="980">
        <f t="shared" si="5"/>
        <v>34</v>
      </c>
      <c r="B40" s="943" t="s">
        <v>4135</v>
      </c>
      <c r="C40" s="1003"/>
      <c r="D40" s="1003"/>
      <c r="E40" s="1003"/>
      <c r="F40" s="1001" t="str">
        <f t="shared" si="0"/>
        <v/>
      </c>
      <c r="G40" s="1003"/>
      <c r="H40" s="1003"/>
      <c r="I40" s="1003"/>
      <c r="J40" s="1001" t="str">
        <f t="shared" si="1"/>
        <v/>
      </c>
      <c r="K40" s="1003">
        <f t="shared" si="6"/>
        <v>0</v>
      </c>
      <c r="L40" s="990">
        <f t="shared" si="6"/>
        <v>0</v>
      </c>
      <c r="M40" s="990">
        <f t="shared" si="6"/>
        <v>0</v>
      </c>
      <c r="N40" s="1001" t="str">
        <f t="shared" si="3"/>
        <v/>
      </c>
      <c r="O40" s="990"/>
      <c r="P40" s="990"/>
      <c r="Q40" s="990"/>
      <c r="R40" s="1001" t="str">
        <f t="shared" si="4"/>
        <v/>
      </c>
      <c r="S40" s="52"/>
      <c r="T40" s="1002"/>
      <c r="U40" s="52"/>
      <c r="V40" s="52"/>
    </row>
    <row r="41" spans="1:22">
      <c r="A41" s="980">
        <f t="shared" si="5"/>
        <v>35</v>
      </c>
      <c r="B41" s="943" t="s">
        <v>4136</v>
      </c>
      <c r="C41" s="1000"/>
      <c r="D41" s="1000"/>
      <c r="E41" s="1000"/>
      <c r="F41" s="1001" t="str">
        <f t="shared" si="0"/>
        <v/>
      </c>
      <c r="G41" s="1000"/>
      <c r="H41" s="1000"/>
      <c r="I41" s="1000"/>
      <c r="J41" s="1001" t="str">
        <f t="shared" si="1"/>
        <v/>
      </c>
      <c r="K41" s="1000">
        <f t="shared" si="6"/>
        <v>0</v>
      </c>
      <c r="L41" s="990">
        <f t="shared" si="6"/>
        <v>0</v>
      </c>
      <c r="M41" s="990">
        <f t="shared" si="6"/>
        <v>0</v>
      </c>
      <c r="N41" s="1001" t="str">
        <f t="shared" si="3"/>
        <v/>
      </c>
      <c r="O41" s="990"/>
      <c r="P41" s="990"/>
      <c r="Q41" s="990"/>
      <c r="R41" s="1001" t="str">
        <f t="shared" si="4"/>
        <v/>
      </c>
      <c r="S41" s="52"/>
      <c r="T41" s="1002"/>
      <c r="U41" s="52"/>
      <c r="V41" s="52"/>
    </row>
    <row r="42" spans="1:22">
      <c r="A42" s="980">
        <f t="shared" si="5"/>
        <v>36</v>
      </c>
      <c r="B42" s="943" t="s">
        <v>4137</v>
      </c>
      <c r="C42" s="1000"/>
      <c r="D42" s="1000"/>
      <c r="E42" s="1000"/>
      <c r="F42" s="1001" t="str">
        <f t="shared" si="0"/>
        <v/>
      </c>
      <c r="G42" s="1000"/>
      <c r="H42" s="1000"/>
      <c r="I42" s="1000"/>
      <c r="J42" s="1001" t="str">
        <f t="shared" si="1"/>
        <v/>
      </c>
      <c r="K42" s="1000">
        <f t="shared" si="6"/>
        <v>0</v>
      </c>
      <c r="L42" s="990">
        <f t="shared" si="6"/>
        <v>0</v>
      </c>
      <c r="M42" s="990">
        <f t="shared" si="6"/>
        <v>0</v>
      </c>
      <c r="N42" s="1001" t="str">
        <f t="shared" si="3"/>
        <v/>
      </c>
      <c r="O42" s="990"/>
      <c r="P42" s="990"/>
      <c r="Q42" s="990"/>
      <c r="R42" s="1001" t="str">
        <f t="shared" si="4"/>
        <v/>
      </c>
      <c r="S42" s="52"/>
      <c r="T42" s="1002"/>
      <c r="U42" s="52"/>
      <c r="V42" s="52"/>
    </row>
    <row r="43" spans="1:22">
      <c r="A43" s="980">
        <f t="shared" si="5"/>
        <v>37</v>
      </c>
      <c r="B43" s="943" t="s">
        <v>4138</v>
      </c>
      <c r="C43" s="1000"/>
      <c r="D43" s="1000"/>
      <c r="E43" s="1000"/>
      <c r="F43" s="1001" t="str">
        <f t="shared" si="0"/>
        <v/>
      </c>
      <c r="G43" s="1000"/>
      <c r="H43" s="1000"/>
      <c r="I43" s="1000"/>
      <c r="J43" s="1001" t="str">
        <f t="shared" si="1"/>
        <v/>
      </c>
      <c r="K43" s="1000">
        <f t="shared" si="6"/>
        <v>0</v>
      </c>
      <c r="L43" s="990">
        <f t="shared" si="6"/>
        <v>0</v>
      </c>
      <c r="M43" s="990">
        <f t="shared" si="6"/>
        <v>0</v>
      </c>
      <c r="N43" s="1001" t="str">
        <f t="shared" si="3"/>
        <v/>
      </c>
      <c r="O43" s="990"/>
      <c r="P43" s="990"/>
      <c r="Q43" s="990"/>
      <c r="R43" s="1001" t="str">
        <f t="shared" si="4"/>
        <v/>
      </c>
      <c r="S43" s="52"/>
      <c r="T43" s="1002"/>
      <c r="U43" s="52"/>
      <c r="V43" s="52"/>
    </row>
    <row r="44" spans="1:22">
      <c r="A44" s="980">
        <f t="shared" si="5"/>
        <v>38</v>
      </c>
      <c r="B44" s="943" t="s">
        <v>4139</v>
      </c>
      <c r="C44" s="1000"/>
      <c r="D44" s="1000"/>
      <c r="E44" s="1000"/>
      <c r="F44" s="1001" t="str">
        <f t="shared" si="0"/>
        <v/>
      </c>
      <c r="G44" s="1000"/>
      <c r="H44" s="1000"/>
      <c r="I44" s="1000"/>
      <c r="J44" s="1001" t="str">
        <f t="shared" si="1"/>
        <v/>
      </c>
      <c r="K44" s="1000">
        <f t="shared" si="6"/>
        <v>0</v>
      </c>
      <c r="L44" s="990">
        <f t="shared" si="6"/>
        <v>0</v>
      </c>
      <c r="M44" s="990">
        <f t="shared" si="6"/>
        <v>0</v>
      </c>
      <c r="N44" s="1001" t="str">
        <f t="shared" si="3"/>
        <v/>
      </c>
      <c r="O44" s="990"/>
      <c r="P44" s="990"/>
      <c r="Q44" s="990"/>
      <c r="R44" s="1001" t="str">
        <f t="shared" si="4"/>
        <v/>
      </c>
      <c r="S44" s="52"/>
      <c r="T44" s="1002"/>
      <c r="U44" s="52"/>
      <c r="V44" s="52"/>
    </row>
    <row r="45" spans="1:22">
      <c r="A45" s="980">
        <f t="shared" si="5"/>
        <v>39</v>
      </c>
      <c r="B45" s="943" t="s">
        <v>4140</v>
      </c>
      <c r="C45" s="1000"/>
      <c r="D45" s="1000"/>
      <c r="E45" s="1000"/>
      <c r="F45" s="1001" t="str">
        <f t="shared" si="0"/>
        <v/>
      </c>
      <c r="G45" s="1000"/>
      <c r="H45" s="1000"/>
      <c r="I45" s="1000"/>
      <c r="J45" s="1001" t="str">
        <f t="shared" si="1"/>
        <v/>
      </c>
      <c r="K45" s="1000">
        <f t="shared" si="6"/>
        <v>0</v>
      </c>
      <c r="L45" s="990">
        <f t="shared" si="6"/>
        <v>0</v>
      </c>
      <c r="M45" s="990">
        <f t="shared" si="6"/>
        <v>0</v>
      </c>
      <c r="N45" s="1001" t="str">
        <f t="shared" si="3"/>
        <v/>
      </c>
      <c r="O45" s="990"/>
      <c r="P45" s="990"/>
      <c r="Q45" s="990"/>
      <c r="R45" s="1001" t="str">
        <f t="shared" si="4"/>
        <v/>
      </c>
      <c r="S45" s="52"/>
      <c r="T45" s="1002"/>
      <c r="U45" s="52"/>
      <c r="V45" s="52"/>
    </row>
    <row r="46" spans="1:22">
      <c r="A46" s="980">
        <f t="shared" si="5"/>
        <v>40</v>
      </c>
      <c r="B46" s="943" t="s">
        <v>4141</v>
      </c>
      <c r="C46" s="1000"/>
      <c r="D46" s="1000"/>
      <c r="E46" s="1000"/>
      <c r="F46" s="1001" t="str">
        <f t="shared" si="0"/>
        <v/>
      </c>
      <c r="G46" s="1000"/>
      <c r="H46" s="1000"/>
      <c r="I46" s="1000"/>
      <c r="J46" s="1001" t="str">
        <f t="shared" si="1"/>
        <v/>
      </c>
      <c r="K46" s="1000">
        <f t="shared" si="6"/>
        <v>0</v>
      </c>
      <c r="L46" s="990">
        <f t="shared" si="6"/>
        <v>0</v>
      </c>
      <c r="M46" s="990">
        <f t="shared" si="6"/>
        <v>0</v>
      </c>
      <c r="N46" s="1001" t="str">
        <f t="shared" si="3"/>
        <v/>
      </c>
      <c r="O46" s="990"/>
      <c r="P46" s="990"/>
      <c r="Q46" s="990"/>
      <c r="R46" s="1001" t="str">
        <f t="shared" si="4"/>
        <v/>
      </c>
      <c r="S46" s="52"/>
      <c r="T46" s="1002"/>
      <c r="U46" s="52"/>
      <c r="V46" s="52"/>
    </row>
    <row r="47" spans="1:22">
      <c r="A47" s="980">
        <f t="shared" si="5"/>
        <v>41</v>
      </c>
      <c r="B47" s="943" t="s">
        <v>4142</v>
      </c>
      <c r="C47" s="1000"/>
      <c r="D47" s="1000"/>
      <c r="E47" s="1000"/>
      <c r="F47" s="1001" t="str">
        <f t="shared" si="0"/>
        <v/>
      </c>
      <c r="G47" s="1000"/>
      <c r="H47" s="1000"/>
      <c r="I47" s="1000"/>
      <c r="J47" s="1001" t="str">
        <f t="shared" si="1"/>
        <v/>
      </c>
      <c r="K47" s="1000">
        <f t="shared" si="6"/>
        <v>0</v>
      </c>
      <c r="L47" s="990">
        <f t="shared" si="6"/>
        <v>0</v>
      </c>
      <c r="M47" s="990">
        <f t="shared" si="6"/>
        <v>0</v>
      </c>
      <c r="N47" s="1001" t="str">
        <f t="shared" si="3"/>
        <v/>
      </c>
      <c r="O47" s="990"/>
      <c r="P47" s="990"/>
      <c r="Q47" s="990"/>
      <c r="R47" s="1001" t="str">
        <f t="shared" si="4"/>
        <v/>
      </c>
      <c r="S47" s="52"/>
      <c r="T47" s="1002"/>
      <c r="U47" s="52"/>
      <c r="V47" s="52"/>
    </row>
    <row r="48" spans="1:22">
      <c r="A48" s="980">
        <f t="shared" si="5"/>
        <v>42</v>
      </c>
      <c r="B48" s="947" t="s">
        <v>3638</v>
      </c>
      <c r="C48" s="1000">
        <f>C7+C39</f>
        <v>0</v>
      </c>
      <c r="D48" s="1000">
        <f>D7+D39</f>
        <v>0</v>
      </c>
      <c r="E48" s="1000">
        <f>E7+E39</f>
        <v>0</v>
      </c>
      <c r="F48" s="1001" t="str">
        <f t="shared" si="0"/>
        <v/>
      </c>
      <c r="G48" s="1000">
        <f>G7+G39</f>
        <v>0</v>
      </c>
      <c r="H48" s="1000">
        <f>H7+H39</f>
        <v>0</v>
      </c>
      <c r="I48" s="1000">
        <f>I7+I39</f>
        <v>0</v>
      </c>
      <c r="J48" s="1001" t="str">
        <f t="shared" si="1"/>
        <v/>
      </c>
      <c r="K48" s="1000">
        <f t="shared" si="6"/>
        <v>0</v>
      </c>
      <c r="L48" s="990">
        <f t="shared" si="6"/>
        <v>0</v>
      </c>
      <c r="M48" s="990">
        <f>E48+I48</f>
        <v>0</v>
      </c>
      <c r="N48" s="1001" t="str">
        <f t="shared" si="3"/>
        <v/>
      </c>
      <c r="O48" s="990">
        <f>O7+O39</f>
        <v>0</v>
      </c>
      <c r="P48" s="990">
        <f>P7+P39</f>
        <v>0</v>
      </c>
      <c r="Q48" s="990">
        <f>Q7+Q39</f>
        <v>0</v>
      </c>
      <c r="R48" s="1001" t="str">
        <f t="shared" si="4"/>
        <v/>
      </c>
      <c r="S48" s="52"/>
      <c r="T48" s="1002"/>
      <c r="U48" s="52"/>
      <c r="V48" s="52"/>
    </row>
    <row r="49" spans="1:18">
      <c r="A49" s="1004" t="s">
        <v>3663</v>
      </c>
      <c r="B49" s="1005" t="s">
        <v>4160</v>
      </c>
      <c r="C49" s="1005"/>
      <c r="D49" s="1005"/>
      <c r="E49" s="1005"/>
      <c r="F49" s="1005"/>
      <c r="G49" s="1005"/>
      <c r="H49" s="1005"/>
      <c r="I49" s="1005"/>
      <c r="J49" s="1005"/>
      <c r="K49" s="1002">
        <f>K48-SUM(K21:K23)-K36</f>
        <v>0</v>
      </c>
      <c r="L49" s="1002">
        <f>L48-SUM(L21:L23)-L36</f>
        <v>0</v>
      </c>
      <c r="M49" s="1002">
        <f>M48-SUM(M21:M23)-M36</f>
        <v>0</v>
      </c>
      <c r="N49" s="1005"/>
      <c r="O49" s="1005"/>
      <c r="P49" s="1005"/>
      <c r="Q49" s="1005"/>
      <c r="R49" s="1005"/>
    </row>
    <row r="50" spans="1:18">
      <c r="A50" s="50">
        <v>1</v>
      </c>
      <c r="B50" s="1006" t="s">
        <v>189</v>
      </c>
    </row>
    <row r="51" spans="1:18">
      <c r="A51" s="50">
        <v>2</v>
      </c>
      <c r="B51" s="46" t="s">
        <v>144</v>
      </c>
    </row>
  </sheetData>
  <mergeCells count="7">
    <mergeCell ref="O3:R4"/>
    <mergeCell ref="A3:A6"/>
    <mergeCell ref="B3:B6"/>
    <mergeCell ref="C3:N3"/>
    <mergeCell ref="C4:F4"/>
    <mergeCell ref="G4:J4"/>
    <mergeCell ref="K4:N4"/>
  </mergeCells>
  <phoneticPr fontId="30"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pane="topRight"/>
      <selection pane="bottomLeft"/>
      <selection pane="bottomRight"/>
    </sheetView>
  </sheetViews>
  <sheetFormatPr defaultColWidth="9" defaultRowHeight="14.25"/>
  <cols>
    <col min="1" max="1" width="5.125" style="46" customWidth="1"/>
    <col min="2" max="2" width="16.875" style="46" customWidth="1"/>
    <col min="3" max="3" width="11.625" style="48" customWidth="1"/>
    <col min="4" max="4" width="11.875" style="48" customWidth="1"/>
    <col min="5" max="5" width="12" style="48" customWidth="1"/>
    <col min="6" max="6" width="12.125" style="46" customWidth="1"/>
    <col min="7" max="7" width="10.625" style="48" customWidth="1"/>
    <col min="8" max="8" width="12.375" style="48" customWidth="1"/>
    <col min="9" max="9" width="12.125" style="48" customWidth="1"/>
    <col min="10" max="10" width="12" style="46" customWidth="1"/>
    <col min="11" max="11" width="11.25" style="48" customWidth="1"/>
    <col min="12" max="12" width="11.75" style="48" customWidth="1"/>
    <col min="13" max="13" width="12" style="48" customWidth="1"/>
    <col min="14" max="14" width="12.625" style="46" customWidth="1"/>
    <col min="15" max="15" width="11.375" style="46" customWidth="1"/>
    <col min="16" max="16" width="12.125" style="46" customWidth="1"/>
    <col min="17" max="17" width="12.375" style="46" customWidth="1"/>
    <col min="18" max="18" width="12.875" style="46" customWidth="1"/>
    <col min="19" max="19" width="9" style="46"/>
    <col min="20" max="20" width="12.25" style="46" bestFit="1" customWidth="1"/>
    <col min="21" max="16384" width="9" style="46"/>
  </cols>
  <sheetData>
    <row r="1" spans="1:22" ht="16.5" customHeight="1">
      <c r="A1" s="2186" t="str">
        <f>+封面!A3&amp;" "&amp;封面!A2</f>
        <v xml:space="preserve"> 中央再保險股份有限公司 年度檢查報表</v>
      </c>
    </row>
    <row r="2" spans="1:22" ht="16.5" customHeight="1">
      <c r="A2" s="933" t="s">
        <v>523</v>
      </c>
      <c r="R2" s="286" t="s">
        <v>524</v>
      </c>
    </row>
    <row r="3" spans="1:22" ht="16.5" customHeight="1">
      <c r="A3" s="3148" t="s">
        <v>525</v>
      </c>
      <c r="B3" s="3149" t="s">
        <v>526</v>
      </c>
      <c r="C3" s="3143" t="s">
        <v>4154</v>
      </c>
      <c r="D3" s="3146"/>
      <c r="E3" s="3146"/>
      <c r="F3" s="3146"/>
      <c r="G3" s="3146"/>
      <c r="H3" s="3146"/>
      <c r="I3" s="3146"/>
      <c r="J3" s="3146"/>
      <c r="K3" s="3146"/>
      <c r="L3" s="3146"/>
      <c r="M3" s="3146"/>
      <c r="N3" s="3147"/>
      <c r="O3" s="3151" t="s">
        <v>4155</v>
      </c>
      <c r="P3" s="3152"/>
      <c r="Q3" s="3152"/>
      <c r="R3" s="3153"/>
    </row>
    <row r="4" spans="1:22" ht="16.5" customHeight="1">
      <c r="A4" s="3148"/>
      <c r="B4" s="3149"/>
      <c r="C4" s="3143" t="s">
        <v>527</v>
      </c>
      <c r="D4" s="3144"/>
      <c r="E4" s="3144"/>
      <c r="F4" s="3145"/>
      <c r="G4" s="3143" t="s">
        <v>528</v>
      </c>
      <c r="H4" s="3144"/>
      <c r="I4" s="3144"/>
      <c r="J4" s="3145"/>
      <c r="K4" s="3143" t="s">
        <v>470</v>
      </c>
      <c r="L4" s="3146"/>
      <c r="M4" s="3146"/>
      <c r="N4" s="3147"/>
      <c r="O4" s="3154"/>
      <c r="P4" s="3155"/>
      <c r="Q4" s="3155"/>
      <c r="R4" s="3156"/>
    </row>
    <row r="5" spans="1:22" s="929" customFormat="1" ht="24" customHeight="1">
      <c r="A5" s="3148"/>
      <c r="B5" s="3149"/>
      <c r="C5" s="988" t="s">
        <v>437</v>
      </c>
      <c r="D5" s="988" t="s">
        <v>438</v>
      </c>
      <c r="E5" s="988" t="s">
        <v>529</v>
      </c>
      <c r="F5" s="988" t="s">
        <v>530</v>
      </c>
      <c r="G5" s="988" t="s">
        <v>437</v>
      </c>
      <c r="H5" s="988" t="s">
        <v>438</v>
      </c>
      <c r="I5" s="988" t="s">
        <v>529</v>
      </c>
      <c r="J5" s="988" t="s">
        <v>530</v>
      </c>
      <c r="K5" s="988" t="s">
        <v>437</v>
      </c>
      <c r="L5" s="988" t="s">
        <v>438</v>
      </c>
      <c r="M5" s="988" t="s">
        <v>529</v>
      </c>
      <c r="N5" s="988" t="s">
        <v>530</v>
      </c>
      <c r="O5" s="988" t="s">
        <v>437</v>
      </c>
      <c r="P5" s="988" t="s">
        <v>438</v>
      </c>
      <c r="Q5" s="988" t="s">
        <v>529</v>
      </c>
      <c r="R5" s="881" t="s">
        <v>530</v>
      </c>
    </row>
    <row r="6" spans="1:22" s="929" customFormat="1">
      <c r="A6" s="3148"/>
      <c r="B6" s="3149"/>
      <c r="C6" s="889" t="s">
        <v>66</v>
      </c>
      <c r="D6" s="893" t="s">
        <v>344</v>
      </c>
      <c r="E6" s="889" t="s">
        <v>531</v>
      </c>
      <c r="F6" s="893" t="s">
        <v>532</v>
      </c>
      <c r="G6" s="889" t="s">
        <v>533</v>
      </c>
      <c r="H6" s="893" t="s">
        <v>534</v>
      </c>
      <c r="I6" s="889" t="s">
        <v>535</v>
      </c>
      <c r="J6" s="893" t="s">
        <v>536</v>
      </c>
      <c r="K6" s="889" t="s">
        <v>537</v>
      </c>
      <c r="L6" s="893" t="s">
        <v>538</v>
      </c>
      <c r="M6" s="889" t="s">
        <v>539</v>
      </c>
      <c r="N6" s="893" t="s">
        <v>540</v>
      </c>
      <c r="O6" s="889" t="s">
        <v>541</v>
      </c>
      <c r="P6" s="893" t="s">
        <v>542</v>
      </c>
      <c r="Q6" s="889" t="s">
        <v>543</v>
      </c>
      <c r="R6" s="893" t="s">
        <v>544</v>
      </c>
    </row>
    <row r="7" spans="1:22" ht="16.5" customHeight="1">
      <c r="A7" s="980">
        <v>1</v>
      </c>
      <c r="B7" s="989" t="s">
        <v>4104</v>
      </c>
      <c r="C7" s="990">
        <f>SUM(C8:C14)</f>
        <v>0</v>
      </c>
      <c r="D7" s="990">
        <f>SUM(D8:D14)</f>
        <v>0</v>
      </c>
      <c r="E7" s="990">
        <f>SUM(E8:E14)</f>
        <v>0</v>
      </c>
      <c r="F7" s="991" t="str">
        <f>IF(C7=0,"",(D7-D13-D14)/(C7-C13-C14))</f>
        <v/>
      </c>
      <c r="G7" s="990">
        <f>SUM(G8:G14)</f>
        <v>0</v>
      </c>
      <c r="H7" s="990">
        <f>SUM(H8:H14)</f>
        <v>0</v>
      </c>
      <c r="I7" s="990">
        <f>SUM(I8:I14)</f>
        <v>0</v>
      </c>
      <c r="J7" s="991" t="str">
        <f>IF(G7=0,"",(H7-H13-H14)/(G7-G13-G14))</f>
        <v/>
      </c>
      <c r="K7" s="990">
        <f>C7+G7</f>
        <v>0</v>
      </c>
      <c r="L7" s="990">
        <f t="shared" ref="K7:M15" si="0">D7+H7</f>
        <v>0</v>
      </c>
      <c r="M7" s="990">
        <f t="shared" si="0"/>
        <v>0</v>
      </c>
      <c r="N7" s="991" t="str">
        <f>IF(K7=0,"",(L7-L13-L14)/(K7-K13-K14))</f>
        <v/>
      </c>
      <c r="O7" s="990"/>
      <c r="P7" s="990"/>
      <c r="Q7" s="990"/>
      <c r="R7" s="991" t="str">
        <f>IF(O7=0,"",(P7-P13-P14)/(O7-O13-O14))</f>
        <v/>
      </c>
      <c r="S7" s="48"/>
      <c r="T7" s="48"/>
      <c r="U7" s="48"/>
      <c r="V7" s="48"/>
    </row>
    <row r="8" spans="1:22" ht="16.5" customHeight="1">
      <c r="A8" s="980">
        <v>2</v>
      </c>
      <c r="B8" s="989" t="s">
        <v>4156</v>
      </c>
      <c r="C8" s="992"/>
      <c r="D8" s="992"/>
      <c r="E8" s="992"/>
      <c r="F8" s="991" t="str">
        <f t="shared" ref="F8:F20" si="1">IF(C8=0,"",D8/C8)</f>
        <v/>
      </c>
      <c r="G8" s="992"/>
      <c r="H8" s="992"/>
      <c r="I8" s="992"/>
      <c r="J8" s="991" t="str">
        <f t="shared" ref="J8:J20" si="2">IF(G8=0,"",H8/G8)</f>
        <v/>
      </c>
      <c r="K8" s="990">
        <f t="shared" si="0"/>
        <v>0</v>
      </c>
      <c r="L8" s="992">
        <f t="shared" si="0"/>
        <v>0</v>
      </c>
      <c r="M8" s="992">
        <f t="shared" si="0"/>
        <v>0</v>
      </c>
      <c r="N8" s="991" t="str">
        <f t="shared" ref="N8:N20" si="3">IF(K8=0,"",L8/K8)</f>
        <v/>
      </c>
      <c r="O8" s="990"/>
      <c r="P8" s="990"/>
      <c r="Q8" s="990"/>
      <c r="R8" s="991" t="str">
        <f t="shared" ref="R8:R20" si="4">IF(O8=0,"",P8/O8)</f>
        <v/>
      </c>
      <c r="S8" s="48"/>
      <c r="T8" s="48"/>
      <c r="U8" s="48"/>
      <c r="V8" s="48"/>
    </row>
    <row r="9" spans="1:22" ht="16.5" customHeight="1">
      <c r="A9" s="980">
        <v>3</v>
      </c>
      <c r="B9" s="989" t="s">
        <v>4157</v>
      </c>
      <c r="C9" s="992"/>
      <c r="D9" s="992"/>
      <c r="E9" s="992"/>
      <c r="F9" s="991" t="str">
        <f t="shared" si="1"/>
        <v/>
      </c>
      <c r="G9" s="992"/>
      <c r="H9" s="992"/>
      <c r="I9" s="992"/>
      <c r="J9" s="991" t="str">
        <f t="shared" si="2"/>
        <v/>
      </c>
      <c r="K9" s="990">
        <f t="shared" si="0"/>
        <v>0</v>
      </c>
      <c r="L9" s="990">
        <f t="shared" si="0"/>
        <v>0</v>
      </c>
      <c r="M9" s="990">
        <f t="shared" si="0"/>
        <v>0</v>
      </c>
      <c r="N9" s="991" t="str">
        <f t="shared" si="3"/>
        <v/>
      </c>
      <c r="O9" s="990"/>
      <c r="P9" s="990"/>
      <c r="Q9" s="990"/>
      <c r="R9" s="991" t="str">
        <f t="shared" si="4"/>
        <v/>
      </c>
      <c r="S9" s="48"/>
      <c r="T9" s="48"/>
      <c r="U9" s="48"/>
      <c r="V9" s="48"/>
    </row>
    <row r="10" spans="1:22" ht="16.5" customHeight="1">
      <c r="A10" s="980">
        <v>4</v>
      </c>
      <c r="B10" s="993" t="s">
        <v>1173</v>
      </c>
      <c r="C10" s="992"/>
      <c r="D10" s="992"/>
      <c r="E10" s="992"/>
      <c r="F10" s="991" t="str">
        <f t="shared" si="1"/>
        <v/>
      </c>
      <c r="G10" s="992"/>
      <c r="H10" s="992"/>
      <c r="I10" s="992"/>
      <c r="J10" s="991" t="str">
        <f t="shared" si="2"/>
        <v/>
      </c>
      <c r="K10" s="990">
        <f t="shared" si="0"/>
        <v>0</v>
      </c>
      <c r="L10" s="990">
        <f t="shared" si="0"/>
        <v>0</v>
      </c>
      <c r="M10" s="990">
        <f t="shared" si="0"/>
        <v>0</v>
      </c>
      <c r="N10" s="991" t="str">
        <f t="shared" si="3"/>
        <v/>
      </c>
      <c r="O10" s="990"/>
      <c r="P10" s="990"/>
      <c r="Q10" s="990"/>
      <c r="R10" s="991" t="str">
        <f t="shared" si="4"/>
        <v/>
      </c>
      <c r="S10" s="48"/>
      <c r="T10" s="48"/>
      <c r="U10" s="48"/>
      <c r="V10" s="48"/>
    </row>
    <row r="11" spans="1:22" ht="16.5" customHeight="1">
      <c r="A11" s="980">
        <v>5</v>
      </c>
      <c r="B11" s="989" t="s">
        <v>4158</v>
      </c>
      <c r="C11" s="992"/>
      <c r="D11" s="992"/>
      <c r="E11" s="992"/>
      <c r="F11" s="991" t="str">
        <f t="shared" si="1"/>
        <v/>
      </c>
      <c r="G11" s="992"/>
      <c r="H11" s="992"/>
      <c r="I11" s="992"/>
      <c r="J11" s="991" t="str">
        <f t="shared" si="2"/>
        <v/>
      </c>
      <c r="K11" s="990">
        <f t="shared" si="0"/>
        <v>0</v>
      </c>
      <c r="L11" s="990">
        <f t="shared" si="0"/>
        <v>0</v>
      </c>
      <c r="M11" s="990">
        <f t="shared" si="0"/>
        <v>0</v>
      </c>
      <c r="N11" s="991" t="str">
        <f t="shared" si="3"/>
        <v/>
      </c>
      <c r="O11" s="992"/>
      <c r="P11" s="992"/>
      <c r="Q11" s="992"/>
      <c r="R11" s="991" t="str">
        <f t="shared" si="4"/>
        <v/>
      </c>
      <c r="S11" s="48"/>
      <c r="T11" s="48"/>
      <c r="U11" s="48"/>
      <c r="V11" s="48"/>
    </row>
    <row r="12" spans="1:22" ht="16.5" customHeight="1">
      <c r="A12" s="980">
        <v>6</v>
      </c>
      <c r="B12" s="989" t="s">
        <v>4159</v>
      </c>
      <c r="C12" s="992"/>
      <c r="D12" s="992"/>
      <c r="E12" s="992"/>
      <c r="F12" s="991" t="str">
        <f t="shared" si="1"/>
        <v/>
      </c>
      <c r="G12" s="992"/>
      <c r="H12" s="992"/>
      <c r="I12" s="992"/>
      <c r="J12" s="991" t="str">
        <f t="shared" si="2"/>
        <v/>
      </c>
      <c r="K12" s="990">
        <f t="shared" si="0"/>
        <v>0</v>
      </c>
      <c r="L12" s="990">
        <f t="shared" si="0"/>
        <v>0</v>
      </c>
      <c r="M12" s="990">
        <f t="shared" si="0"/>
        <v>0</v>
      </c>
      <c r="N12" s="991" t="str">
        <f t="shared" si="3"/>
        <v/>
      </c>
      <c r="O12" s="992"/>
      <c r="P12" s="992"/>
      <c r="Q12" s="992"/>
      <c r="R12" s="991" t="str">
        <f t="shared" si="4"/>
        <v/>
      </c>
      <c r="S12" s="48"/>
      <c r="T12" s="48"/>
      <c r="U12" s="48"/>
      <c r="V12" s="48"/>
    </row>
    <row r="13" spans="1:22" ht="16.5" customHeight="1">
      <c r="A13" s="980">
        <v>7</v>
      </c>
      <c r="B13" s="993" t="s">
        <v>1034</v>
      </c>
      <c r="C13" s="992"/>
      <c r="D13" s="992"/>
      <c r="E13" s="992"/>
      <c r="F13" s="994"/>
      <c r="G13" s="992"/>
      <c r="H13" s="992"/>
      <c r="I13" s="992"/>
      <c r="J13" s="994"/>
      <c r="K13" s="990">
        <f t="shared" si="0"/>
        <v>0</v>
      </c>
      <c r="L13" s="990">
        <f t="shared" si="0"/>
        <v>0</v>
      </c>
      <c r="M13" s="990">
        <f t="shared" si="0"/>
        <v>0</v>
      </c>
      <c r="N13" s="994"/>
      <c r="O13" s="992"/>
      <c r="P13" s="992"/>
      <c r="Q13" s="992"/>
      <c r="R13" s="994"/>
      <c r="S13" s="48"/>
      <c r="T13" s="48"/>
      <c r="U13" s="48"/>
      <c r="V13" s="48"/>
    </row>
    <row r="14" spans="1:22" ht="16.5" customHeight="1">
      <c r="A14" s="980">
        <v>8</v>
      </c>
      <c r="B14" s="993" t="s">
        <v>1035</v>
      </c>
      <c r="C14" s="992"/>
      <c r="D14" s="992"/>
      <c r="E14" s="992"/>
      <c r="F14" s="994"/>
      <c r="G14" s="992"/>
      <c r="H14" s="992"/>
      <c r="I14" s="992"/>
      <c r="J14" s="994"/>
      <c r="K14" s="990">
        <f>C14+G14</f>
        <v>0</v>
      </c>
      <c r="L14" s="990">
        <f t="shared" si="0"/>
        <v>0</v>
      </c>
      <c r="M14" s="990">
        <f t="shared" si="0"/>
        <v>0</v>
      </c>
      <c r="N14" s="994"/>
      <c r="O14" s="992"/>
      <c r="P14" s="992"/>
      <c r="Q14" s="992"/>
      <c r="R14" s="994"/>
      <c r="S14" s="48"/>
      <c r="T14" s="48"/>
      <c r="U14" s="48"/>
      <c r="V14" s="48"/>
    </row>
    <row r="15" spans="1:22" ht="16.5" customHeight="1">
      <c r="A15" s="980">
        <v>9</v>
      </c>
      <c r="B15" s="989" t="s">
        <v>4134</v>
      </c>
      <c r="C15" s="992">
        <f>SUM(C16:C20)</f>
        <v>0</v>
      </c>
      <c r="D15" s="992">
        <f>SUM(D16:D20)</f>
        <v>0</v>
      </c>
      <c r="E15" s="992">
        <f>SUM(E16:E20)</f>
        <v>0</v>
      </c>
      <c r="F15" s="991" t="str">
        <f t="shared" si="1"/>
        <v/>
      </c>
      <c r="G15" s="992">
        <f>SUM(G16:G20)</f>
        <v>0</v>
      </c>
      <c r="H15" s="992">
        <f>SUM(H16:H20)</f>
        <v>0</v>
      </c>
      <c r="I15" s="992">
        <f>SUM(I16:I20)</f>
        <v>0</v>
      </c>
      <c r="J15" s="991" t="str">
        <f t="shared" si="2"/>
        <v/>
      </c>
      <c r="K15" s="990">
        <f t="shared" si="0"/>
        <v>0</v>
      </c>
      <c r="L15" s="990">
        <f t="shared" si="0"/>
        <v>0</v>
      </c>
      <c r="M15" s="990">
        <f t="shared" si="0"/>
        <v>0</v>
      </c>
      <c r="N15" s="991" t="str">
        <f t="shared" si="3"/>
        <v/>
      </c>
      <c r="O15" s="990"/>
      <c r="P15" s="990"/>
      <c r="Q15" s="990"/>
      <c r="R15" s="991" t="str">
        <f t="shared" si="4"/>
        <v/>
      </c>
      <c r="S15" s="48"/>
      <c r="T15" s="48"/>
      <c r="U15" s="48"/>
      <c r="V15" s="48"/>
    </row>
    <row r="16" spans="1:22" ht="16.5" customHeight="1">
      <c r="A16" s="980">
        <v>10</v>
      </c>
      <c r="B16" s="989" t="s">
        <v>4147</v>
      </c>
      <c r="C16" s="992"/>
      <c r="D16" s="992"/>
      <c r="E16" s="992"/>
      <c r="F16" s="991" t="str">
        <f t="shared" si="1"/>
        <v/>
      </c>
      <c r="G16" s="992"/>
      <c r="H16" s="992"/>
      <c r="I16" s="992"/>
      <c r="J16" s="991" t="str">
        <f t="shared" si="2"/>
        <v/>
      </c>
      <c r="K16" s="990">
        <f t="shared" ref="K16:M21" si="5">C16+G16</f>
        <v>0</v>
      </c>
      <c r="L16" s="990">
        <f t="shared" si="5"/>
        <v>0</v>
      </c>
      <c r="M16" s="990">
        <f t="shared" si="5"/>
        <v>0</v>
      </c>
      <c r="N16" s="991" t="str">
        <f t="shared" si="3"/>
        <v/>
      </c>
      <c r="O16" s="990"/>
      <c r="P16" s="990"/>
      <c r="Q16" s="990"/>
      <c r="R16" s="991" t="str">
        <f t="shared" si="4"/>
        <v/>
      </c>
      <c r="S16" s="48"/>
      <c r="T16" s="48"/>
      <c r="U16" s="48"/>
      <c r="V16" s="48"/>
    </row>
    <row r="17" spans="1:22" ht="16.5" customHeight="1">
      <c r="A17" s="980">
        <v>11</v>
      </c>
      <c r="B17" s="989" t="s">
        <v>4148</v>
      </c>
      <c r="C17" s="992"/>
      <c r="D17" s="992"/>
      <c r="E17" s="992"/>
      <c r="F17" s="991" t="str">
        <f t="shared" si="1"/>
        <v/>
      </c>
      <c r="G17" s="992"/>
      <c r="H17" s="992"/>
      <c r="I17" s="992"/>
      <c r="J17" s="991" t="str">
        <f t="shared" si="2"/>
        <v/>
      </c>
      <c r="K17" s="990">
        <f t="shared" si="5"/>
        <v>0</v>
      </c>
      <c r="L17" s="990">
        <f t="shared" si="5"/>
        <v>0</v>
      </c>
      <c r="M17" s="990">
        <f t="shared" si="5"/>
        <v>0</v>
      </c>
      <c r="N17" s="991" t="str">
        <f t="shared" si="3"/>
        <v/>
      </c>
      <c r="O17" s="992"/>
      <c r="P17" s="992"/>
      <c r="Q17" s="992"/>
      <c r="R17" s="991" t="str">
        <f t="shared" si="4"/>
        <v/>
      </c>
      <c r="S17" s="48"/>
      <c r="T17" s="48"/>
      <c r="U17" s="48"/>
      <c r="V17" s="48"/>
    </row>
    <row r="18" spans="1:22" ht="16.5" customHeight="1">
      <c r="A18" s="980">
        <v>12</v>
      </c>
      <c r="B18" s="989" t="s">
        <v>4149</v>
      </c>
      <c r="C18" s="992"/>
      <c r="D18" s="992"/>
      <c r="E18" s="992"/>
      <c r="F18" s="991" t="str">
        <f t="shared" si="1"/>
        <v/>
      </c>
      <c r="G18" s="992"/>
      <c r="H18" s="992"/>
      <c r="I18" s="992"/>
      <c r="J18" s="991" t="str">
        <f t="shared" si="2"/>
        <v/>
      </c>
      <c r="K18" s="990">
        <f t="shared" si="5"/>
        <v>0</v>
      </c>
      <c r="L18" s="990">
        <f t="shared" si="5"/>
        <v>0</v>
      </c>
      <c r="M18" s="990">
        <f t="shared" si="5"/>
        <v>0</v>
      </c>
      <c r="N18" s="991" t="str">
        <f t="shared" si="3"/>
        <v/>
      </c>
      <c r="O18" s="992"/>
      <c r="P18" s="992"/>
      <c r="Q18" s="992"/>
      <c r="R18" s="991" t="str">
        <f t="shared" si="4"/>
        <v/>
      </c>
      <c r="S18" s="48"/>
      <c r="T18" s="48"/>
      <c r="U18" s="48"/>
      <c r="V18" s="48"/>
    </row>
    <row r="19" spans="1:22" ht="16.5" customHeight="1">
      <c r="A19" s="980">
        <v>13</v>
      </c>
      <c r="B19" s="989" t="s">
        <v>4150</v>
      </c>
      <c r="C19" s="992"/>
      <c r="D19" s="992"/>
      <c r="E19" s="992"/>
      <c r="F19" s="991" t="str">
        <f t="shared" si="1"/>
        <v/>
      </c>
      <c r="G19" s="992"/>
      <c r="H19" s="992"/>
      <c r="I19" s="992"/>
      <c r="J19" s="991" t="str">
        <f t="shared" si="2"/>
        <v/>
      </c>
      <c r="K19" s="990">
        <f t="shared" si="5"/>
        <v>0</v>
      </c>
      <c r="L19" s="990">
        <f t="shared" si="5"/>
        <v>0</v>
      </c>
      <c r="M19" s="990">
        <f t="shared" si="5"/>
        <v>0</v>
      </c>
      <c r="N19" s="991" t="str">
        <f t="shared" si="3"/>
        <v/>
      </c>
      <c r="O19" s="992"/>
      <c r="P19" s="992"/>
      <c r="Q19" s="992"/>
      <c r="R19" s="991" t="str">
        <f t="shared" si="4"/>
        <v/>
      </c>
      <c r="S19" s="48"/>
      <c r="T19" s="48"/>
      <c r="U19" s="48"/>
      <c r="V19" s="48"/>
    </row>
    <row r="20" spans="1:22" ht="16.5" customHeight="1">
      <c r="A20" s="980">
        <v>14</v>
      </c>
      <c r="B20" s="989" t="s">
        <v>4151</v>
      </c>
      <c r="C20" s="992"/>
      <c r="D20" s="992"/>
      <c r="E20" s="992"/>
      <c r="F20" s="991" t="str">
        <f t="shared" si="1"/>
        <v/>
      </c>
      <c r="G20" s="992"/>
      <c r="H20" s="992"/>
      <c r="I20" s="992"/>
      <c r="J20" s="991" t="str">
        <f t="shared" si="2"/>
        <v/>
      </c>
      <c r="K20" s="990">
        <f t="shared" si="5"/>
        <v>0</v>
      </c>
      <c r="L20" s="990">
        <f t="shared" si="5"/>
        <v>0</v>
      </c>
      <c r="M20" s="990">
        <f t="shared" si="5"/>
        <v>0</v>
      </c>
      <c r="N20" s="991" t="str">
        <f t="shared" si="3"/>
        <v/>
      </c>
      <c r="O20" s="992"/>
      <c r="P20" s="992"/>
      <c r="Q20" s="992"/>
      <c r="R20" s="991" t="str">
        <f t="shared" si="4"/>
        <v/>
      </c>
      <c r="S20" s="48"/>
      <c r="T20" s="48"/>
      <c r="U20" s="48"/>
      <c r="V20" s="48"/>
    </row>
    <row r="21" spans="1:22" ht="16.5" customHeight="1">
      <c r="A21" s="980">
        <v>15</v>
      </c>
      <c r="B21" s="947" t="s">
        <v>3638</v>
      </c>
      <c r="C21" s="992">
        <f>C7+C15</f>
        <v>0</v>
      </c>
      <c r="D21" s="992">
        <f>D7+D15</f>
        <v>0</v>
      </c>
      <c r="E21" s="992">
        <f>E7+E15</f>
        <v>0</v>
      </c>
      <c r="F21" s="991" t="str">
        <f>IF(C21=0,"",(D21-D13-D14)/(C21-C13-C14))</f>
        <v/>
      </c>
      <c r="G21" s="992">
        <f>G7+G15</f>
        <v>0</v>
      </c>
      <c r="H21" s="992">
        <f>H7+H15</f>
        <v>0</v>
      </c>
      <c r="I21" s="992">
        <f>I7+I15</f>
        <v>0</v>
      </c>
      <c r="J21" s="991" t="str">
        <f>IF(G21=0,"",(H21-H13-H14)/(G21-G13-G14))</f>
        <v/>
      </c>
      <c r="K21" s="990">
        <f t="shared" si="5"/>
        <v>0</v>
      </c>
      <c r="L21" s="990">
        <f t="shared" si="5"/>
        <v>0</v>
      </c>
      <c r="M21" s="990">
        <f t="shared" si="5"/>
        <v>0</v>
      </c>
      <c r="N21" s="991" t="str">
        <f>IF(K21=0,"",(L21-L13-L14)/(K21-K13-K14))</f>
        <v/>
      </c>
      <c r="O21" s="990">
        <f>O7+O15</f>
        <v>0</v>
      </c>
      <c r="P21" s="990">
        <f>P7+P15</f>
        <v>0</v>
      </c>
      <c r="Q21" s="990">
        <f>Q7+Q15</f>
        <v>0</v>
      </c>
      <c r="R21" s="991" t="str">
        <f>IF(O21=0,"",(P21-P13-P14)/(O21-O13-O14))</f>
        <v/>
      </c>
      <c r="S21" s="48"/>
      <c r="T21" s="48"/>
      <c r="U21" s="48"/>
      <c r="V21" s="48"/>
    </row>
    <row r="22" spans="1:22" ht="16.5" customHeight="1">
      <c r="A22" s="995" t="s">
        <v>545</v>
      </c>
      <c r="B22" s="996"/>
      <c r="C22" s="52"/>
      <c r="D22" s="52"/>
      <c r="E22" s="52"/>
      <c r="F22" s="50"/>
      <c r="G22" s="52"/>
      <c r="H22" s="52"/>
      <c r="I22" s="52"/>
      <c r="J22" s="50"/>
      <c r="K22" s="52"/>
      <c r="L22" s="52"/>
      <c r="M22" s="52"/>
      <c r="N22" s="50"/>
    </row>
    <row r="23" spans="1:22" s="50" customFormat="1" ht="16.5" customHeight="1">
      <c r="A23" s="46">
        <v>1</v>
      </c>
      <c r="B23" s="46" t="s">
        <v>546</v>
      </c>
      <c r="C23" s="48"/>
      <c r="D23" s="48"/>
      <c r="E23" s="48"/>
      <c r="F23" s="46"/>
      <c r="G23" s="48"/>
      <c r="H23" s="48"/>
      <c r="I23" s="48"/>
      <c r="J23" s="46"/>
      <c r="K23" s="48"/>
      <c r="L23" s="48"/>
      <c r="M23" s="48"/>
      <c r="N23" s="46"/>
    </row>
    <row r="24" spans="1:22" ht="16.5" customHeight="1">
      <c r="A24" s="46">
        <v>2</v>
      </c>
      <c r="B24" s="46" t="s">
        <v>547</v>
      </c>
    </row>
    <row r="25" spans="1:22">
      <c r="A25" s="50">
        <v>3</v>
      </c>
      <c r="B25" s="46" t="s">
        <v>144</v>
      </c>
    </row>
    <row r="26" spans="1:22">
      <c r="A26" s="46">
        <v>4</v>
      </c>
      <c r="B26" s="46" t="s">
        <v>1036</v>
      </c>
    </row>
    <row r="27" spans="1:22">
      <c r="A27" s="46">
        <v>5</v>
      </c>
      <c r="B27" s="46" t="s">
        <v>1037</v>
      </c>
    </row>
    <row r="28" spans="1:22">
      <c r="A28" s="46">
        <v>6</v>
      </c>
      <c r="B28" s="46" t="s">
        <v>1038</v>
      </c>
    </row>
  </sheetData>
  <mergeCells count="7">
    <mergeCell ref="A3:A6"/>
    <mergeCell ref="B3:B6"/>
    <mergeCell ref="C3:N3"/>
    <mergeCell ref="O3:R4"/>
    <mergeCell ref="C4:F4"/>
    <mergeCell ref="G4:J4"/>
    <mergeCell ref="K4:N4"/>
  </mergeCells>
  <phoneticPr fontId="30"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zoomScaleNormal="60" zoomScaleSheetLayoutView="100" workbookViewId="0"/>
  </sheetViews>
  <sheetFormatPr defaultColWidth="10" defaultRowHeight="14.25"/>
  <cols>
    <col min="1" max="1" width="5.125" style="55" customWidth="1"/>
    <col min="2" max="2" width="27" style="47" customWidth="1"/>
    <col min="3" max="3" width="11.375" style="47" customWidth="1"/>
    <col min="4" max="4" width="11" style="47" customWidth="1"/>
    <col min="5" max="5" width="12.125" style="47" customWidth="1"/>
    <col min="6" max="6" width="11" style="47" customWidth="1"/>
    <col min="7" max="7" width="11.625" style="47" customWidth="1"/>
    <col min="8" max="8" width="12.25" style="47" customWidth="1"/>
    <col min="9" max="9" width="11.375" style="47" customWidth="1"/>
    <col min="10" max="10" width="11.5" style="47" customWidth="1"/>
    <col min="11" max="11" width="12" style="47" customWidth="1"/>
    <col min="12" max="13" width="11.375" style="47" customWidth="1"/>
    <col min="14" max="14" width="15" style="47" customWidth="1"/>
    <col min="15" max="16384" width="10" style="47"/>
  </cols>
  <sheetData>
    <row r="1" spans="1:20" ht="16.5">
      <c r="A1" s="2186" t="str">
        <f>+封面!A3&amp;" "&amp;封面!A2</f>
        <v xml:space="preserve"> 中央再保險股份有限公司 年度檢查報表</v>
      </c>
      <c r="B1" s="46"/>
      <c r="C1" s="46"/>
      <c r="D1" s="46"/>
      <c r="E1" s="46"/>
      <c r="F1" s="46"/>
      <c r="G1" s="46"/>
      <c r="H1" s="46"/>
      <c r="I1" s="46"/>
      <c r="J1" s="46"/>
      <c r="K1" s="46"/>
      <c r="L1" s="46"/>
      <c r="M1" s="46"/>
      <c r="N1" s="46"/>
    </row>
    <row r="2" spans="1:20">
      <c r="A2" s="907" t="s">
        <v>299</v>
      </c>
      <c r="N2" s="286" t="s">
        <v>300</v>
      </c>
    </row>
    <row r="3" spans="1:20" ht="16.5" customHeight="1">
      <c r="A3" s="3163" t="s">
        <v>179</v>
      </c>
      <c r="B3" s="3163" t="s">
        <v>301</v>
      </c>
      <c r="C3" s="3166" t="s">
        <v>4102</v>
      </c>
      <c r="D3" s="3167"/>
      <c r="E3" s="3167"/>
      <c r="F3" s="3167"/>
      <c r="G3" s="3167"/>
      <c r="H3" s="3168"/>
      <c r="I3" s="3166" t="s">
        <v>4103</v>
      </c>
      <c r="J3" s="3167"/>
      <c r="K3" s="3167"/>
      <c r="L3" s="3167"/>
      <c r="M3" s="3167"/>
      <c r="N3" s="3168"/>
    </row>
    <row r="4" spans="1:20" ht="15" customHeight="1">
      <c r="A4" s="3164"/>
      <c r="B4" s="3164"/>
      <c r="C4" s="3152" t="s">
        <v>302</v>
      </c>
      <c r="D4" s="3152"/>
      <c r="E4" s="3153"/>
      <c r="F4" s="3151" t="s">
        <v>303</v>
      </c>
      <c r="G4" s="3152"/>
      <c r="H4" s="3153"/>
      <c r="I4" s="3169" t="s">
        <v>302</v>
      </c>
      <c r="J4" s="3170"/>
      <c r="K4" s="3171"/>
      <c r="L4" s="3151" t="s">
        <v>303</v>
      </c>
      <c r="M4" s="3152"/>
      <c r="N4" s="3153"/>
    </row>
    <row r="5" spans="1:20" ht="15" customHeight="1">
      <c r="A5" s="3164"/>
      <c r="B5" s="3164"/>
      <c r="C5" s="978" t="s">
        <v>87</v>
      </c>
      <c r="D5" s="951" t="s">
        <v>304</v>
      </c>
      <c r="E5" s="951" t="s">
        <v>192</v>
      </c>
      <c r="F5" s="951" t="s">
        <v>87</v>
      </c>
      <c r="G5" s="951" t="s">
        <v>304</v>
      </c>
      <c r="H5" s="951" t="s">
        <v>192</v>
      </c>
      <c r="I5" s="951" t="s">
        <v>87</v>
      </c>
      <c r="J5" s="951" t="s">
        <v>304</v>
      </c>
      <c r="K5" s="951" t="s">
        <v>192</v>
      </c>
      <c r="L5" s="951" t="s">
        <v>87</v>
      </c>
      <c r="M5" s="951" t="s">
        <v>304</v>
      </c>
      <c r="N5" s="951" t="s">
        <v>192</v>
      </c>
    </row>
    <row r="6" spans="1:20" s="984" customFormat="1">
      <c r="A6" s="3165"/>
      <c r="B6" s="3165"/>
      <c r="C6" s="890" t="s">
        <v>305</v>
      </c>
      <c r="D6" s="889" t="s">
        <v>370</v>
      </c>
      <c r="E6" s="889" t="s">
        <v>306</v>
      </c>
      <c r="F6" s="889" t="s">
        <v>307</v>
      </c>
      <c r="G6" s="889" t="s">
        <v>371</v>
      </c>
      <c r="H6" s="889" t="s">
        <v>308</v>
      </c>
      <c r="I6" s="889" t="s">
        <v>309</v>
      </c>
      <c r="J6" s="889" t="s">
        <v>372</v>
      </c>
      <c r="K6" s="889" t="s">
        <v>310</v>
      </c>
      <c r="L6" s="889" t="s">
        <v>374</v>
      </c>
      <c r="M6" s="889" t="s">
        <v>311</v>
      </c>
      <c r="N6" s="889" t="s">
        <v>312</v>
      </c>
    </row>
    <row r="7" spans="1:20" s="955" customFormat="1">
      <c r="A7" s="980">
        <v>1</v>
      </c>
      <c r="B7" s="938" t="s">
        <v>4104</v>
      </c>
      <c r="C7" s="982">
        <f>SUM(C8:C38)</f>
        <v>0</v>
      </c>
      <c r="D7" s="982">
        <f>SUM(D8:D38)</f>
        <v>0</v>
      </c>
      <c r="E7" s="982">
        <f>C7-D7</f>
        <v>0</v>
      </c>
      <c r="F7" s="982">
        <f>SUM(F8:F38)</f>
        <v>0</v>
      </c>
      <c r="G7" s="982">
        <f>SUM(G8:G38)</f>
        <v>0</v>
      </c>
      <c r="H7" s="982">
        <f t="shared" ref="H7:H48" si="0">F7-G7</f>
        <v>0</v>
      </c>
      <c r="I7" s="982">
        <f>SUM(I8:I38)</f>
        <v>0</v>
      </c>
      <c r="J7" s="982">
        <f>SUM(J8:J38)</f>
        <v>0</v>
      </c>
      <c r="K7" s="982">
        <f t="shared" ref="K7:K48" si="1">I7-J7</f>
        <v>0</v>
      </c>
      <c r="L7" s="982">
        <f>SUM(L8:L38)</f>
        <v>0</v>
      </c>
      <c r="M7" s="982">
        <f>SUM(M8:M38)</f>
        <v>0</v>
      </c>
      <c r="N7" s="982">
        <f t="shared" ref="N7:N48" si="2">L7-M7</f>
        <v>0</v>
      </c>
      <c r="O7" s="983"/>
      <c r="P7" s="983"/>
      <c r="Q7" s="983"/>
      <c r="R7" s="983"/>
      <c r="S7" s="983"/>
      <c r="T7" s="983"/>
    </row>
    <row r="8" spans="1:20">
      <c r="A8" s="980">
        <f>A7+1</f>
        <v>2</v>
      </c>
      <c r="B8" s="938" t="s">
        <v>4105</v>
      </c>
      <c r="C8" s="982"/>
      <c r="D8" s="982"/>
      <c r="E8" s="982">
        <f t="shared" ref="E8:E48" si="3">C8-D8</f>
        <v>0</v>
      </c>
      <c r="F8" s="982"/>
      <c r="G8" s="982"/>
      <c r="H8" s="982">
        <f t="shared" si="0"/>
        <v>0</v>
      </c>
      <c r="I8" s="982"/>
      <c r="J8" s="982"/>
      <c r="K8" s="982">
        <f t="shared" si="1"/>
        <v>0</v>
      </c>
      <c r="L8" s="982"/>
      <c r="M8" s="982"/>
      <c r="N8" s="982">
        <f t="shared" si="2"/>
        <v>0</v>
      </c>
      <c r="O8" s="983"/>
      <c r="P8" s="983"/>
      <c r="Q8" s="983"/>
      <c r="R8" s="983"/>
      <c r="S8" s="983"/>
      <c r="T8" s="983"/>
    </row>
    <row r="9" spans="1:20">
      <c r="A9" s="980">
        <f t="shared" ref="A9:A48" si="4">A8+1</f>
        <v>3</v>
      </c>
      <c r="B9" s="943" t="s">
        <v>4106</v>
      </c>
      <c r="C9" s="982"/>
      <c r="D9" s="982"/>
      <c r="E9" s="982">
        <f t="shared" si="3"/>
        <v>0</v>
      </c>
      <c r="F9" s="982"/>
      <c r="G9" s="982"/>
      <c r="H9" s="982">
        <f t="shared" si="0"/>
        <v>0</v>
      </c>
      <c r="I9" s="982"/>
      <c r="J9" s="982"/>
      <c r="K9" s="982">
        <f t="shared" si="1"/>
        <v>0</v>
      </c>
      <c r="L9" s="982"/>
      <c r="M9" s="982"/>
      <c r="N9" s="982">
        <f t="shared" si="2"/>
        <v>0</v>
      </c>
      <c r="O9" s="983"/>
      <c r="P9" s="983"/>
      <c r="Q9" s="983"/>
      <c r="R9" s="983"/>
      <c r="S9" s="983"/>
      <c r="T9" s="983"/>
    </row>
    <row r="10" spans="1:20">
      <c r="A10" s="980">
        <f t="shared" si="4"/>
        <v>4</v>
      </c>
      <c r="B10" s="943" t="s">
        <v>4107</v>
      </c>
      <c r="C10" s="982"/>
      <c r="D10" s="982"/>
      <c r="E10" s="982">
        <f t="shared" si="3"/>
        <v>0</v>
      </c>
      <c r="F10" s="982"/>
      <c r="G10" s="982"/>
      <c r="H10" s="982">
        <f t="shared" si="0"/>
        <v>0</v>
      </c>
      <c r="I10" s="982"/>
      <c r="J10" s="982"/>
      <c r="K10" s="982">
        <f t="shared" si="1"/>
        <v>0</v>
      </c>
      <c r="L10" s="982"/>
      <c r="M10" s="982"/>
      <c r="N10" s="982">
        <f t="shared" si="2"/>
        <v>0</v>
      </c>
      <c r="O10" s="983"/>
      <c r="P10" s="983"/>
      <c r="Q10" s="983"/>
      <c r="R10" s="983"/>
      <c r="S10" s="983"/>
      <c r="T10" s="983"/>
    </row>
    <row r="11" spans="1:20">
      <c r="A11" s="980">
        <f t="shared" si="4"/>
        <v>5</v>
      </c>
      <c r="B11" s="943" t="s">
        <v>4108</v>
      </c>
      <c r="C11" s="982"/>
      <c r="D11" s="982"/>
      <c r="E11" s="982">
        <f t="shared" si="3"/>
        <v>0</v>
      </c>
      <c r="F11" s="982"/>
      <c r="G11" s="982"/>
      <c r="H11" s="982">
        <f t="shared" si="0"/>
        <v>0</v>
      </c>
      <c r="I11" s="982"/>
      <c r="J11" s="982"/>
      <c r="K11" s="982">
        <f t="shared" si="1"/>
        <v>0</v>
      </c>
      <c r="L11" s="982"/>
      <c r="M11" s="982"/>
      <c r="N11" s="982">
        <f t="shared" si="2"/>
        <v>0</v>
      </c>
      <c r="O11" s="983"/>
      <c r="P11" s="983"/>
      <c r="Q11" s="983"/>
      <c r="R11" s="983"/>
      <c r="S11" s="983"/>
      <c r="T11" s="983"/>
    </row>
    <row r="12" spans="1:20">
      <c r="A12" s="980">
        <f t="shared" si="4"/>
        <v>6</v>
      </c>
      <c r="B12" s="943" t="s">
        <v>4109</v>
      </c>
      <c r="C12" s="982"/>
      <c r="D12" s="982"/>
      <c r="E12" s="982">
        <f t="shared" si="3"/>
        <v>0</v>
      </c>
      <c r="F12" s="982"/>
      <c r="G12" s="982"/>
      <c r="H12" s="982">
        <f t="shared" si="0"/>
        <v>0</v>
      </c>
      <c r="I12" s="982"/>
      <c r="J12" s="982"/>
      <c r="K12" s="982">
        <f t="shared" si="1"/>
        <v>0</v>
      </c>
      <c r="L12" s="982"/>
      <c r="M12" s="982"/>
      <c r="N12" s="982">
        <f t="shared" si="2"/>
        <v>0</v>
      </c>
      <c r="O12" s="983"/>
      <c r="P12" s="983"/>
      <c r="Q12" s="983"/>
      <c r="R12" s="983"/>
      <c r="S12" s="983"/>
      <c r="T12" s="983"/>
    </row>
    <row r="13" spans="1:20">
      <c r="A13" s="980">
        <f t="shared" si="4"/>
        <v>7</v>
      </c>
      <c r="B13" s="943" t="s">
        <v>4110</v>
      </c>
      <c r="C13" s="982"/>
      <c r="D13" s="982"/>
      <c r="E13" s="982">
        <f t="shared" si="3"/>
        <v>0</v>
      </c>
      <c r="F13" s="982"/>
      <c r="G13" s="982"/>
      <c r="H13" s="982">
        <f t="shared" si="0"/>
        <v>0</v>
      </c>
      <c r="I13" s="982"/>
      <c r="J13" s="982"/>
      <c r="K13" s="982">
        <f t="shared" si="1"/>
        <v>0</v>
      </c>
      <c r="L13" s="982"/>
      <c r="M13" s="982"/>
      <c r="N13" s="982">
        <f t="shared" si="2"/>
        <v>0</v>
      </c>
      <c r="O13" s="983"/>
      <c r="P13" s="983"/>
      <c r="Q13" s="983"/>
      <c r="R13" s="983"/>
      <c r="S13" s="983"/>
      <c r="T13" s="983"/>
    </row>
    <row r="14" spans="1:20">
      <c r="A14" s="980">
        <f t="shared" si="4"/>
        <v>8</v>
      </c>
      <c r="B14" s="943" t="s">
        <v>4111</v>
      </c>
      <c r="C14" s="982"/>
      <c r="D14" s="982"/>
      <c r="E14" s="982">
        <f t="shared" si="3"/>
        <v>0</v>
      </c>
      <c r="F14" s="982"/>
      <c r="G14" s="982"/>
      <c r="H14" s="982">
        <f t="shared" si="0"/>
        <v>0</v>
      </c>
      <c r="I14" s="982"/>
      <c r="J14" s="982"/>
      <c r="K14" s="982">
        <f t="shared" si="1"/>
        <v>0</v>
      </c>
      <c r="L14" s="982"/>
      <c r="M14" s="982"/>
      <c r="N14" s="982">
        <f t="shared" si="2"/>
        <v>0</v>
      </c>
      <c r="O14" s="983"/>
      <c r="P14" s="983"/>
      <c r="Q14" s="983"/>
      <c r="R14" s="983"/>
      <c r="S14" s="983"/>
      <c r="T14" s="983"/>
    </row>
    <row r="15" spans="1:20">
      <c r="A15" s="980">
        <f t="shared" si="4"/>
        <v>9</v>
      </c>
      <c r="B15" s="943" t="s">
        <v>4112</v>
      </c>
      <c r="C15" s="982"/>
      <c r="D15" s="982"/>
      <c r="E15" s="982">
        <f t="shared" si="3"/>
        <v>0</v>
      </c>
      <c r="F15" s="982"/>
      <c r="G15" s="982"/>
      <c r="H15" s="982">
        <f t="shared" si="0"/>
        <v>0</v>
      </c>
      <c r="I15" s="982"/>
      <c r="J15" s="982"/>
      <c r="K15" s="982">
        <f t="shared" si="1"/>
        <v>0</v>
      </c>
      <c r="L15" s="982"/>
      <c r="M15" s="982"/>
      <c r="N15" s="982">
        <f t="shared" si="2"/>
        <v>0</v>
      </c>
      <c r="O15" s="983"/>
      <c r="P15" s="983"/>
      <c r="Q15" s="983"/>
      <c r="R15" s="983"/>
      <c r="S15" s="983"/>
      <c r="T15" s="983"/>
    </row>
    <row r="16" spans="1:20">
      <c r="A16" s="980">
        <f t="shared" si="4"/>
        <v>10</v>
      </c>
      <c r="B16" s="943" t="s">
        <v>4113</v>
      </c>
      <c r="C16" s="982"/>
      <c r="D16" s="982"/>
      <c r="E16" s="982">
        <f t="shared" si="3"/>
        <v>0</v>
      </c>
      <c r="F16" s="982"/>
      <c r="G16" s="982"/>
      <c r="H16" s="982">
        <f t="shared" si="0"/>
        <v>0</v>
      </c>
      <c r="I16" s="982"/>
      <c r="J16" s="982"/>
      <c r="K16" s="982">
        <f t="shared" si="1"/>
        <v>0</v>
      </c>
      <c r="L16" s="982"/>
      <c r="M16" s="982"/>
      <c r="N16" s="982">
        <f t="shared" si="2"/>
        <v>0</v>
      </c>
      <c r="O16" s="983"/>
      <c r="P16" s="983"/>
      <c r="Q16" s="983"/>
      <c r="R16" s="983"/>
      <c r="S16" s="983"/>
      <c r="T16" s="983"/>
    </row>
    <row r="17" spans="1:20">
      <c r="A17" s="980">
        <f t="shared" si="4"/>
        <v>11</v>
      </c>
      <c r="B17" s="943" t="s">
        <v>4114</v>
      </c>
      <c r="C17" s="982"/>
      <c r="D17" s="982"/>
      <c r="E17" s="982">
        <f t="shared" si="3"/>
        <v>0</v>
      </c>
      <c r="F17" s="982"/>
      <c r="G17" s="982"/>
      <c r="H17" s="982">
        <f t="shared" si="0"/>
        <v>0</v>
      </c>
      <c r="I17" s="982"/>
      <c r="J17" s="982"/>
      <c r="K17" s="982">
        <f t="shared" si="1"/>
        <v>0</v>
      </c>
      <c r="L17" s="982"/>
      <c r="M17" s="982"/>
      <c r="N17" s="982">
        <f t="shared" si="2"/>
        <v>0</v>
      </c>
      <c r="O17" s="983"/>
      <c r="P17" s="983"/>
      <c r="Q17" s="983"/>
      <c r="R17" s="983"/>
      <c r="S17" s="983"/>
      <c r="T17" s="983"/>
    </row>
    <row r="18" spans="1:20">
      <c r="A18" s="980">
        <f t="shared" si="4"/>
        <v>12</v>
      </c>
      <c r="B18" s="943" t="s">
        <v>4115</v>
      </c>
      <c r="C18" s="982"/>
      <c r="D18" s="982"/>
      <c r="E18" s="982">
        <f t="shared" si="3"/>
        <v>0</v>
      </c>
      <c r="F18" s="982"/>
      <c r="G18" s="982"/>
      <c r="H18" s="982">
        <f t="shared" si="0"/>
        <v>0</v>
      </c>
      <c r="I18" s="982"/>
      <c r="J18" s="982"/>
      <c r="K18" s="982">
        <f t="shared" si="1"/>
        <v>0</v>
      </c>
      <c r="L18" s="982"/>
      <c r="M18" s="982"/>
      <c r="N18" s="982">
        <f t="shared" si="2"/>
        <v>0</v>
      </c>
      <c r="O18" s="983"/>
      <c r="P18" s="983"/>
      <c r="Q18" s="983"/>
      <c r="R18" s="983"/>
      <c r="S18" s="983"/>
      <c r="T18" s="983"/>
    </row>
    <row r="19" spans="1:20">
      <c r="A19" s="980">
        <f t="shared" si="4"/>
        <v>13</v>
      </c>
      <c r="B19" s="943" t="s">
        <v>4116</v>
      </c>
      <c r="C19" s="982"/>
      <c r="D19" s="982"/>
      <c r="E19" s="982">
        <f t="shared" si="3"/>
        <v>0</v>
      </c>
      <c r="F19" s="982"/>
      <c r="G19" s="982"/>
      <c r="H19" s="982">
        <f t="shared" si="0"/>
        <v>0</v>
      </c>
      <c r="I19" s="982"/>
      <c r="J19" s="982"/>
      <c r="K19" s="982">
        <f t="shared" si="1"/>
        <v>0</v>
      </c>
      <c r="L19" s="982"/>
      <c r="M19" s="982"/>
      <c r="N19" s="982">
        <f t="shared" si="2"/>
        <v>0</v>
      </c>
      <c r="O19" s="983"/>
      <c r="P19" s="983"/>
      <c r="Q19" s="983"/>
      <c r="R19" s="983"/>
      <c r="S19" s="983"/>
      <c r="T19" s="983"/>
    </row>
    <row r="20" spans="1:20">
      <c r="A20" s="980">
        <f t="shared" si="4"/>
        <v>14</v>
      </c>
      <c r="B20" s="943" t="s">
        <v>4117</v>
      </c>
      <c r="C20" s="982"/>
      <c r="D20" s="982"/>
      <c r="E20" s="982">
        <f t="shared" si="3"/>
        <v>0</v>
      </c>
      <c r="F20" s="982"/>
      <c r="G20" s="982"/>
      <c r="H20" s="982">
        <f t="shared" si="0"/>
        <v>0</v>
      </c>
      <c r="I20" s="982"/>
      <c r="J20" s="982"/>
      <c r="K20" s="982">
        <f t="shared" si="1"/>
        <v>0</v>
      </c>
      <c r="L20" s="982"/>
      <c r="M20" s="982"/>
      <c r="N20" s="982">
        <f t="shared" si="2"/>
        <v>0</v>
      </c>
      <c r="O20" s="983"/>
      <c r="P20" s="983"/>
      <c r="Q20" s="983"/>
      <c r="R20" s="983"/>
      <c r="S20" s="983"/>
      <c r="T20" s="983"/>
    </row>
    <row r="21" spans="1:20">
      <c r="A21" s="980">
        <f t="shared" si="4"/>
        <v>15</v>
      </c>
      <c r="B21" s="943" t="s">
        <v>4118</v>
      </c>
      <c r="C21" s="982"/>
      <c r="D21" s="982"/>
      <c r="E21" s="982">
        <f t="shared" si="3"/>
        <v>0</v>
      </c>
      <c r="F21" s="982"/>
      <c r="G21" s="982"/>
      <c r="H21" s="982">
        <f t="shared" si="0"/>
        <v>0</v>
      </c>
      <c r="I21" s="982"/>
      <c r="J21" s="982"/>
      <c r="K21" s="982">
        <f t="shared" si="1"/>
        <v>0</v>
      </c>
      <c r="L21" s="982"/>
      <c r="M21" s="982"/>
      <c r="N21" s="982">
        <f t="shared" si="2"/>
        <v>0</v>
      </c>
      <c r="O21" s="983"/>
      <c r="P21" s="983"/>
      <c r="Q21" s="983"/>
      <c r="R21" s="983"/>
      <c r="S21" s="983"/>
      <c r="T21" s="983"/>
    </row>
    <row r="22" spans="1:20">
      <c r="A22" s="980">
        <f t="shared" si="4"/>
        <v>16</v>
      </c>
      <c r="B22" s="943" t="s">
        <v>4119</v>
      </c>
      <c r="C22" s="982"/>
      <c r="D22" s="982"/>
      <c r="E22" s="982">
        <f t="shared" si="3"/>
        <v>0</v>
      </c>
      <c r="F22" s="982"/>
      <c r="G22" s="982"/>
      <c r="H22" s="982">
        <f t="shared" si="0"/>
        <v>0</v>
      </c>
      <c r="I22" s="982"/>
      <c r="J22" s="982"/>
      <c r="K22" s="982">
        <f t="shared" si="1"/>
        <v>0</v>
      </c>
      <c r="L22" s="982"/>
      <c r="M22" s="982"/>
      <c r="N22" s="982">
        <f t="shared" si="2"/>
        <v>0</v>
      </c>
      <c r="O22" s="983"/>
      <c r="P22" s="983"/>
      <c r="Q22" s="983"/>
      <c r="R22" s="983"/>
      <c r="S22" s="983"/>
      <c r="T22" s="983"/>
    </row>
    <row r="23" spans="1:20">
      <c r="A23" s="980">
        <f t="shared" si="4"/>
        <v>17</v>
      </c>
      <c r="B23" s="943" t="s">
        <v>4120</v>
      </c>
      <c r="C23" s="982"/>
      <c r="D23" s="982"/>
      <c r="E23" s="982">
        <f t="shared" si="3"/>
        <v>0</v>
      </c>
      <c r="F23" s="982"/>
      <c r="G23" s="982"/>
      <c r="H23" s="982">
        <f t="shared" si="0"/>
        <v>0</v>
      </c>
      <c r="I23" s="982"/>
      <c r="J23" s="982"/>
      <c r="K23" s="982">
        <f t="shared" si="1"/>
        <v>0</v>
      </c>
      <c r="L23" s="982"/>
      <c r="M23" s="982"/>
      <c r="N23" s="982">
        <f t="shared" si="2"/>
        <v>0</v>
      </c>
      <c r="O23" s="983"/>
      <c r="P23" s="983"/>
      <c r="Q23" s="983"/>
      <c r="R23" s="983"/>
      <c r="S23" s="983"/>
      <c r="T23" s="983"/>
    </row>
    <row r="24" spans="1:20">
      <c r="A24" s="980">
        <f t="shared" si="4"/>
        <v>18</v>
      </c>
      <c r="B24" s="943" t="s">
        <v>4121</v>
      </c>
      <c r="C24" s="982"/>
      <c r="D24" s="982"/>
      <c r="E24" s="982">
        <f t="shared" si="3"/>
        <v>0</v>
      </c>
      <c r="F24" s="982"/>
      <c r="G24" s="982"/>
      <c r="H24" s="982">
        <f t="shared" si="0"/>
        <v>0</v>
      </c>
      <c r="I24" s="982"/>
      <c r="J24" s="982"/>
      <c r="K24" s="982">
        <f t="shared" si="1"/>
        <v>0</v>
      </c>
      <c r="L24" s="982"/>
      <c r="M24" s="982"/>
      <c r="N24" s="982">
        <f t="shared" si="2"/>
        <v>0</v>
      </c>
      <c r="O24" s="983"/>
      <c r="P24" s="983"/>
      <c r="Q24" s="983"/>
      <c r="R24" s="983"/>
      <c r="S24" s="983"/>
      <c r="T24" s="983"/>
    </row>
    <row r="25" spans="1:20">
      <c r="A25" s="980">
        <f t="shared" si="4"/>
        <v>19</v>
      </c>
      <c r="B25" s="943" t="s">
        <v>4122</v>
      </c>
      <c r="C25" s="982"/>
      <c r="D25" s="982"/>
      <c r="E25" s="982">
        <f t="shared" si="3"/>
        <v>0</v>
      </c>
      <c r="F25" s="982"/>
      <c r="G25" s="982"/>
      <c r="H25" s="982">
        <f t="shared" si="0"/>
        <v>0</v>
      </c>
      <c r="I25" s="982"/>
      <c r="J25" s="982"/>
      <c r="K25" s="982">
        <f t="shared" si="1"/>
        <v>0</v>
      </c>
      <c r="L25" s="982"/>
      <c r="M25" s="982"/>
      <c r="N25" s="982">
        <f t="shared" si="2"/>
        <v>0</v>
      </c>
      <c r="O25" s="983"/>
      <c r="P25" s="983"/>
      <c r="Q25" s="983"/>
      <c r="R25" s="983"/>
      <c r="S25" s="983"/>
      <c r="T25" s="983"/>
    </row>
    <row r="26" spans="1:20">
      <c r="A26" s="980">
        <f t="shared" si="4"/>
        <v>20</v>
      </c>
      <c r="B26" s="943" t="s">
        <v>4123</v>
      </c>
      <c r="C26" s="982"/>
      <c r="D26" s="982"/>
      <c r="E26" s="982">
        <f t="shared" si="3"/>
        <v>0</v>
      </c>
      <c r="F26" s="982"/>
      <c r="G26" s="982"/>
      <c r="H26" s="982">
        <f t="shared" si="0"/>
        <v>0</v>
      </c>
      <c r="I26" s="982"/>
      <c r="J26" s="982"/>
      <c r="K26" s="982">
        <f t="shared" si="1"/>
        <v>0</v>
      </c>
      <c r="L26" s="982"/>
      <c r="M26" s="982"/>
      <c r="N26" s="982">
        <f t="shared" si="2"/>
        <v>0</v>
      </c>
      <c r="O26" s="983"/>
      <c r="P26" s="983"/>
      <c r="Q26" s="983"/>
      <c r="R26" s="983"/>
      <c r="S26" s="983"/>
      <c r="T26" s="983"/>
    </row>
    <row r="27" spans="1:20">
      <c r="A27" s="980">
        <f t="shared" si="4"/>
        <v>21</v>
      </c>
      <c r="B27" s="943" t="s">
        <v>4124</v>
      </c>
      <c r="C27" s="982"/>
      <c r="D27" s="982"/>
      <c r="E27" s="982">
        <f t="shared" si="3"/>
        <v>0</v>
      </c>
      <c r="F27" s="982"/>
      <c r="G27" s="982"/>
      <c r="H27" s="982">
        <f t="shared" si="0"/>
        <v>0</v>
      </c>
      <c r="I27" s="982"/>
      <c r="J27" s="982"/>
      <c r="K27" s="982">
        <f t="shared" si="1"/>
        <v>0</v>
      </c>
      <c r="L27" s="982"/>
      <c r="M27" s="982"/>
      <c r="N27" s="982">
        <f t="shared" si="2"/>
        <v>0</v>
      </c>
      <c r="O27" s="983"/>
      <c r="P27" s="983"/>
      <c r="Q27" s="983"/>
      <c r="R27" s="983"/>
      <c r="S27" s="983"/>
      <c r="T27" s="983"/>
    </row>
    <row r="28" spans="1:20" ht="16.5" customHeight="1">
      <c r="A28" s="980">
        <f t="shared" si="4"/>
        <v>22</v>
      </c>
      <c r="B28" s="943" t="s">
        <v>4125</v>
      </c>
      <c r="C28" s="982"/>
      <c r="D28" s="982"/>
      <c r="E28" s="982">
        <f t="shared" si="3"/>
        <v>0</v>
      </c>
      <c r="F28" s="982"/>
      <c r="G28" s="982"/>
      <c r="H28" s="982">
        <f t="shared" si="0"/>
        <v>0</v>
      </c>
      <c r="I28" s="982"/>
      <c r="J28" s="982"/>
      <c r="K28" s="982">
        <f t="shared" si="1"/>
        <v>0</v>
      </c>
      <c r="L28" s="982"/>
      <c r="M28" s="982"/>
      <c r="N28" s="982">
        <f t="shared" si="2"/>
        <v>0</v>
      </c>
      <c r="O28" s="983"/>
      <c r="P28" s="983"/>
      <c r="Q28" s="983"/>
      <c r="R28" s="983"/>
      <c r="S28" s="983"/>
      <c r="T28" s="983"/>
    </row>
    <row r="29" spans="1:20">
      <c r="A29" s="980">
        <f t="shared" si="4"/>
        <v>23</v>
      </c>
      <c r="B29" s="943" t="s">
        <v>4126</v>
      </c>
      <c r="C29" s="982"/>
      <c r="D29" s="982"/>
      <c r="E29" s="982">
        <f t="shared" si="3"/>
        <v>0</v>
      </c>
      <c r="F29" s="982"/>
      <c r="G29" s="982"/>
      <c r="H29" s="982">
        <f t="shared" si="0"/>
        <v>0</v>
      </c>
      <c r="I29" s="982"/>
      <c r="J29" s="982"/>
      <c r="K29" s="982">
        <f t="shared" si="1"/>
        <v>0</v>
      </c>
      <c r="L29" s="982"/>
      <c r="M29" s="982"/>
      <c r="N29" s="982">
        <f t="shared" si="2"/>
        <v>0</v>
      </c>
      <c r="O29" s="983"/>
      <c r="P29" s="983"/>
      <c r="Q29" s="983"/>
      <c r="R29" s="983"/>
      <c r="S29" s="983"/>
      <c r="T29" s="983"/>
    </row>
    <row r="30" spans="1:20">
      <c r="A30" s="980">
        <f t="shared" si="4"/>
        <v>24</v>
      </c>
      <c r="B30" s="943" t="s">
        <v>4127</v>
      </c>
      <c r="C30" s="982"/>
      <c r="D30" s="982"/>
      <c r="E30" s="982">
        <f t="shared" si="3"/>
        <v>0</v>
      </c>
      <c r="F30" s="982"/>
      <c r="G30" s="982"/>
      <c r="H30" s="982">
        <f t="shared" si="0"/>
        <v>0</v>
      </c>
      <c r="I30" s="982"/>
      <c r="J30" s="982"/>
      <c r="K30" s="982">
        <f t="shared" si="1"/>
        <v>0</v>
      </c>
      <c r="L30" s="982"/>
      <c r="M30" s="982"/>
      <c r="N30" s="982">
        <f t="shared" si="2"/>
        <v>0</v>
      </c>
      <c r="O30" s="983"/>
      <c r="P30" s="983"/>
      <c r="Q30" s="983"/>
      <c r="R30" s="983"/>
      <c r="S30" s="983"/>
      <c r="T30" s="983"/>
    </row>
    <row r="31" spans="1:20">
      <c r="A31" s="980">
        <f t="shared" si="4"/>
        <v>25</v>
      </c>
      <c r="B31" s="943" t="s">
        <v>4128</v>
      </c>
      <c r="C31" s="982"/>
      <c r="D31" s="982"/>
      <c r="E31" s="982">
        <f t="shared" si="3"/>
        <v>0</v>
      </c>
      <c r="F31" s="982"/>
      <c r="G31" s="982"/>
      <c r="H31" s="982">
        <f t="shared" si="0"/>
        <v>0</v>
      </c>
      <c r="I31" s="982"/>
      <c r="J31" s="982"/>
      <c r="K31" s="982">
        <f>I31-J31</f>
        <v>0</v>
      </c>
      <c r="L31" s="982"/>
      <c r="M31" s="982"/>
      <c r="N31" s="982">
        <f t="shared" si="2"/>
        <v>0</v>
      </c>
      <c r="O31" s="983"/>
      <c r="P31" s="983"/>
      <c r="Q31" s="983"/>
      <c r="R31" s="983"/>
      <c r="S31" s="983"/>
      <c r="T31" s="983"/>
    </row>
    <row r="32" spans="1:20">
      <c r="A32" s="980">
        <f t="shared" si="4"/>
        <v>26</v>
      </c>
      <c r="B32" s="944" t="s">
        <v>4129</v>
      </c>
      <c r="C32" s="982"/>
      <c r="D32" s="982"/>
      <c r="E32" s="982">
        <f t="shared" si="3"/>
        <v>0</v>
      </c>
      <c r="F32" s="982"/>
      <c r="G32" s="982"/>
      <c r="H32" s="982">
        <f t="shared" si="0"/>
        <v>0</v>
      </c>
      <c r="I32" s="982"/>
      <c r="J32" s="982"/>
      <c r="K32" s="982">
        <f t="shared" ref="K32:K38" si="5">I32-J32</f>
        <v>0</v>
      </c>
      <c r="L32" s="982"/>
      <c r="M32" s="982"/>
      <c r="N32" s="982">
        <f t="shared" si="2"/>
        <v>0</v>
      </c>
      <c r="O32" s="983"/>
      <c r="P32" s="983"/>
      <c r="Q32" s="983"/>
      <c r="R32" s="983"/>
      <c r="S32" s="983"/>
      <c r="T32" s="983"/>
    </row>
    <row r="33" spans="1:20">
      <c r="A33" s="980">
        <f t="shared" si="4"/>
        <v>27</v>
      </c>
      <c r="B33" s="943" t="s">
        <v>4130</v>
      </c>
      <c r="C33" s="982"/>
      <c r="D33" s="982"/>
      <c r="E33" s="982">
        <f t="shared" si="3"/>
        <v>0</v>
      </c>
      <c r="F33" s="982"/>
      <c r="G33" s="982"/>
      <c r="H33" s="982">
        <f t="shared" si="0"/>
        <v>0</v>
      </c>
      <c r="I33" s="982"/>
      <c r="J33" s="982"/>
      <c r="K33" s="982">
        <f t="shared" si="5"/>
        <v>0</v>
      </c>
      <c r="L33" s="982"/>
      <c r="M33" s="982"/>
      <c r="N33" s="982">
        <f t="shared" si="2"/>
        <v>0</v>
      </c>
      <c r="O33" s="983"/>
      <c r="P33" s="983"/>
      <c r="Q33" s="983"/>
      <c r="R33" s="983"/>
      <c r="S33" s="983"/>
      <c r="T33" s="983"/>
    </row>
    <row r="34" spans="1:20">
      <c r="A34" s="980">
        <f t="shared" si="4"/>
        <v>28</v>
      </c>
      <c r="B34" s="943" t="s">
        <v>4131</v>
      </c>
      <c r="C34" s="982"/>
      <c r="D34" s="982"/>
      <c r="E34" s="982">
        <f t="shared" si="3"/>
        <v>0</v>
      </c>
      <c r="F34" s="982"/>
      <c r="G34" s="982"/>
      <c r="H34" s="982">
        <f t="shared" si="0"/>
        <v>0</v>
      </c>
      <c r="I34" s="982"/>
      <c r="J34" s="982"/>
      <c r="K34" s="982">
        <f t="shared" si="5"/>
        <v>0</v>
      </c>
      <c r="L34" s="982"/>
      <c r="M34" s="982"/>
      <c r="N34" s="982">
        <f t="shared" si="2"/>
        <v>0</v>
      </c>
      <c r="O34" s="983"/>
      <c r="P34" s="983"/>
      <c r="Q34" s="983"/>
      <c r="R34" s="983"/>
      <c r="S34" s="983"/>
      <c r="T34" s="983"/>
    </row>
    <row r="35" spans="1:20">
      <c r="A35" s="980">
        <f t="shared" si="4"/>
        <v>29</v>
      </c>
      <c r="B35" s="943" t="s">
        <v>4132</v>
      </c>
      <c r="C35" s="982"/>
      <c r="D35" s="982"/>
      <c r="E35" s="982">
        <f t="shared" si="3"/>
        <v>0</v>
      </c>
      <c r="F35" s="982"/>
      <c r="G35" s="982"/>
      <c r="H35" s="982">
        <f t="shared" si="0"/>
        <v>0</v>
      </c>
      <c r="I35" s="982"/>
      <c r="J35" s="982"/>
      <c r="K35" s="982">
        <f t="shared" si="5"/>
        <v>0</v>
      </c>
      <c r="L35" s="982"/>
      <c r="M35" s="982"/>
      <c r="N35" s="982">
        <f t="shared" si="2"/>
        <v>0</v>
      </c>
      <c r="O35" s="983"/>
      <c r="P35" s="983"/>
      <c r="Q35" s="983"/>
      <c r="R35" s="983"/>
      <c r="S35" s="983"/>
      <c r="T35" s="983"/>
    </row>
    <row r="36" spans="1:20">
      <c r="A36" s="980">
        <f t="shared" si="4"/>
        <v>30</v>
      </c>
      <c r="B36" s="943" t="s">
        <v>4133</v>
      </c>
      <c r="C36" s="982"/>
      <c r="D36" s="982"/>
      <c r="E36" s="982">
        <f t="shared" si="3"/>
        <v>0</v>
      </c>
      <c r="F36" s="982"/>
      <c r="G36" s="982"/>
      <c r="H36" s="982">
        <f t="shared" si="0"/>
        <v>0</v>
      </c>
      <c r="I36" s="982"/>
      <c r="J36" s="982"/>
      <c r="K36" s="982">
        <f t="shared" si="5"/>
        <v>0</v>
      </c>
      <c r="L36" s="982"/>
      <c r="M36" s="982"/>
      <c r="N36" s="982">
        <f t="shared" si="2"/>
        <v>0</v>
      </c>
      <c r="O36" s="983"/>
      <c r="P36" s="983"/>
      <c r="Q36" s="983"/>
      <c r="R36" s="983"/>
      <c r="S36" s="983"/>
      <c r="T36" s="983"/>
    </row>
    <row r="37" spans="1:20">
      <c r="A37" s="980">
        <f t="shared" si="4"/>
        <v>31</v>
      </c>
      <c r="B37" s="2176" t="s">
        <v>672</v>
      </c>
      <c r="C37" s="985"/>
      <c r="D37" s="985"/>
      <c r="E37" s="982">
        <f t="shared" si="3"/>
        <v>0</v>
      </c>
      <c r="F37" s="985"/>
      <c r="G37" s="985"/>
      <c r="H37" s="982">
        <f t="shared" si="0"/>
        <v>0</v>
      </c>
      <c r="I37" s="985"/>
      <c r="J37" s="985"/>
      <c r="K37" s="982">
        <f t="shared" si="5"/>
        <v>0</v>
      </c>
      <c r="L37" s="985"/>
      <c r="M37" s="985"/>
      <c r="N37" s="982">
        <f t="shared" si="2"/>
        <v>0</v>
      </c>
      <c r="O37" s="983"/>
      <c r="P37" s="983"/>
      <c r="Q37" s="983"/>
      <c r="R37" s="983"/>
      <c r="S37" s="983"/>
      <c r="T37" s="983"/>
    </row>
    <row r="38" spans="1:20">
      <c r="A38" s="980">
        <f t="shared" si="4"/>
        <v>32</v>
      </c>
      <c r="B38" s="913" t="s">
        <v>4986</v>
      </c>
      <c r="C38" s="985"/>
      <c r="D38" s="985"/>
      <c r="E38" s="982">
        <f t="shared" si="3"/>
        <v>0</v>
      </c>
      <c r="F38" s="985"/>
      <c r="G38" s="985"/>
      <c r="H38" s="982">
        <f t="shared" si="0"/>
        <v>0</v>
      </c>
      <c r="I38" s="985"/>
      <c r="J38" s="985"/>
      <c r="K38" s="982">
        <f t="shared" si="5"/>
        <v>0</v>
      </c>
      <c r="L38" s="985"/>
      <c r="M38" s="985"/>
      <c r="N38" s="982">
        <f t="shared" si="2"/>
        <v>0</v>
      </c>
      <c r="O38" s="983"/>
      <c r="P38" s="983"/>
      <c r="Q38" s="983"/>
      <c r="R38" s="983"/>
      <c r="S38" s="983"/>
      <c r="T38" s="983"/>
    </row>
    <row r="39" spans="1:20">
      <c r="A39" s="980">
        <f t="shared" si="4"/>
        <v>33</v>
      </c>
      <c r="B39" s="945" t="s">
        <v>4134</v>
      </c>
      <c r="C39" s="982">
        <f>SUM(C40:C47)</f>
        <v>0</v>
      </c>
      <c r="D39" s="982">
        <f>SUM(D40:D47)</f>
        <v>0</v>
      </c>
      <c r="E39" s="982">
        <f>C39-D39</f>
        <v>0</v>
      </c>
      <c r="F39" s="982">
        <f>SUM(F40:F47)</f>
        <v>0</v>
      </c>
      <c r="G39" s="982">
        <f>SUM(G40:G47)</f>
        <v>0</v>
      </c>
      <c r="H39" s="982">
        <f t="shared" si="0"/>
        <v>0</v>
      </c>
      <c r="I39" s="982">
        <f>SUM(I40:I47)</f>
        <v>0</v>
      </c>
      <c r="J39" s="982">
        <f>SUM(J40:J47)</f>
        <v>0</v>
      </c>
      <c r="K39" s="982">
        <f t="shared" si="1"/>
        <v>0</v>
      </c>
      <c r="L39" s="982">
        <f>SUM(L40:L47)</f>
        <v>0</v>
      </c>
      <c r="M39" s="982">
        <f>SUM(M40:M47)</f>
        <v>0</v>
      </c>
      <c r="N39" s="982">
        <f t="shared" si="2"/>
        <v>0</v>
      </c>
      <c r="O39" s="983"/>
      <c r="P39" s="983"/>
      <c r="Q39" s="983"/>
      <c r="R39" s="983"/>
      <c r="S39" s="983"/>
      <c r="T39" s="983"/>
    </row>
    <row r="40" spans="1:20">
      <c r="A40" s="980">
        <f t="shared" si="4"/>
        <v>34</v>
      </c>
      <c r="B40" s="943" t="s">
        <v>4135</v>
      </c>
      <c r="C40" s="985"/>
      <c r="D40" s="985"/>
      <c r="E40" s="982">
        <f>C40-D40</f>
        <v>0</v>
      </c>
      <c r="F40" s="985"/>
      <c r="G40" s="985"/>
      <c r="H40" s="982">
        <f t="shared" ref="H40:H47" si="6">F40-G40</f>
        <v>0</v>
      </c>
      <c r="I40" s="985"/>
      <c r="J40" s="985"/>
      <c r="K40" s="982">
        <f t="shared" ref="K40:K47" si="7">I40-J40</f>
        <v>0</v>
      </c>
      <c r="L40" s="985"/>
      <c r="M40" s="985"/>
      <c r="N40" s="982">
        <f t="shared" ref="N40:N47" si="8">L40-M40</f>
        <v>0</v>
      </c>
      <c r="O40" s="983"/>
      <c r="P40" s="983"/>
      <c r="Q40" s="983"/>
      <c r="R40" s="983"/>
      <c r="S40" s="983"/>
      <c r="T40" s="983"/>
    </row>
    <row r="41" spans="1:20">
      <c r="A41" s="980">
        <f t="shared" si="4"/>
        <v>35</v>
      </c>
      <c r="B41" s="943" t="s">
        <v>4136</v>
      </c>
      <c r="C41" s="982"/>
      <c r="D41" s="982"/>
      <c r="E41" s="982">
        <f t="shared" si="3"/>
        <v>0</v>
      </c>
      <c r="F41" s="982"/>
      <c r="G41" s="982"/>
      <c r="H41" s="982">
        <f t="shared" si="6"/>
        <v>0</v>
      </c>
      <c r="I41" s="982"/>
      <c r="J41" s="982"/>
      <c r="K41" s="982">
        <f t="shared" si="7"/>
        <v>0</v>
      </c>
      <c r="L41" s="982"/>
      <c r="M41" s="982"/>
      <c r="N41" s="982">
        <f t="shared" si="8"/>
        <v>0</v>
      </c>
      <c r="O41" s="983"/>
      <c r="P41" s="983"/>
      <c r="Q41" s="983"/>
      <c r="R41" s="983"/>
      <c r="S41" s="983"/>
      <c r="T41" s="983"/>
    </row>
    <row r="42" spans="1:20">
      <c r="A42" s="980">
        <f t="shared" si="4"/>
        <v>36</v>
      </c>
      <c r="B42" s="943" t="s">
        <v>4137</v>
      </c>
      <c r="C42" s="982"/>
      <c r="D42" s="982"/>
      <c r="E42" s="982">
        <f t="shared" si="3"/>
        <v>0</v>
      </c>
      <c r="F42" s="982"/>
      <c r="G42" s="982"/>
      <c r="H42" s="982">
        <f t="shared" si="6"/>
        <v>0</v>
      </c>
      <c r="I42" s="982"/>
      <c r="J42" s="982"/>
      <c r="K42" s="982">
        <f t="shared" si="7"/>
        <v>0</v>
      </c>
      <c r="L42" s="982"/>
      <c r="M42" s="982"/>
      <c r="N42" s="982">
        <f t="shared" si="8"/>
        <v>0</v>
      </c>
      <c r="O42" s="983"/>
      <c r="P42" s="983"/>
      <c r="Q42" s="983"/>
      <c r="R42" s="983"/>
      <c r="S42" s="983"/>
      <c r="T42" s="983"/>
    </row>
    <row r="43" spans="1:20">
      <c r="A43" s="980">
        <f t="shared" si="4"/>
        <v>37</v>
      </c>
      <c r="B43" s="943" t="s">
        <v>4138</v>
      </c>
      <c r="C43" s="982"/>
      <c r="D43" s="982"/>
      <c r="E43" s="982">
        <f t="shared" si="3"/>
        <v>0</v>
      </c>
      <c r="F43" s="982"/>
      <c r="G43" s="982"/>
      <c r="H43" s="982">
        <f t="shared" si="6"/>
        <v>0</v>
      </c>
      <c r="I43" s="982"/>
      <c r="J43" s="982"/>
      <c r="K43" s="982">
        <f t="shared" si="7"/>
        <v>0</v>
      </c>
      <c r="L43" s="982"/>
      <c r="M43" s="982"/>
      <c r="N43" s="982">
        <f t="shared" si="8"/>
        <v>0</v>
      </c>
      <c r="O43" s="983"/>
      <c r="P43" s="983"/>
      <c r="Q43" s="983"/>
      <c r="R43" s="983"/>
      <c r="S43" s="983"/>
      <c r="T43" s="983"/>
    </row>
    <row r="44" spans="1:20">
      <c r="A44" s="980">
        <f t="shared" si="4"/>
        <v>38</v>
      </c>
      <c r="B44" s="943" t="s">
        <v>4139</v>
      </c>
      <c r="C44" s="982"/>
      <c r="D44" s="982"/>
      <c r="E44" s="982">
        <f t="shared" si="3"/>
        <v>0</v>
      </c>
      <c r="F44" s="982"/>
      <c r="G44" s="982"/>
      <c r="H44" s="982">
        <f t="shared" si="6"/>
        <v>0</v>
      </c>
      <c r="I44" s="982"/>
      <c r="J44" s="982"/>
      <c r="K44" s="982">
        <f t="shared" si="7"/>
        <v>0</v>
      </c>
      <c r="L44" s="982"/>
      <c r="M44" s="982"/>
      <c r="N44" s="982">
        <f t="shared" si="8"/>
        <v>0</v>
      </c>
      <c r="O44" s="983"/>
      <c r="P44" s="983"/>
      <c r="Q44" s="983"/>
      <c r="R44" s="983"/>
      <c r="S44" s="983"/>
      <c r="T44" s="983"/>
    </row>
    <row r="45" spans="1:20">
      <c r="A45" s="980">
        <f t="shared" si="4"/>
        <v>39</v>
      </c>
      <c r="B45" s="943" t="s">
        <v>4140</v>
      </c>
      <c r="C45" s="982"/>
      <c r="D45" s="982"/>
      <c r="E45" s="982">
        <f t="shared" si="3"/>
        <v>0</v>
      </c>
      <c r="F45" s="982"/>
      <c r="G45" s="982"/>
      <c r="H45" s="982">
        <f t="shared" si="6"/>
        <v>0</v>
      </c>
      <c r="I45" s="982"/>
      <c r="J45" s="982"/>
      <c r="K45" s="982">
        <f t="shared" si="7"/>
        <v>0</v>
      </c>
      <c r="L45" s="982"/>
      <c r="M45" s="982"/>
      <c r="N45" s="982">
        <f t="shared" si="8"/>
        <v>0</v>
      </c>
      <c r="O45" s="983"/>
      <c r="P45" s="983"/>
      <c r="Q45" s="983"/>
      <c r="R45" s="983"/>
      <c r="S45" s="983"/>
      <c r="T45" s="983"/>
    </row>
    <row r="46" spans="1:20">
      <c r="A46" s="980">
        <f t="shared" si="4"/>
        <v>40</v>
      </c>
      <c r="B46" s="943" t="s">
        <v>4141</v>
      </c>
      <c r="C46" s="982"/>
      <c r="D46" s="982"/>
      <c r="E46" s="982">
        <f t="shared" si="3"/>
        <v>0</v>
      </c>
      <c r="F46" s="982"/>
      <c r="G46" s="982"/>
      <c r="H46" s="982">
        <f t="shared" si="6"/>
        <v>0</v>
      </c>
      <c r="I46" s="982"/>
      <c r="J46" s="982"/>
      <c r="K46" s="982">
        <f t="shared" si="7"/>
        <v>0</v>
      </c>
      <c r="L46" s="982"/>
      <c r="M46" s="982"/>
      <c r="N46" s="982">
        <f t="shared" si="8"/>
        <v>0</v>
      </c>
      <c r="O46" s="983"/>
      <c r="P46" s="983"/>
      <c r="Q46" s="983"/>
      <c r="R46" s="983"/>
      <c r="S46" s="983"/>
      <c r="T46" s="983"/>
    </row>
    <row r="47" spans="1:20">
      <c r="A47" s="980">
        <f t="shared" si="4"/>
        <v>41</v>
      </c>
      <c r="B47" s="943" t="s">
        <v>4142</v>
      </c>
      <c r="C47" s="982"/>
      <c r="D47" s="982"/>
      <c r="E47" s="982">
        <f t="shared" si="3"/>
        <v>0</v>
      </c>
      <c r="F47" s="982"/>
      <c r="G47" s="982"/>
      <c r="H47" s="982">
        <f t="shared" si="6"/>
        <v>0</v>
      </c>
      <c r="I47" s="982"/>
      <c r="J47" s="982"/>
      <c r="K47" s="982">
        <f t="shared" si="7"/>
        <v>0</v>
      </c>
      <c r="L47" s="982"/>
      <c r="M47" s="982"/>
      <c r="N47" s="982">
        <f t="shared" si="8"/>
        <v>0</v>
      </c>
      <c r="O47" s="983"/>
      <c r="P47" s="983"/>
      <c r="Q47" s="983"/>
      <c r="R47" s="983"/>
      <c r="S47" s="983"/>
      <c r="T47" s="983"/>
    </row>
    <row r="48" spans="1:20">
      <c r="A48" s="980">
        <f t="shared" si="4"/>
        <v>42</v>
      </c>
      <c r="B48" s="947" t="s">
        <v>3638</v>
      </c>
      <c r="C48" s="982">
        <f>C7+C39</f>
        <v>0</v>
      </c>
      <c r="D48" s="982">
        <f>D7+D39</f>
        <v>0</v>
      </c>
      <c r="E48" s="982">
        <f t="shared" si="3"/>
        <v>0</v>
      </c>
      <c r="F48" s="982">
        <f>F7+F39</f>
        <v>0</v>
      </c>
      <c r="G48" s="982">
        <f>G7+G39</f>
        <v>0</v>
      </c>
      <c r="H48" s="982">
        <f t="shared" si="0"/>
        <v>0</v>
      </c>
      <c r="I48" s="982">
        <f>I7+I39</f>
        <v>0</v>
      </c>
      <c r="J48" s="982">
        <f>J7+J39</f>
        <v>0</v>
      </c>
      <c r="K48" s="982">
        <f t="shared" si="1"/>
        <v>0</v>
      </c>
      <c r="L48" s="982">
        <f>L7+L39</f>
        <v>0</v>
      </c>
      <c r="M48" s="982">
        <f>M7+M39</f>
        <v>0</v>
      </c>
      <c r="N48" s="982">
        <f t="shared" si="2"/>
        <v>0</v>
      </c>
      <c r="O48" s="983"/>
      <c r="P48" s="983"/>
      <c r="Q48" s="983"/>
      <c r="R48" s="983"/>
      <c r="S48" s="983"/>
      <c r="T48" s="983"/>
    </row>
    <row r="49" spans="1:14">
      <c r="A49" s="986" t="s">
        <v>4153</v>
      </c>
      <c r="B49" s="969"/>
      <c r="C49" s="987"/>
      <c r="D49" s="987"/>
      <c r="E49" s="987"/>
      <c r="F49" s="987"/>
      <c r="G49" s="987"/>
      <c r="H49" s="987"/>
      <c r="I49" s="987"/>
      <c r="J49" s="987"/>
      <c r="K49" s="987"/>
      <c r="L49" s="987"/>
      <c r="M49" s="987"/>
      <c r="N49" s="987"/>
    </row>
    <row r="50" spans="1:14">
      <c r="A50" s="968">
        <v>1</v>
      </c>
      <c r="B50" s="47" t="s">
        <v>144</v>
      </c>
    </row>
    <row r="51" spans="1:14">
      <c r="A51" s="968"/>
    </row>
    <row r="54" spans="1:14">
      <c r="C54" s="968"/>
    </row>
  </sheetData>
  <mergeCells count="8">
    <mergeCell ref="L4:N4"/>
    <mergeCell ref="B3:B6"/>
    <mergeCell ref="A3:A6"/>
    <mergeCell ref="C3:H3"/>
    <mergeCell ref="I3:N3"/>
    <mergeCell ref="I4:K4"/>
    <mergeCell ref="C4:E4"/>
    <mergeCell ref="F4:H4"/>
  </mergeCells>
  <phoneticPr fontId="32"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heetViews>
  <sheetFormatPr defaultColWidth="10" defaultRowHeight="14.25"/>
  <cols>
    <col min="1" max="1" width="5.125" style="55" customWidth="1"/>
    <col min="2" max="2" width="21.25" style="47" customWidth="1"/>
    <col min="3" max="3" width="12.375" style="47" customWidth="1"/>
    <col min="4" max="4" width="10.125" style="47" customWidth="1"/>
    <col min="5" max="5" width="11.5" style="47" customWidth="1"/>
    <col min="6" max="8" width="10.125" style="47" customWidth="1"/>
    <col min="9" max="9" width="12.125" style="47" customWidth="1"/>
    <col min="10" max="10" width="10.125" style="47" customWidth="1"/>
    <col min="11" max="11" width="11.75" style="47" customWidth="1"/>
    <col min="12" max="13" width="10.125" style="47" customWidth="1"/>
    <col min="14" max="14" width="13.875" style="47" customWidth="1"/>
    <col min="15" max="16384" width="10" style="47"/>
  </cols>
  <sheetData>
    <row r="1" spans="1:20" ht="16.5">
      <c r="A1" s="2186" t="str">
        <f>+封面!A3&amp;" "&amp;封面!A2</f>
        <v xml:space="preserve"> 中央再保險股份有限公司 年度檢查報表</v>
      </c>
      <c r="B1" s="46"/>
      <c r="C1" s="46"/>
      <c r="D1" s="46"/>
      <c r="E1" s="46"/>
      <c r="F1" s="46"/>
      <c r="G1" s="46"/>
      <c r="H1" s="46"/>
      <c r="I1" s="46"/>
      <c r="J1" s="46"/>
      <c r="K1" s="46"/>
    </row>
    <row r="2" spans="1:20">
      <c r="A2" s="907" t="s">
        <v>314</v>
      </c>
      <c r="N2" s="286" t="s">
        <v>300</v>
      </c>
    </row>
    <row r="3" spans="1:20" ht="15" customHeight="1">
      <c r="A3" s="3163" t="s">
        <v>179</v>
      </c>
      <c r="B3" s="3163" t="s">
        <v>301</v>
      </c>
      <c r="C3" s="3166" t="s">
        <v>4102</v>
      </c>
      <c r="D3" s="3167"/>
      <c r="E3" s="3167"/>
      <c r="F3" s="3167"/>
      <c r="G3" s="3167"/>
      <c r="H3" s="3168"/>
      <c r="I3" s="3166" t="s">
        <v>4103</v>
      </c>
      <c r="J3" s="3167"/>
      <c r="K3" s="3167"/>
      <c r="L3" s="3167"/>
      <c r="M3" s="3167"/>
      <c r="N3" s="3168"/>
    </row>
    <row r="4" spans="1:20" ht="15" customHeight="1">
      <c r="A4" s="3164"/>
      <c r="B4" s="3164"/>
      <c r="C4" s="3152" t="s">
        <v>302</v>
      </c>
      <c r="D4" s="3152"/>
      <c r="E4" s="3153"/>
      <c r="F4" s="3151" t="s">
        <v>303</v>
      </c>
      <c r="G4" s="3152"/>
      <c r="H4" s="3153"/>
      <c r="I4" s="3169" t="s">
        <v>302</v>
      </c>
      <c r="J4" s="3170"/>
      <c r="K4" s="3171"/>
      <c r="L4" s="3151" t="s">
        <v>303</v>
      </c>
      <c r="M4" s="3152"/>
      <c r="N4" s="3153"/>
    </row>
    <row r="5" spans="1:20" ht="15" customHeight="1">
      <c r="A5" s="3164"/>
      <c r="B5" s="3164"/>
      <c r="C5" s="978" t="s">
        <v>87</v>
      </c>
      <c r="D5" s="951" t="s">
        <v>304</v>
      </c>
      <c r="E5" s="951" t="s">
        <v>192</v>
      </c>
      <c r="F5" s="951" t="s">
        <v>87</v>
      </c>
      <c r="G5" s="951" t="s">
        <v>304</v>
      </c>
      <c r="H5" s="951" t="s">
        <v>192</v>
      </c>
      <c r="I5" s="951" t="s">
        <v>87</v>
      </c>
      <c r="J5" s="951" t="s">
        <v>304</v>
      </c>
      <c r="K5" s="951" t="s">
        <v>192</v>
      </c>
      <c r="L5" s="951" t="s">
        <v>87</v>
      </c>
      <c r="M5" s="951" t="s">
        <v>304</v>
      </c>
      <c r="N5" s="951" t="s">
        <v>192</v>
      </c>
    </row>
    <row r="6" spans="1:20" s="955" customFormat="1">
      <c r="A6" s="3165"/>
      <c r="B6" s="3165"/>
      <c r="C6" s="979" t="s">
        <v>305</v>
      </c>
      <c r="D6" s="953" t="s">
        <v>370</v>
      </c>
      <c r="E6" s="953" t="s">
        <v>306</v>
      </c>
      <c r="F6" s="953" t="s">
        <v>307</v>
      </c>
      <c r="G6" s="953" t="s">
        <v>371</v>
      </c>
      <c r="H6" s="953" t="s">
        <v>308</v>
      </c>
      <c r="I6" s="889" t="s">
        <v>309</v>
      </c>
      <c r="J6" s="889" t="s">
        <v>372</v>
      </c>
      <c r="K6" s="889" t="s">
        <v>310</v>
      </c>
      <c r="L6" s="889" t="s">
        <v>374</v>
      </c>
      <c r="M6" s="889" t="s">
        <v>311</v>
      </c>
      <c r="N6" s="889" t="s">
        <v>312</v>
      </c>
    </row>
    <row r="7" spans="1:20" s="955" customFormat="1" ht="21.75" customHeight="1">
      <c r="A7" s="980">
        <v>1</v>
      </c>
      <c r="B7" s="981" t="s">
        <v>4104</v>
      </c>
      <c r="C7" s="982">
        <f>SUM(C8:C14)</f>
        <v>0</v>
      </c>
      <c r="D7" s="982">
        <f>SUM(D8:D14)</f>
        <v>0</v>
      </c>
      <c r="E7" s="982">
        <f>C7-D7</f>
        <v>0</v>
      </c>
      <c r="F7" s="982">
        <f>SUM(F8:F14)</f>
        <v>0</v>
      </c>
      <c r="G7" s="982">
        <f>SUM(G8:G14)</f>
        <v>0</v>
      </c>
      <c r="H7" s="982">
        <f>F7-G7</f>
        <v>0</v>
      </c>
      <c r="I7" s="982">
        <f>SUM(I8:I14)</f>
        <v>0</v>
      </c>
      <c r="J7" s="982">
        <f>SUM(J8:J14)</f>
        <v>0</v>
      </c>
      <c r="K7" s="982">
        <f>I7-J7</f>
        <v>0</v>
      </c>
      <c r="L7" s="982">
        <f>SUM(L8:L14)</f>
        <v>0</v>
      </c>
      <c r="M7" s="982">
        <f>SUM(M8:M14)</f>
        <v>0</v>
      </c>
      <c r="N7" s="982">
        <f>L7-M7</f>
        <v>0</v>
      </c>
      <c r="O7" s="983"/>
      <c r="P7" s="983"/>
      <c r="Q7" s="983"/>
      <c r="R7" s="983"/>
      <c r="S7" s="983"/>
      <c r="T7" s="983"/>
    </row>
    <row r="8" spans="1:20" ht="21.75" customHeight="1">
      <c r="A8" s="980">
        <v>2</v>
      </c>
      <c r="B8" s="981" t="s">
        <v>4143</v>
      </c>
      <c r="C8" s="982"/>
      <c r="D8" s="982"/>
      <c r="E8" s="982">
        <f t="shared" ref="E8:E21" si="0">C8-D8</f>
        <v>0</v>
      </c>
      <c r="F8" s="982"/>
      <c r="G8" s="982"/>
      <c r="H8" s="982">
        <f t="shared" ref="H8:H21" si="1">F8-G8</f>
        <v>0</v>
      </c>
      <c r="I8" s="982"/>
      <c r="J8" s="982"/>
      <c r="K8" s="982">
        <f t="shared" ref="K8:K21" si="2">I8-J8</f>
        <v>0</v>
      </c>
      <c r="L8" s="982"/>
      <c r="M8" s="982"/>
      <c r="N8" s="982">
        <f t="shared" ref="N8:N21" si="3">L8-M8</f>
        <v>0</v>
      </c>
      <c r="O8" s="983"/>
      <c r="P8" s="983"/>
      <c r="Q8" s="983"/>
      <c r="R8" s="983"/>
      <c r="S8" s="983"/>
      <c r="T8" s="983"/>
    </row>
    <row r="9" spans="1:20" ht="21.75" customHeight="1">
      <c r="A9" s="980">
        <v>3</v>
      </c>
      <c r="B9" s="981" t="s">
        <v>4144</v>
      </c>
      <c r="C9" s="982"/>
      <c r="D9" s="982"/>
      <c r="E9" s="982">
        <f t="shared" si="0"/>
        <v>0</v>
      </c>
      <c r="F9" s="982"/>
      <c r="G9" s="982"/>
      <c r="H9" s="982">
        <f t="shared" si="1"/>
        <v>0</v>
      </c>
      <c r="I9" s="982"/>
      <c r="J9" s="982"/>
      <c r="K9" s="982">
        <f t="shared" si="2"/>
        <v>0</v>
      </c>
      <c r="L9" s="982"/>
      <c r="M9" s="982"/>
      <c r="N9" s="982">
        <f t="shared" si="3"/>
        <v>0</v>
      </c>
      <c r="O9" s="983"/>
      <c r="P9" s="983"/>
      <c r="Q9" s="983"/>
      <c r="R9" s="983"/>
      <c r="S9" s="983"/>
      <c r="T9" s="983"/>
    </row>
    <row r="10" spans="1:20" ht="21.75" customHeight="1">
      <c r="A10" s="980">
        <v>4</v>
      </c>
      <c r="B10" s="895" t="s">
        <v>1173</v>
      </c>
      <c r="C10" s="982"/>
      <c r="D10" s="982"/>
      <c r="E10" s="982">
        <f t="shared" si="0"/>
        <v>0</v>
      </c>
      <c r="F10" s="982"/>
      <c r="G10" s="982"/>
      <c r="H10" s="982">
        <f t="shared" si="1"/>
        <v>0</v>
      </c>
      <c r="I10" s="982"/>
      <c r="J10" s="982"/>
      <c r="K10" s="982">
        <f t="shared" si="2"/>
        <v>0</v>
      </c>
      <c r="L10" s="982">
        <v>0</v>
      </c>
      <c r="M10" s="982">
        <v>0</v>
      </c>
      <c r="N10" s="982">
        <f t="shared" si="3"/>
        <v>0</v>
      </c>
      <c r="O10" s="983"/>
      <c r="P10" s="983"/>
      <c r="Q10" s="983"/>
      <c r="R10" s="983"/>
      <c r="S10" s="983"/>
      <c r="T10" s="983"/>
    </row>
    <row r="11" spans="1:20" ht="21.75" customHeight="1">
      <c r="A11" s="980">
        <v>5</v>
      </c>
      <c r="B11" s="981" t="s">
        <v>4145</v>
      </c>
      <c r="C11" s="982"/>
      <c r="D11" s="982"/>
      <c r="E11" s="982">
        <f t="shared" si="0"/>
        <v>0</v>
      </c>
      <c r="F11" s="982"/>
      <c r="G11" s="982"/>
      <c r="H11" s="982">
        <f t="shared" si="1"/>
        <v>0</v>
      </c>
      <c r="I11" s="982">
        <v>0</v>
      </c>
      <c r="J11" s="982">
        <v>0</v>
      </c>
      <c r="K11" s="982">
        <f t="shared" si="2"/>
        <v>0</v>
      </c>
      <c r="L11" s="982">
        <v>0</v>
      </c>
      <c r="M11" s="982">
        <v>0</v>
      </c>
      <c r="N11" s="982">
        <f t="shared" si="3"/>
        <v>0</v>
      </c>
      <c r="O11" s="983"/>
      <c r="P11" s="983"/>
      <c r="Q11" s="983"/>
      <c r="R11" s="983"/>
      <c r="S11" s="983"/>
      <c r="T11" s="983"/>
    </row>
    <row r="12" spans="1:20" ht="21.75" customHeight="1">
      <c r="A12" s="980">
        <v>6</v>
      </c>
      <c r="B12" s="981" t="s">
        <v>4146</v>
      </c>
      <c r="C12" s="982"/>
      <c r="D12" s="982"/>
      <c r="E12" s="982">
        <f t="shared" si="0"/>
        <v>0</v>
      </c>
      <c r="F12" s="982"/>
      <c r="G12" s="982"/>
      <c r="H12" s="982">
        <f t="shared" si="1"/>
        <v>0</v>
      </c>
      <c r="I12" s="982">
        <v>0</v>
      </c>
      <c r="J12" s="982">
        <v>0</v>
      </c>
      <c r="K12" s="982">
        <f t="shared" si="2"/>
        <v>0</v>
      </c>
      <c r="L12" s="982">
        <v>0</v>
      </c>
      <c r="M12" s="982">
        <v>0</v>
      </c>
      <c r="N12" s="982">
        <f t="shared" si="3"/>
        <v>0</v>
      </c>
      <c r="O12" s="983"/>
      <c r="P12" s="983"/>
      <c r="Q12" s="983"/>
      <c r="R12" s="983"/>
      <c r="S12" s="983"/>
      <c r="T12" s="983"/>
    </row>
    <row r="13" spans="1:20" ht="21.75" customHeight="1">
      <c r="A13" s="980">
        <v>7</v>
      </c>
      <c r="B13" s="895" t="s">
        <v>1034</v>
      </c>
      <c r="C13" s="982"/>
      <c r="D13" s="982"/>
      <c r="E13" s="982">
        <f t="shared" si="0"/>
        <v>0</v>
      </c>
      <c r="F13" s="982"/>
      <c r="G13" s="982"/>
      <c r="H13" s="982">
        <f t="shared" si="1"/>
        <v>0</v>
      </c>
      <c r="I13" s="982"/>
      <c r="J13" s="982"/>
      <c r="K13" s="982">
        <f t="shared" si="2"/>
        <v>0</v>
      </c>
      <c r="L13" s="982"/>
      <c r="M13" s="982"/>
      <c r="N13" s="982">
        <f t="shared" si="3"/>
        <v>0</v>
      </c>
      <c r="O13" s="983"/>
      <c r="P13" s="983"/>
      <c r="Q13" s="983"/>
      <c r="R13" s="983"/>
      <c r="S13" s="983"/>
      <c r="T13" s="983"/>
    </row>
    <row r="14" spans="1:20" ht="21.75" customHeight="1">
      <c r="A14" s="980">
        <v>8</v>
      </c>
      <c r="B14" s="895" t="s">
        <v>1035</v>
      </c>
      <c r="C14" s="982"/>
      <c r="D14" s="982"/>
      <c r="E14" s="982">
        <f t="shared" si="0"/>
        <v>0</v>
      </c>
      <c r="F14" s="982"/>
      <c r="G14" s="982"/>
      <c r="H14" s="982">
        <f t="shared" si="1"/>
        <v>0</v>
      </c>
      <c r="I14" s="982"/>
      <c r="J14" s="982"/>
      <c r="K14" s="982">
        <f t="shared" si="2"/>
        <v>0</v>
      </c>
      <c r="L14" s="982"/>
      <c r="M14" s="982"/>
      <c r="N14" s="982">
        <f t="shared" si="3"/>
        <v>0</v>
      </c>
      <c r="O14" s="983"/>
      <c r="P14" s="983"/>
      <c r="Q14" s="983"/>
      <c r="R14" s="983"/>
      <c r="S14" s="983"/>
      <c r="T14" s="983"/>
    </row>
    <row r="15" spans="1:20" ht="21.75" customHeight="1">
      <c r="A15" s="980">
        <v>9</v>
      </c>
      <c r="B15" s="981" t="s">
        <v>4134</v>
      </c>
      <c r="C15" s="982">
        <f>SUM(C16:C20)</f>
        <v>0</v>
      </c>
      <c r="D15" s="982">
        <f>SUM(D16:D20)</f>
        <v>0</v>
      </c>
      <c r="E15" s="982">
        <f>SUM(E16:E20)</f>
        <v>0</v>
      </c>
      <c r="F15" s="982">
        <f>SUM(F16:F20)</f>
        <v>0</v>
      </c>
      <c r="G15" s="982">
        <f>SUM(G16:G20)</f>
        <v>0</v>
      </c>
      <c r="H15" s="982">
        <f t="shared" si="1"/>
        <v>0</v>
      </c>
      <c r="I15" s="982">
        <f>SUM(I16:I20)</f>
        <v>0</v>
      </c>
      <c r="J15" s="982">
        <f>SUM(J16:J20)</f>
        <v>0</v>
      </c>
      <c r="K15" s="982">
        <f t="shared" si="2"/>
        <v>0</v>
      </c>
      <c r="L15" s="982">
        <f>SUM(L16:L20)</f>
        <v>0</v>
      </c>
      <c r="M15" s="982">
        <f>SUM(M16:M20)</f>
        <v>0</v>
      </c>
      <c r="N15" s="982">
        <f t="shared" si="3"/>
        <v>0</v>
      </c>
      <c r="O15" s="983"/>
      <c r="P15" s="983"/>
      <c r="Q15" s="983"/>
      <c r="R15" s="983"/>
      <c r="S15" s="983"/>
      <c r="T15" s="983"/>
    </row>
    <row r="16" spans="1:20" ht="21.75" customHeight="1">
      <c r="A16" s="980">
        <v>10</v>
      </c>
      <c r="B16" s="981" t="s">
        <v>4147</v>
      </c>
      <c r="C16" s="982"/>
      <c r="D16" s="982"/>
      <c r="E16" s="982">
        <f t="shared" si="0"/>
        <v>0</v>
      </c>
      <c r="F16" s="982"/>
      <c r="G16" s="982"/>
      <c r="H16" s="982">
        <f t="shared" si="1"/>
        <v>0</v>
      </c>
      <c r="I16" s="982"/>
      <c r="J16" s="982"/>
      <c r="K16" s="982">
        <f t="shared" si="2"/>
        <v>0</v>
      </c>
      <c r="L16" s="982"/>
      <c r="M16" s="982"/>
      <c r="N16" s="982">
        <f t="shared" si="3"/>
        <v>0</v>
      </c>
      <c r="O16" s="983"/>
      <c r="P16" s="983"/>
      <c r="Q16" s="983"/>
      <c r="R16" s="983"/>
      <c r="S16" s="983"/>
      <c r="T16" s="983"/>
    </row>
    <row r="17" spans="1:20" ht="21.75" customHeight="1">
      <c r="A17" s="980">
        <v>11</v>
      </c>
      <c r="B17" s="981" t="s">
        <v>4148</v>
      </c>
      <c r="C17" s="982"/>
      <c r="D17" s="982"/>
      <c r="E17" s="982">
        <f t="shared" si="0"/>
        <v>0</v>
      </c>
      <c r="F17" s="982"/>
      <c r="G17" s="982"/>
      <c r="H17" s="982">
        <f t="shared" si="1"/>
        <v>0</v>
      </c>
      <c r="I17" s="982">
        <v>0</v>
      </c>
      <c r="J17" s="982">
        <v>0</v>
      </c>
      <c r="K17" s="982">
        <f t="shared" si="2"/>
        <v>0</v>
      </c>
      <c r="L17" s="982"/>
      <c r="M17" s="982"/>
      <c r="N17" s="982">
        <f t="shared" si="3"/>
        <v>0</v>
      </c>
      <c r="O17" s="983"/>
      <c r="P17" s="983"/>
      <c r="Q17" s="983"/>
      <c r="R17" s="983"/>
      <c r="S17" s="983"/>
      <c r="T17" s="983"/>
    </row>
    <row r="18" spans="1:20" ht="21.75" customHeight="1">
      <c r="A18" s="980">
        <v>12</v>
      </c>
      <c r="B18" s="981" t="s">
        <v>4149</v>
      </c>
      <c r="C18" s="982"/>
      <c r="D18" s="982"/>
      <c r="E18" s="982">
        <f t="shared" si="0"/>
        <v>0</v>
      </c>
      <c r="F18" s="982"/>
      <c r="G18" s="982"/>
      <c r="H18" s="982">
        <f t="shared" si="1"/>
        <v>0</v>
      </c>
      <c r="I18" s="982">
        <v>0</v>
      </c>
      <c r="J18" s="982">
        <v>0</v>
      </c>
      <c r="K18" s="982">
        <f t="shared" si="2"/>
        <v>0</v>
      </c>
      <c r="L18" s="982">
        <v>0</v>
      </c>
      <c r="M18" s="982">
        <v>0</v>
      </c>
      <c r="N18" s="982">
        <f t="shared" si="3"/>
        <v>0</v>
      </c>
      <c r="O18" s="983"/>
      <c r="P18" s="983"/>
      <c r="Q18" s="983"/>
      <c r="R18" s="983"/>
      <c r="S18" s="983"/>
      <c r="T18" s="983"/>
    </row>
    <row r="19" spans="1:20" ht="21.75" customHeight="1">
      <c r="A19" s="980">
        <v>13</v>
      </c>
      <c r="B19" s="981" t="s">
        <v>4150</v>
      </c>
      <c r="C19" s="982"/>
      <c r="D19" s="982"/>
      <c r="E19" s="982">
        <f t="shared" si="0"/>
        <v>0</v>
      </c>
      <c r="F19" s="982"/>
      <c r="G19" s="982"/>
      <c r="H19" s="982">
        <f t="shared" si="1"/>
        <v>0</v>
      </c>
      <c r="I19" s="982">
        <v>0</v>
      </c>
      <c r="J19" s="982">
        <v>0</v>
      </c>
      <c r="K19" s="982">
        <f t="shared" si="2"/>
        <v>0</v>
      </c>
      <c r="L19" s="982">
        <v>0</v>
      </c>
      <c r="M19" s="982">
        <v>0</v>
      </c>
      <c r="N19" s="982">
        <f t="shared" si="3"/>
        <v>0</v>
      </c>
      <c r="O19" s="983"/>
      <c r="P19" s="983"/>
      <c r="Q19" s="983"/>
      <c r="R19" s="983"/>
      <c r="S19" s="983"/>
      <c r="T19" s="983"/>
    </row>
    <row r="20" spans="1:20" ht="21.75" customHeight="1">
      <c r="A20" s="980">
        <v>14</v>
      </c>
      <c r="B20" s="981" t="s">
        <v>4151</v>
      </c>
      <c r="C20" s="982"/>
      <c r="D20" s="982"/>
      <c r="E20" s="982">
        <f t="shared" si="0"/>
        <v>0</v>
      </c>
      <c r="F20" s="982"/>
      <c r="G20" s="982"/>
      <c r="H20" s="982">
        <f t="shared" si="1"/>
        <v>0</v>
      </c>
      <c r="I20" s="982">
        <v>0</v>
      </c>
      <c r="J20" s="982">
        <v>0</v>
      </c>
      <c r="K20" s="982">
        <f t="shared" si="2"/>
        <v>0</v>
      </c>
      <c r="L20" s="982">
        <v>0</v>
      </c>
      <c r="M20" s="982">
        <v>0</v>
      </c>
      <c r="N20" s="982">
        <f t="shared" si="3"/>
        <v>0</v>
      </c>
      <c r="O20" s="983"/>
      <c r="P20" s="983"/>
      <c r="Q20" s="983"/>
      <c r="R20" s="983"/>
      <c r="S20" s="983"/>
      <c r="T20" s="983"/>
    </row>
    <row r="21" spans="1:20" ht="21.75" customHeight="1">
      <c r="A21" s="980">
        <v>15</v>
      </c>
      <c r="B21" s="947" t="s">
        <v>4152</v>
      </c>
      <c r="C21" s="982">
        <f>C7+C15</f>
        <v>0</v>
      </c>
      <c r="D21" s="982">
        <f>D7+D15</f>
        <v>0</v>
      </c>
      <c r="E21" s="982">
        <f t="shared" si="0"/>
        <v>0</v>
      </c>
      <c r="F21" s="982">
        <f>F7+F15</f>
        <v>0</v>
      </c>
      <c r="G21" s="982">
        <f>G7+G15</f>
        <v>0</v>
      </c>
      <c r="H21" s="982">
        <f t="shared" si="1"/>
        <v>0</v>
      </c>
      <c r="I21" s="982">
        <f>I7+I15</f>
        <v>0</v>
      </c>
      <c r="J21" s="982">
        <f>J7+J15</f>
        <v>0</v>
      </c>
      <c r="K21" s="982">
        <f t="shared" si="2"/>
        <v>0</v>
      </c>
      <c r="L21" s="982">
        <f>L7+L15</f>
        <v>0</v>
      </c>
      <c r="M21" s="982">
        <f>M7+M15</f>
        <v>0</v>
      </c>
      <c r="N21" s="982">
        <f t="shared" si="3"/>
        <v>0</v>
      </c>
      <c r="O21" s="983"/>
      <c r="P21" s="983"/>
      <c r="Q21" s="983"/>
      <c r="R21" s="983"/>
      <c r="S21" s="983"/>
      <c r="T21" s="983"/>
    </row>
    <row r="22" spans="1:20">
      <c r="A22" s="55" t="s">
        <v>4153</v>
      </c>
      <c r="L22" s="46"/>
      <c r="M22" s="46"/>
      <c r="N22" s="46"/>
    </row>
    <row r="23" spans="1:20">
      <c r="A23" s="968">
        <v>1</v>
      </c>
      <c r="B23" s="47" t="s">
        <v>144</v>
      </c>
    </row>
    <row r="24" spans="1:20">
      <c r="A24" s="969">
        <v>2</v>
      </c>
      <c r="B24" s="50" t="s">
        <v>1033</v>
      </c>
    </row>
    <row r="26" spans="1:20">
      <c r="C26" s="968"/>
    </row>
  </sheetData>
  <mergeCells count="8">
    <mergeCell ref="A3:A6"/>
    <mergeCell ref="B3:B6"/>
    <mergeCell ref="C3:H3"/>
    <mergeCell ref="I3:N3"/>
    <mergeCell ref="C4:E4"/>
    <mergeCell ref="F4:H4"/>
    <mergeCell ref="I4:K4"/>
    <mergeCell ref="L4:N4"/>
  </mergeCells>
  <phoneticPr fontId="32"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pane="topRight"/>
      <selection pane="bottomLeft"/>
      <selection pane="bottomRight"/>
    </sheetView>
  </sheetViews>
  <sheetFormatPr defaultColWidth="10" defaultRowHeight="14.25"/>
  <cols>
    <col min="1" max="1" width="6" style="55" customWidth="1"/>
    <col min="2" max="2" width="11.625" style="47" customWidth="1"/>
    <col min="3" max="4" width="10.25" style="47" bestFit="1" customWidth="1"/>
    <col min="5" max="5" width="8.5" style="47" bestFit="1" customWidth="1"/>
    <col min="6" max="7" width="11.25" style="47" customWidth="1"/>
    <col min="8" max="9" width="10.25" style="47" bestFit="1" customWidth="1"/>
    <col min="10" max="10" width="8.5" style="47" bestFit="1" customWidth="1"/>
    <col min="11" max="12" width="11.25" style="47" customWidth="1"/>
    <col min="13" max="14" width="10.25" style="47" customWidth="1"/>
    <col min="15" max="16" width="11.25" style="47" customWidth="1"/>
    <col min="17" max="18" width="10.25" style="47" customWidth="1"/>
    <col min="19" max="20" width="11.25" style="47" customWidth="1"/>
    <col min="21" max="21" width="19.25" style="47" customWidth="1"/>
    <col min="22" max="22" width="21.25" style="47" customWidth="1"/>
    <col min="23" max="16384" width="10" style="47"/>
  </cols>
  <sheetData>
    <row r="1" spans="1:22" ht="16.5">
      <c r="A1" s="2186" t="str">
        <f>+封面!A3&amp;" "&amp;封面!A2</f>
        <v xml:space="preserve"> 中央再保險股份有限公司 年度檢查報表</v>
      </c>
      <c r="B1" s="46"/>
      <c r="C1" s="46"/>
      <c r="D1" s="46"/>
      <c r="E1" s="46"/>
      <c r="F1" s="46"/>
      <c r="G1" s="46"/>
      <c r="H1" s="46"/>
      <c r="I1" s="46"/>
      <c r="J1" s="46"/>
      <c r="K1" s="46"/>
      <c r="L1" s="46"/>
      <c r="M1" s="46"/>
      <c r="N1" s="46"/>
      <c r="O1" s="46"/>
      <c r="P1" s="46"/>
      <c r="Q1" s="46"/>
      <c r="R1" s="46"/>
      <c r="S1" s="46"/>
      <c r="T1" s="46"/>
      <c r="U1" s="46"/>
    </row>
    <row r="2" spans="1:22">
      <c r="A2" s="907" t="s">
        <v>315</v>
      </c>
      <c r="V2" s="286" t="s">
        <v>300</v>
      </c>
    </row>
    <row r="3" spans="1:22" ht="16.5" customHeight="1">
      <c r="A3" s="3163" t="s">
        <v>179</v>
      </c>
      <c r="B3" s="3163" t="s">
        <v>86</v>
      </c>
      <c r="C3" s="3166" t="s">
        <v>4102</v>
      </c>
      <c r="D3" s="3167"/>
      <c r="E3" s="3167"/>
      <c r="F3" s="3167"/>
      <c r="G3" s="3167"/>
      <c r="H3" s="3167"/>
      <c r="I3" s="3167"/>
      <c r="J3" s="3167"/>
      <c r="K3" s="3167"/>
      <c r="L3" s="3167"/>
      <c r="M3" s="3177" t="s">
        <v>4103</v>
      </c>
      <c r="N3" s="3178"/>
      <c r="O3" s="3178"/>
      <c r="P3" s="3178"/>
      <c r="Q3" s="3178"/>
      <c r="R3" s="3178"/>
      <c r="S3" s="3178"/>
      <c r="T3" s="3178"/>
      <c r="U3" s="3070" t="s">
        <v>5603</v>
      </c>
      <c r="V3" s="3174" t="s">
        <v>180</v>
      </c>
    </row>
    <row r="4" spans="1:22" ht="16.5" customHeight="1">
      <c r="A4" s="3164"/>
      <c r="B4" s="3164"/>
      <c r="C4" s="3166" t="s">
        <v>562</v>
      </c>
      <c r="D4" s="3167"/>
      <c r="E4" s="3167"/>
      <c r="F4" s="3167"/>
      <c r="G4" s="3168"/>
      <c r="H4" s="3166" t="s">
        <v>563</v>
      </c>
      <c r="I4" s="3167"/>
      <c r="J4" s="3167"/>
      <c r="K4" s="3167"/>
      <c r="L4" s="3168"/>
      <c r="M4" s="3166" t="s">
        <v>562</v>
      </c>
      <c r="N4" s="3167"/>
      <c r="O4" s="3167"/>
      <c r="P4" s="3168"/>
      <c r="Q4" s="3166" t="s">
        <v>563</v>
      </c>
      <c r="R4" s="3167"/>
      <c r="S4" s="3167"/>
      <c r="T4" s="3168"/>
      <c r="U4" s="3172"/>
      <c r="V4" s="3173"/>
    </row>
    <row r="5" spans="1:22" ht="28.5">
      <c r="A5" s="3164"/>
      <c r="B5" s="3164"/>
      <c r="C5" s="950" t="s">
        <v>87</v>
      </c>
      <c r="D5" s="951" t="s">
        <v>304</v>
      </c>
      <c r="E5" s="951" t="s">
        <v>316</v>
      </c>
      <c r="F5" s="924" t="s">
        <v>317</v>
      </c>
      <c r="G5" s="924" t="s">
        <v>318</v>
      </c>
      <c r="H5" s="950" t="s">
        <v>87</v>
      </c>
      <c r="I5" s="951" t="s">
        <v>304</v>
      </c>
      <c r="J5" s="951" t="s">
        <v>316</v>
      </c>
      <c r="K5" s="924" t="s">
        <v>317</v>
      </c>
      <c r="L5" s="924" t="s">
        <v>318</v>
      </c>
      <c r="M5" s="950" t="s">
        <v>87</v>
      </c>
      <c r="N5" s="951" t="s">
        <v>304</v>
      </c>
      <c r="O5" s="924" t="s">
        <v>317</v>
      </c>
      <c r="P5" s="924" t="s">
        <v>318</v>
      </c>
      <c r="Q5" s="950" t="s">
        <v>87</v>
      </c>
      <c r="R5" s="951" t="s">
        <v>304</v>
      </c>
      <c r="S5" s="924" t="s">
        <v>317</v>
      </c>
      <c r="T5" s="924" t="s">
        <v>318</v>
      </c>
      <c r="U5" s="3173"/>
      <c r="V5" s="3173"/>
    </row>
    <row r="6" spans="1:22" s="955" customFormat="1" ht="42.75">
      <c r="A6" s="3165"/>
      <c r="B6" s="3165"/>
      <c r="C6" s="952" t="s">
        <v>295</v>
      </c>
      <c r="D6" s="952" t="s">
        <v>370</v>
      </c>
      <c r="E6" s="952" t="s">
        <v>319</v>
      </c>
      <c r="F6" s="953" t="s">
        <v>307</v>
      </c>
      <c r="G6" s="953" t="s">
        <v>353</v>
      </c>
      <c r="H6" s="952" t="s">
        <v>320</v>
      </c>
      <c r="I6" s="952" t="s">
        <v>309</v>
      </c>
      <c r="J6" s="952" t="s">
        <v>372</v>
      </c>
      <c r="K6" s="953" t="s">
        <v>373</v>
      </c>
      <c r="L6" s="953" t="s">
        <v>212</v>
      </c>
      <c r="M6" s="952" t="s">
        <v>213</v>
      </c>
      <c r="N6" s="952" t="s">
        <v>448</v>
      </c>
      <c r="O6" s="953" t="s">
        <v>321</v>
      </c>
      <c r="P6" s="953" t="s">
        <v>193</v>
      </c>
      <c r="Q6" s="952" t="s">
        <v>564</v>
      </c>
      <c r="R6" s="952" t="s">
        <v>195</v>
      </c>
      <c r="S6" s="953" t="s">
        <v>196</v>
      </c>
      <c r="T6" s="953" t="s">
        <v>396</v>
      </c>
      <c r="U6" s="889" t="s">
        <v>565</v>
      </c>
      <c r="V6" s="954" t="s">
        <v>199</v>
      </c>
    </row>
    <row r="7" spans="1:22" s="955" customFormat="1">
      <c r="A7" s="910">
        <v>1</v>
      </c>
      <c r="B7" s="911" t="s">
        <v>137</v>
      </c>
      <c r="C7" s="970">
        <f>SUM(C8:C38)</f>
        <v>0</v>
      </c>
      <c r="D7" s="970">
        <f>SUM(D8:D38)</f>
        <v>0</v>
      </c>
      <c r="E7" s="971"/>
      <c r="F7" s="970">
        <f>SUM(F8:F38)</f>
        <v>0</v>
      </c>
      <c r="G7" s="970">
        <f>SUM(G8:G38)</f>
        <v>0</v>
      </c>
      <c r="H7" s="970">
        <f>SUM(H8:H38)</f>
        <v>0</v>
      </c>
      <c r="I7" s="970">
        <f>SUM(I8:I38)</f>
        <v>0</v>
      </c>
      <c r="J7" s="971"/>
      <c r="K7" s="970">
        <f t="shared" ref="K7:T7" si="0">SUM(K8:K38)</f>
        <v>0</v>
      </c>
      <c r="L7" s="970">
        <f t="shared" si="0"/>
        <v>0</v>
      </c>
      <c r="M7" s="970">
        <f t="shared" si="0"/>
        <v>0</v>
      </c>
      <c r="N7" s="970">
        <f t="shared" si="0"/>
        <v>0</v>
      </c>
      <c r="O7" s="970">
        <f t="shared" si="0"/>
        <v>0</v>
      </c>
      <c r="P7" s="970">
        <f t="shared" si="0"/>
        <v>0</v>
      </c>
      <c r="Q7" s="970">
        <f t="shared" si="0"/>
        <v>0</v>
      </c>
      <c r="R7" s="970">
        <f t="shared" si="0"/>
        <v>0</v>
      </c>
      <c r="S7" s="970">
        <f t="shared" si="0"/>
        <v>0</v>
      </c>
      <c r="T7" s="970">
        <f t="shared" si="0"/>
        <v>0</v>
      </c>
      <c r="U7" s="970">
        <f>SUM(U8:U38)</f>
        <v>0</v>
      </c>
      <c r="V7" s="972"/>
    </row>
    <row r="8" spans="1:22">
      <c r="A8" s="910">
        <f>A7+1</f>
        <v>2</v>
      </c>
      <c r="B8" s="911" t="s">
        <v>397</v>
      </c>
      <c r="C8" s="973"/>
      <c r="D8" s="973"/>
      <c r="E8" s="971"/>
      <c r="F8" s="973"/>
      <c r="G8" s="973"/>
      <c r="H8" s="973"/>
      <c r="I8" s="973"/>
      <c r="J8" s="971"/>
      <c r="K8" s="973"/>
      <c r="L8" s="973"/>
      <c r="M8" s="973"/>
      <c r="N8" s="973"/>
      <c r="O8" s="973"/>
      <c r="P8" s="973"/>
      <c r="Q8" s="973"/>
      <c r="R8" s="973"/>
      <c r="S8" s="973"/>
      <c r="T8" s="973"/>
      <c r="U8" s="973">
        <f t="shared" ref="U8:U38" si="1">C8-D8-F8+G8+H8-I8-K8+L8</f>
        <v>0</v>
      </c>
      <c r="V8" s="974"/>
    </row>
    <row r="9" spans="1:22">
      <c r="A9" s="910">
        <f t="shared" ref="A9:A48" si="2">A8+1</f>
        <v>3</v>
      </c>
      <c r="B9" s="913" t="s">
        <v>398</v>
      </c>
      <c r="C9" s="973"/>
      <c r="D9" s="973"/>
      <c r="E9" s="971"/>
      <c r="F9" s="973"/>
      <c r="G9" s="973"/>
      <c r="H9" s="973"/>
      <c r="I9" s="973"/>
      <c r="J9" s="971"/>
      <c r="K9" s="973"/>
      <c r="L9" s="973"/>
      <c r="M9" s="973"/>
      <c r="N9" s="973"/>
      <c r="O9" s="973"/>
      <c r="P9" s="973"/>
      <c r="Q9" s="973"/>
      <c r="R9" s="973"/>
      <c r="S9" s="973"/>
      <c r="T9" s="973"/>
      <c r="U9" s="973">
        <f t="shared" si="1"/>
        <v>0</v>
      </c>
      <c r="V9" s="974"/>
    </row>
    <row r="10" spans="1:22">
      <c r="A10" s="910">
        <f t="shared" si="2"/>
        <v>4</v>
      </c>
      <c r="B10" s="913" t="s">
        <v>399</v>
      </c>
      <c r="C10" s="973"/>
      <c r="D10" s="973"/>
      <c r="E10" s="971"/>
      <c r="F10" s="973"/>
      <c r="G10" s="973"/>
      <c r="H10" s="973"/>
      <c r="I10" s="973"/>
      <c r="J10" s="971"/>
      <c r="K10" s="973"/>
      <c r="L10" s="973"/>
      <c r="M10" s="973"/>
      <c r="N10" s="973"/>
      <c r="O10" s="973"/>
      <c r="P10" s="973"/>
      <c r="Q10" s="973"/>
      <c r="R10" s="973"/>
      <c r="S10" s="973"/>
      <c r="T10" s="973"/>
      <c r="U10" s="973">
        <f t="shared" si="1"/>
        <v>0</v>
      </c>
      <c r="V10" s="974"/>
    </row>
    <row r="11" spans="1:22">
      <c r="A11" s="910">
        <f t="shared" si="2"/>
        <v>5</v>
      </c>
      <c r="B11" s="913" t="s">
        <v>400</v>
      </c>
      <c r="C11" s="973"/>
      <c r="D11" s="973"/>
      <c r="E11" s="971"/>
      <c r="F11" s="973"/>
      <c r="G11" s="973"/>
      <c r="H11" s="973"/>
      <c r="I11" s="973"/>
      <c r="J11" s="971"/>
      <c r="K11" s="973"/>
      <c r="L11" s="973"/>
      <c r="M11" s="973"/>
      <c r="N11" s="973"/>
      <c r="O11" s="973"/>
      <c r="P11" s="973"/>
      <c r="Q11" s="973"/>
      <c r="R11" s="973"/>
      <c r="S11" s="973"/>
      <c r="T11" s="973"/>
      <c r="U11" s="973">
        <f t="shared" si="1"/>
        <v>0</v>
      </c>
      <c r="V11" s="974"/>
    </row>
    <row r="12" spans="1:22">
      <c r="A12" s="910">
        <f t="shared" si="2"/>
        <v>6</v>
      </c>
      <c r="B12" s="913" t="s">
        <v>401</v>
      </c>
      <c r="C12" s="973"/>
      <c r="D12" s="973"/>
      <c r="E12" s="975"/>
      <c r="F12" s="973"/>
      <c r="G12" s="973"/>
      <c r="H12" s="973"/>
      <c r="I12" s="973"/>
      <c r="J12" s="975"/>
      <c r="K12" s="973"/>
      <c r="L12" s="973"/>
      <c r="M12" s="973"/>
      <c r="N12" s="973"/>
      <c r="O12" s="973"/>
      <c r="P12" s="973"/>
      <c r="Q12" s="973"/>
      <c r="R12" s="973"/>
      <c r="S12" s="973"/>
      <c r="T12" s="973"/>
      <c r="U12" s="973">
        <f t="shared" si="1"/>
        <v>0</v>
      </c>
      <c r="V12" s="974"/>
    </row>
    <row r="13" spans="1:22">
      <c r="A13" s="910">
        <f t="shared" si="2"/>
        <v>7</v>
      </c>
      <c r="B13" s="913" t="s">
        <v>402</v>
      </c>
      <c r="C13" s="973"/>
      <c r="D13" s="973"/>
      <c r="E13" s="975"/>
      <c r="F13" s="973"/>
      <c r="G13" s="973"/>
      <c r="H13" s="973"/>
      <c r="I13" s="973"/>
      <c r="J13" s="975"/>
      <c r="K13" s="973"/>
      <c r="L13" s="973"/>
      <c r="M13" s="973"/>
      <c r="N13" s="973"/>
      <c r="O13" s="973"/>
      <c r="P13" s="973"/>
      <c r="Q13" s="973"/>
      <c r="R13" s="973"/>
      <c r="S13" s="973"/>
      <c r="T13" s="973"/>
      <c r="U13" s="973">
        <f t="shared" si="1"/>
        <v>0</v>
      </c>
      <c r="V13" s="974"/>
    </row>
    <row r="14" spans="1:22">
      <c r="A14" s="910">
        <f t="shared" si="2"/>
        <v>8</v>
      </c>
      <c r="B14" s="913" t="s">
        <v>403</v>
      </c>
      <c r="C14" s="973"/>
      <c r="D14" s="973"/>
      <c r="E14" s="971"/>
      <c r="F14" s="973"/>
      <c r="G14" s="973"/>
      <c r="H14" s="973"/>
      <c r="I14" s="973"/>
      <c r="J14" s="971"/>
      <c r="K14" s="973"/>
      <c r="L14" s="973"/>
      <c r="M14" s="973"/>
      <c r="N14" s="973"/>
      <c r="O14" s="973"/>
      <c r="P14" s="973"/>
      <c r="Q14" s="973"/>
      <c r="R14" s="973"/>
      <c r="S14" s="973"/>
      <c r="T14" s="973"/>
      <c r="U14" s="973">
        <f t="shared" si="1"/>
        <v>0</v>
      </c>
      <c r="V14" s="974"/>
    </row>
    <row r="15" spans="1:22">
      <c r="A15" s="910">
        <f t="shared" si="2"/>
        <v>9</v>
      </c>
      <c r="B15" s="913" t="s">
        <v>404</v>
      </c>
      <c r="C15" s="973"/>
      <c r="D15" s="973"/>
      <c r="E15" s="971"/>
      <c r="F15" s="973"/>
      <c r="G15" s="973"/>
      <c r="H15" s="973"/>
      <c r="I15" s="973"/>
      <c r="J15" s="971"/>
      <c r="K15" s="973"/>
      <c r="L15" s="973"/>
      <c r="M15" s="973"/>
      <c r="N15" s="973"/>
      <c r="O15" s="973"/>
      <c r="P15" s="973"/>
      <c r="Q15" s="973"/>
      <c r="R15" s="973"/>
      <c r="S15" s="973"/>
      <c r="T15" s="973"/>
      <c r="U15" s="973">
        <f t="shared" si="1"/>
        <v>0</v>
      </c>
      <c r="V15" s="974"/>
    </row>
    <row r="16" spans="1:22">
      <c r="A16" s="910">
        <f t="shared" si="2"/>
        <v>10</v>
      </c>
      <c r="B16" s="913" t="s">
        <v>405</v>
      </c>
      <c r="C16" s="973"/>
      <c r="D16" s="973"/>
      <c r="E16" s="971"/>
      <c r="F16" s="973"/>
      <c r="G16" s="973"/>
      <c r="H16" s="973"/>
      <c r="I16" s="973"/>
      <c r="J16" s="971"/>
      <c r="K16" s="973"/>
      <c r="L16" s="973"/>
      <c r="M16" s="973"/>
      <c r="N16" s="973"/>
      <c r="O16" s="973"/>
      <c r="P16" s="973"/>
      <c r="Q16" s="973"/>
      <c r="R16" s="973"/>
      <c r="S16" s="973"/>
      <c r="T16" s="973"/>
      <c r="U16" s="973">
        <f t="shared" si="1"/>
        <v>0</v>
      </c>
      <c r="V16" s="974"/>
    </row>
    <row r="17" spans="1:22">
      <c r="A17" s="910">
        <f t="shared" si="2"/>
        <v>11</v>
      </c>
      <c r="B17" s="913" t="s">
        <v>406</v>
      </c>
      <c r="C17" s="973"/>
      <c r="D17" s="973"/>
      <c r="E17" s="971"/>
      <c r="F17" s="973"/>
      <c r="G17" s="973"/>
      <c r="H17" s="973"/>
      <c r="I17" s="973"/>
      <c r="J17" s="971"/>
      <c r="K17" s="973"/>
      <c r="L17" s="973"/>
      <c r="M17" s="973"/>
      <c r="N17" s="973"/>
      <c r="O17" s="973"/>
      <c r="P17" s="973"/>
      <c r="Q17" s="973"/>
      <c r="R17" s="973"/>
      <c r="S17" s="973"/>
      <c r="T17" s="973"/>
      <c r="U17" s="973">
        <f t="shared" si="1"/>
        <v>0</v>
      </c>
      <c r="V17" s="974"/>
    </row>
    <row r="18" spans="1:22">
      <c r="A18" s="910">
        <f t="shared" si="2"/>
        <v>12</v>
      </c>
      <c r="B18" s="913" t="s">
        <v>407</v>
      </c>
      <c r="C18" s="973"/>
      <c r="D18" s="973"/>
      <c r="E18" s="971"/>
      <c r="F18" s="973"/>
      <c r="G18" s="973"/>
      <c r="H18" s="973"/>
      <c r="I18" s="973"/>
      <c r="J18" s="971"/>
      <c r="K18" s="973"/>
      <c r="L18" s="973"/>
      <c r="M18" s="973"/>
      <c r="N18" s="973"/>
      <c r="O18" s="973"/>
      <c r="P18" s="973"/>
      <c r="Q18" s="973"/>
      <c r="R18" s="973"/>
      <c r="S18" s="973"/>
      <c r="T18" s="973"/>
      <c r="U18" s="973">
        <f t="shared" si="1"/>
        <v>0</v>
      </c>
      <c r="V18" s="974"/>
    </row>
    <row r="19" spans="1:22">
      <c r="A19" s="910">
        <f t="shared" si="2"/>
        <v>13</v>
      </c>
      <c r="B19" s="913" t="s">
        <v>408</v>
      </c>
      <c r="C19" s="973"/>
      <c r="D19" s="973"/>
      <c r="E19" s="971"/>
      <c r="F19" s="973"/>
      <c r="G19" s="973"/>
      <c r="H19" s="973"/>
      <c r="I19" s="973"/>
      <c r="J19" s="971"/>
      <c r="K19" s="973"/>
      <c r="L19" s="973"/>
      <c r="M19" s="973"/>
      <c r="N19" s="973"/>
      <c r="O19" s="973"/>
      <c r="P19" s="973"/>
      <c r="Q19" s="973"/>
      <c r="R19" s="973"/>
      <c r="S19" s="973"/>
      <c r="T19" s="973"/>
      <c r="U19" s="973">
        <f t="shared" si="1"/>
        <v>0</v>
      </c>
      <c r="V19" s="974"/>
    </row>
    <row r="20" spans="1:22">
      <c r="A20" s="910">
        <f t="shared" si="2"/>
        <v>14</v>
      </c>
      <c r="B20" s="913" t="s">
        <v>409</v>
      </c>
      <c r="C20" s="973"/>
      <c r="D20" s="973"/>
      <c r="E20" s="971"/>
      <c r="F20" s="973"/>
      <c r="G20" s="973"/>
      <c r="H20" s="973"/>
      <c r="I20" s="973"/>
      <c r="J20" s="971"/>
      <c r="K20" s="973"/>
      <c r="L20" s="973"/>
      <c r="M20" s="973"/>
      <c r="N20" s="973"/>
      <c r="O20" s="973"/>
      <c r="P20" s="973"/>
      <c r="Q20" s="973"/>
      <c r="R20" s="973"/>
      <c r="S20" s="973"/>
      <c r="T20" s="973"/>
      <c r="U20" s="973">
        <f t="shared" si="1"/>
        <v>0</v>
      </c>
      <c r="V20" s="974"/>
    </row>
    <row r="21" spans="1:22">
      <c r="A21" s="910">
        <f t="shared" si="2"/>
        <v>15</v>
      </c>
      <c r="B21" s="913" t="s">
        <v>410</v>
      </c>
      <c r="C21" s="973"/>
      <c r="D21" s="973"/>
      <c r="E21" s="971"/>
      <c r="F21" s="973"/>
      <c r="G21" s="973"/>
      <c r="H21" s="973"/>
      <c r="I21" s="973"/>
      <c r="J21" s="971"/>
      <c r="K21" s="973"/>
      <c r="L21" s="973"/>
      <c r="M21" s="973"/>
      <c r="N21" s="973"/>
      <c r="O21" s="973"/>
      <c r="P21" s="973"/>
      <c r="Q21" s="973"/>
      <c r="R21" s="973"/>
      <c r="S21" s="973"/>
      <c r="T21" s="973"/>
      <c r="U21" s="973">
        <f t="shared" si="1"/>
        <v>0</v>
      </c>
      <c r="V21" s="974"/>
    </row>
    <row r="22" spans="1:22">
      <c r="A22" s="910">
        <f t="shared" si="2"/>
        <v>16</v>
      </c>
      <c r="B22" s="913" t="s">
        <v>411</v>
      </c>
      <c r="C22" s="973"/>
      <c r="D22" s="973"/>
      <c r="E22" s="971"/>
      <c r="F22" s="973"/>
      <c r="G22" s="973"/>
      <c r="H22" s="973"/>
      <c r="I22" s="973"/>
      <c r="J22" s="971"/>
      <c r="K22" s="973"/>
      <c r="L22" s="973"/>
      <c r="M22" s="973"/>
      <c r="N22" s="973"/>
      <c r="O22" s="973"/>
      <c r="P22" s="973"/>
      <c r="Q22" s="973"/>
      <c r="R22" s="973"/>
      <c r="S22" s="973"/>
      <c r="T22" s="973"/>
      <c r="U22" s="973">
        <f t="shared" si="1"/>
        <v>0</v>
      </c>
      <c r="V22" s="974"/>
    </row>
    <row r="23" spans="1:22">
      <c r="A23" s="910">
        <f t="shared" si="2"/>
        <v>17</v>
      </c>
      <c r="B23" s="913" t="s">
        <v>412</v>
      </c>
      <c r="C23" s="973"/>
      <c r="D23" s="973"/>
      <c r="E23" s="971"/>
      <c r="F23" s="973"/>
      <c r="G23" s="973"/>
      <c r="H23" s="973"/>
      <c r="I23" s="973"/>
      <c r="J23" s="971"/>
      <c r="K23" s="973"/>
      <c r="L23" s="973"/>
      <c r="M23" s="973"/>
      <c r="N23" s="973"/>
      <c r="O23" s="973"/>
      <c r="P23" s="973"/>
      <c r="Q23" s="973"/>
      <c r="R23" s="973"/>
      <c r="S23" s="973"/>
      <c r="T23" s="973"/>
      <c r="U23" s="973">
        <f t="shared" si="1"/>
        <v>0</v>
      </c>
      <c r="V23" s="974"/>
    </row>
    <row r="24" spans="1:22">
      <c r="A24" s="910">
        <f t="shared" si="2"/>
        <v>18</v>
      </c>
      <c r="B24" s="913" t="s">
        <v>413</v>
      </c>
      <c r="C24" s="973"/>
      <c r="D24" s="973"/>
      <c r="E24" s="971"/>
      <c r="F24" s="973"/>
      <c r="G24" s="973"/>
      <c r="H24" s="973"/>
      <c r="I24" s="973"/>
      <c r="J24" s="971"/>
      <c r="K24" s="973"/>
      <c r="L24" s="973"/>
      <c r="M24" s="973"/>
      <c r="N24" s="973"/>
      <c r="O24" s="973"/>
      <c r="P24" s="973"/>
      <c r="Q24" s="973"/>
      <c r="R24" s="973"/>
      <c r="S24" s="973"/>
      <c r="T24" s="973"/>
      <c r="U24" s="973">
        <f t="shared" si="1"/>
        <v>0</v>
      </c>
      <c r="V24" s="974"/>
    </row>
    <row r="25" spans="1:22">
      <c r="A25" s="910">
        <f t="shared" si="2"/>
        <v>19</v>
      </c>
      <c r="B25" s="913" t="s">
        <v>414</v>
      </c>
      <c r="C25" s="973"/>
      <c r="D25" s="973"/>
      <c r="E25" s="971"/>
      <c r="F25" s="973"/>
      <c r="G25" s="973"/>
      <c r="H25" s="973"/>
      <c r="I25" s="973"/>
      <c r="J25" s="971"/>
      <c r="K25" s="973"/>
      <c r="L25" s="973"/>
      <c r="M25" s="973"/>
      <c r="N25" s="973"/>
      <c r="O25" s="973"/>
      <c r="P25" s="973"/>
      <c r="Q25" s="973"/>
      <c r="R25" s="973"/>
      <c r="S25" s="973"/>
      <c r="T25" s="973"/>
      <c r="U25" s="973">
        <f t="shared" si="1"/>
        <v>0</v>
      </c>
      <c r="V25" s="974"/>
    </row>
    <row r="26" spans="1:22">
      <c r="A26" s="910">
        <f t="shared" si="2"/>
        <v>20</v>
      </c>
      <c r="B26" s="913" t="s">
        <v>415</v>
      </c>
      <c r="C26" s="973"/>
      <c r="D26" s="973"/>
      <c r="E26" s="971"/>
      <c r="F26" s="973"/>
      <c r="G26" s="973"/>
      <c r="H26" s="973"/>
      <c r="I26" s="973"/>
      <c r="J26" s="971"/>
      <c r="K26" s="973"/>
      <c r="L26" s="973"/>
      <c r="M26" s="973"/>
      <c r="N26" s="973"/>
      <c r="O26" s="973"/>
      <c r="P26" s="973"/>
      <c r="Q26" s="973"/>
      <c r="R26" s="973"/>
      <c r="S26" s="973"/>
      <c r="T26" s="973"/>
      <c r="U26" s="973">
        <f t="shared" si="1"/>
        <v>0</v>
      </c>
      <c r="V26" s="974"/>
    </row>
    <row r="27" spans="1:22">
      <c r="A27" s="910">
        <f t="shared" si="2"/>
        <v>21</v>
      </c>
      <c r="B27" s="913" t="s">
        <v>416</v>
      </c>
      <c r="C27" s="973"/>
      <c r="D27" s="973"/>
      <c r="E27" s="971"/>
      <c r="F27" s="973"/>
      <c r="G27" s="973"/>
      <c r="H27" s="973"/>
      <c r="I27" s="973"/>
      <c r="J27" s="971"/>
      <c r="K27" s="973"/>
      <c r="L27" s="973"/>
      <c r="M27" s="973"/>
      <c r="N27" s="973"/>
      <c r="O27" s="973"/>
      <c r="P27" s="973"/>
      <c r="Q27" s="973"/>
      <c r="R27" s="973"/>
      <c r="S27" s="973"/>
      <c r="T27" s="973"/>
      <c r="U27" s="973">
        <f t="shared" si="1"/>
        <v>0</v>
      </c>
      <c r="V27" s="974"/>
    </row>
    <row r="28" spans="1:22" ht="16.5" customHeight="1">
      <c r="A28" s="910">
        <f t="shared" si="2"/>
        <v>22</v>
      </c>
      <c r="B28" s="913" t="s">
        <v>417</v>
      </c>
      <c r="C28" s="973"/>
      <c r="D28" s="973"/>
      <c r="E28" s="971"/>
      <c r="F28" s="973"/>
      <c r="G28" s="973"/>
      <c r="H28" s="973"/>
      <c r="I28" s="973"/>
      <c r="J28" s="971"/>
      <c r="K28" s="973"/>
      <c r="L28" s="973"/>
      <c r="M28" s="973"/>
      <c r="N28" s="973"/>
      <c r="O28" s="973"/>
      <c r="P28" s="973"/>
      <c r="Q28" s="973"/>
      <c r="R28" s="973"/>
      <c r="S28" s="973"/>
      <c r="T28" s="973"/>
      <c r="U28" s="973">
        <f t="shared" si="1"/>
        <v>0</v>
      </c>
      <c r="V28" s="974"/>
    </row>
    <row r="29" spans="1:22">
      <c r="A29" s="910">
        <f t="shared" si="2"/>
        <v>23</v>
      </c>
      <c r="B29" s="913" t="s">
        <v>418</v>
      </c>
      <c r="C29" s="973"/>
      <c r="D29" s="973"/>
      <c r="E29" s="971"/>
      <c r="F29" s="973"/>
      <c r="G29" s="973"/>
      <c r="H29" s="973"/>
      <c r="I29" s="973"/>
      <c r="J29" s="971"/>
      <c r="K29" s="973"/>
      <c r="L29" s="973"/>
      <c r="M29" s="973"/>
      <c r="N29" s="973"/>
      <c r="O29" s="973"/>
      <c r="P29" s="973"/>
      <c r="Q29" s="973"/>
      <c r="R29" s="973"/>
      <c r="S29" s="973"/>
      <c r="T29" s="973"/>
      <c r="U29" s="973">
        <f t="shared" si="1"/>
        <v>0</v>
      </c>
      <c r="V29" s="974"/>
    </row>
    <row r="30" spans="1:22">
      <c r="A30" s="910">
        <f t="shared" si="2"/>
        <v>24</v>
      </c>
      <c r="B30" s="913" t="s">
        <v>419</v>
      </c>
      <c r="C30" s="973"/>
      <c r="D30" s="973"/>
      <c r="E30" s="971"/>
      <c r="F30" s="973"/>
      <c r="G30" s="973"/>
      <c r="H30" s="973"/>
      <c r="I30" s="973"/>
      <c r="J30" s="971"/>
      <c r="K30" s="973"/>
      <c r="L30" s="973"/>
      <c r="M30" s="973"/>
      <c r="N30" s="973"/>
      <c r="O30" s="973"/>
      <c r="P30" s="973"/>
      <c r="Q30" s="973"/>
      <c r="R30" s="973"/>
      <c r="S30" s="973"/>
      <c r="T30" s="973"/>
      <c r="U30" s="973">
        <f t="shared" si="1"/>
        <v>0</v>
      </c>
      <c r="V30" s="974"/>
    </row>
    <row r="31" spans="1:22">
      <c r="A31" s="910">
        <f t="shared" si="2"/>
        <v>25</v>
      </c>
      <c r="B31" s="913" t="s">
        <v>420</v>
      </c>
      <c r="C31" s="973"/>
      <c r="D31" s="973"/>
      <c r="E31" s="971"/>
      <c r="F31" s="973"/>
      <c r="G31" s="973"/>
      <c r="H31" s="973"/>
      <c r="I31" s="973"/>
      <c r="J31" s="971"/>
      <c r="K31" s="973"/>
      <c r="L31" s="973"/>
      <c r="M31" s="973"/>
      <c r="N31" s="973"/>
      <c r="O31" s="973"/>
      <c r="P31" s="973"/>
      <c r="Q31" s="973"/>
      <c r="R31" s="973"/>
      <c r="S31" s="973"/>
      <c r="T31" s="973"/>
      <c r="U31" s="973">
        <f t="shared" si="1"/>
        <v>0</v>
      </c>
      <c r="V31" s="974"/>
    </row>
    <row r="32" spans="1:22">
      <c r="A32" s="910">
        <f t="shared" si="2"/>
        <v>26</v>
      </c>
      <c r="B32" s="915" t="s">
        <v>421</v>
      </c>
      <c r="C32" s="973"/>
      <c r="D32" s="973"/>
      <c r="E32" s="971"/>
      <c r="F32" s="973"/>
      <c r="G32" s="973"/>
      <c r="H32" s="973"/>
      <c r="I32" s="973"/>
      <c r="J32" s="971"/>
      <c r="K32" s="973"/>
      <c r="L32" s="973"/>
      <c r="M32" s="973"/>
      <c r="N32" s="973"/>
      <c r="O32" s="973"/>
      <c r="P32" s="973"/>
      <c r="Q32" s="973"/>
      <c r="R32" s="973"/>
      <c r="S32" s="973"/>
      <c r="T32" s="973"/>
      <c r="U32" s="973">
        <f t="shared" si="1"/>
        <v>0</v>
      </c>
      <c r="V32" s="974"/>
    </row>
    <row r="33" spans="1:22">
      <c r="A33" s="910">
        <f t="shared" si="2"/>
        <v>27</v>
      </c>
      <c r="B33" s="913" t="s">
        <v>422</v>
      </c>
      <c r="C33" s="973"/>
      <c r="D33" s="973"/>
      <c r="E33" s="971"/>
      <c r="F33" s="973"/>
      <c r="G33" s="973"/>
      <c r="H33" s="973"/>
      <c r="I33" s="973"/>
      <c r="J33" s="971"/>
      <c r="K33" s="973"/>
      <c r="L33" s="973"/>
      <c r="M33" s="973"/>
      <c r="N33" s="973"/>
      <c r="O33" s="973"/>
      <c r="P33" s="973"/>
      <c r="Q33" s="973"/>
      <c r="R33" s="973"/>
      <c r="S33" s="973"/>
      <c r="T33" s="973"/>
      <c r="U33" s="973">
        <f t="shared" si="1"/>
        <v>0</v>
      </c>
      <c r="V33" s="974"/>
    </row>
    <row r="34" spans="1:22">
      <c r="A34" s="910">
        <f t="shared" si="2"/>
        <v>28</v>
      </c>
      <c r="B34" s="913" t="s">
        <v>423</v>
      </c>
      <c r="C34" s="973"/>
      <c r="D34" s="973"/>
      <c r="E34" s="971"/>
      <c r="F34" s="973"/>
      <c r="G34" s="973"/>
      <c r="H34" s="973"/>
      <c r="I34" s="973"/>
      <c r="J34" s="971"/>
      <c r="K34" s="973"/>
      <c r="L34" s="973"/>
      <c r="M34" s="973"/>
      <c r="N34" s="973"/>
      <c r="O34" s="973"/>
      <c r="P34" s="973"/>
      <c r="Q34" s="973"/>
      <c r="R34" s="973"/>
      <c r="S34" s="973"/>
      <c r="T34" s="973"/>
      <c r="U34" s="973">
        <f t="shared" si="1"/>
        <v>0</v>
      </c>
      <c r="V34" s="974"/>
    </row>
    <row r="35" spans="1:22">
      <c r="A35" s="910">
        <f t="shared" si="2"/>
        <v>29</v>
      </c>
      <c r="B35" s="913" t="s">
        <v>424</v>
      </c>
      <c r="C35" s="973"/>
      <c r="D35" s="973"/>
      <c r="E35" s="971"/>
      <c r="F35" s="973"/>
      <c r="G35" s="973"/>
      <c r="H35" s="973"/>
      <c r="I35" s="973"/>
      <c r="J35" s="971"/>
      <c r="K35" s="973"/>
      <c r="L35" s="973"/>
      <c r="M35" s="973"/>
      <c r="N35" s="973"/>
      <c r="O35" s="973"/>
      <c r="P35" s="973"/>
      <c r="Q35" s="973"/>
      <c r="R35" s="973"/>
      <c r="S35" s="973"/>
      <c r="T35" s="973"/>
      <c r="U35" s="973">
        <f t="shared" si="1"/>
        <v>0</v>
      </c>
      <c r="V35" s="974"/>
    </row>
    <row r="36" spans="1:22">
      <c r="A36" s="910">
        <f t="shared" si="2"/>
        <v>30</v>
      </c>
      <c r="B36" s="913" t="s">
        <v>345</v>
      </c>
      <c r="C36" s="973"/>
      <c r="D36" s="973"/>
      <c r="E36" s="971"/>
      <c r="F36" s="973"/>
      <c r="G36" s="973"/>
      <c r="H36" s="973"/>
      <c r="I36" s="973"/>
      <c r="J36" s="971"/>
      <c r="K36" s="973"/>
      <c r="L36" s="973"/>
      <c r="M36" s="973"/>
      <c r="N36" s="973"/>
      <c r="O36" s="973"/>
      <c r="P36" s="973"/>
      <c r="Q36" s="973"/>
      <c r="R36" s="973"/>
      <c r="S36" s="973"/>
      <c r="T36" s="973"/>
      <c r="U36" s="973">
        <f t="shared" si="1"/>
        <v>0</v>
      </c>
      <c r="V36" s="974"/>
    </row>
    <row r="37" spans="1:22">
      <c r="A37" s="910">
        <f t="shared" si="2"/>
        <v>31</v>
      </c>
      <c r="B37" s="2176" t="s">
        <v>4985</v>
      </c>
      <c r="C37" s="973"/>
      <c r="D37" s="973"/>
      <c r="E37" s="971"/>
      <c r="F37" s="973"/>
      <c r="G37" s="973"/>
      <c r="H37" s="973"/>
      <c r="I37" s="973"/>
      <c r="J37" s="971"/>
      <c r="K37" s="973"/>
      <c r="L37" s="973"/>
      <c r="M37" s="973"/>
      <c r="N37" s="973"/>
      <c r="O37" s="973"/>
      <c r="P37" s="973"/>
      <c r="Q37" s="973"/>
      <c r="R37" s="973"/>
      <c r="S37" s="973"/>
      <c r="T37" s="973"/>
      <c r="U37" s="973">
        <f t="shared" si="1"/>
        <v>0</v>
      </c>
      <c r="V37" s="974"/>
    </row>
    <row r="38" spans="1:22">
      <c r="A38" s="910">
        <f t="shared" si="2"/>
        <v>32</v>
      </c>
      <c r="B38" s="913" t="s">
        <v>4986</v>
      </c>
      <c r="C38" s="973"/>
      <c r="D38" s="973"/>
      <c r="E38" s="971"/>
      <c r="F38" s="973"/>
      <c r="G38" s="973"/>
      <c r="H38" s="973"/>
      <c r="I38" s="973"/>
      <c r="J38" s="971"/>
      <c r="K38" s="973"/>
      <c r="L38" s="973"/>
      <c r="M38" s="973"/>
      <c r="N38" s="973"/>
      <c r="O38" s="973"/>
      <c r="P38" s="973"/>
      <c r="Q38" s="973"/>
      <c r="R38" s="973"/>
      <c r="S38" s="973"/>
      <c r="T38" s="973"/>
      <c r="U38" s="973">
        <f t="shared" si="1"/>
        <v>0</v>
      </c>
      <c r="V38" s="974"/>
    </row>
    <row r="39" spans="1:22">
      <c r="A39" s="910">
        <f t="shared" si="2"/>
        <v>33</v>
      </c>
      <c r="B39" s="916" t="s">
        <v>143</v>
      </c>
      <c r="C39" s="973">
        <f>SUM(C40:C47)</f>
        <v>0</v>
      </c>
      <c r="D39" s="973">
        <f>SUM(D40:D47)</f>
        <v>0</v>
      </c>
      <c r="E39" s="973"/>
      <c r="F39" s="973">
        <f>SUM(F40:F47)</f>
        <v>0</v>
      </c>
      <c r="G39" s="973">
        <f>SUM(G40:G47)</f>
        <v>0</v>
      </c>
      <c r="H39" s="973">
        <f>SUM(H40:H47)</f>
        <v>0</v>
      </c>
      <c r="I39" s="973">
        <f>SUM(I40:I47)</f>
        <v>0</v>
      </c>
      <c r="J39" s="971"/>
      <c r="K39" s="973">
        <f t="shared" ref="K39:U39" si="3">SUM(K40:K47)</f>
        <v>0</v>
      </c>
      <c r="L39" s="973">
        <f t="shared" si="3"/>
        <v>0</v>
      </c>
      <c r="M39" s="973">
        <f t="shared" si="3"/>
        <v>0</v>
      </c>
      <c r="N39" s="973">
        <f t="shared" si="3"/>
        <v>0</v>
      </c>
      <c r="O39" s="973">
        <f t="shared" si="3"/>
        <v>0</v>
      </c>
      <c r="P39" s="973">
        <f t="shared" si="3"/>
        <v>0</v>
      </c>
      <c r="Q39" s="973">
        <f t="shared" si="3"/>
        <v>0</v>
      </c>
      <c r="R39" s="973">
        <f t="shared" si="3"/>
        <v>0</v>
      </c>
      <c r="S39" s="973">
        <f t="shared" si="3"/>
        <v>0</v>
      </c>
      <c r="T39" s="973">
        <f t="shared" si="3"/>
        <v>0</v>
      </c>
      <c r="U39" s="973">
        <f t="shared" si="3"/>
        <v>0</v>
      </c>
      <c r="V39" s="974"/>
    </row>
    <row r="40" spans="1:22">
      <c r="A40" s="910">
        <f t="shared" si="2"/>
        <v>34</v>
      </c>
      <c r="B40" s="913" t="s">
        <v>425</v>
      </c>
      <c r="C40" s="973"/>
      <c r="D40" s="973"/>
      <c r="E40" s="971"/>
      <c r="F40" s="973"/>
      <c r="G40" s="973"/>
      <c r="H40" s="973"/>
      <c r="I40" s="973"/>
      <c r="J40" s="971"/>
      <c r="K40" s="973"/>
      <c r="L40" s="973"/>
      <c r="M40" s="973"/>
      <c r="N40" s="973"/>
      <c r="O40" s="973"/>
      <c r="P40" s="973"/>
      <c r="Q40" s="973"/>
      <c r="R40" s="973"/>
      <c r="S40" s="973"/>
      <c r="T40" s="973"/>
      <c r="U40" s="973">
        <f t="shared" ref="U40:U47" si="4">C40-D40-F40+G40+H40-I40-K40+L40</f>
        <v>0</v>
      </c>
      <c r="V40" s="974"/>
    </row>
    <row r="41" spans="1:22">
      <c r="A41" s="910">
        <f t="shared" si="2"/>
        <v>35</v>
      </c>
      <c r="B41" s="913" t="s">
        <v>426</v>
      </c>
      <c r="C41" s="973"/>
      <c r="D41" s="973"/>
      <c r="E41" s="975"/>
      <c r="F41" s="973"/>
      <c r="G41" s="973"/>
      <c r="H41" s="973"/>
      <c r="I41" s="973"/>
      <c r="J41" s="975"/>
      <c r="K41" s="973"/>
      <c r="L41" s="973"/>
      <c r="M41" s="973"/>
      <c r="N41" s="973"/>
      <c r="O41" s="973"/>
      <c r="P41" s="973"/>
      <c r="Q41" s="973"/>
      <c r="R41" s="973"/>
      <c r="S41" s="973"/>
      <c r="T41" s="973"/>
      <c r="U41" s="973">
        <f t="shared" si="4"/>
        <v>0</v>
      </c>
      <c r="V41" s="974"/>
    </row>
    <row r="42" spans="1:22">
      <c r="A42" s="910">
        <f t="shared" si="2"/>
        <v>36</v>
      </c>
      <c r="B42" s="913" t="s">
        <v>427</v>
      </c>
      <c r="C42" s="973"/>
      <c r="D42" s="973"/>
      <c r="E42" s="971"/>
      <c r="F42" s="973"/>
      <c r="G42" s="973"/>
      <c r="H42" s="973"/>
      <c r="I42" s="973"/>
      <c r="J42" s="971"/>
      <c r="K42" s="973"/>
      <c r="L42" s="973"/>
      <c r="M42" s="973"/>
      <c r="N42" s="973"/>
      <c r="O42" s="973"/>
      <c r="P42" s="973"/>
      <c r="Q42" s="973"/>
      <c r="R42" s="973"/>
      <c r="S42" s="973"/>
      <c r="T42" s="973"/>
      <c r="U42" s="973">
        <f t="shared" si="4"/>
        <v>0</v>
      </c>
      <c r="V42" s="974"/>
    </row>
    <row r="43" spans="1:22">
      <c r="A43" s="910">
        <f t="shared" si="2"/>
        <v>37</v>
      </c>
      <c r="B43" s="913" t="s">
        <v>428</v>
      </c>
      <c r="C43" s="973"/>
      <c r="D43" s="973"/>
      <c r="E43" s="971"/>
      <c r="F43" s="973"/>
      <c r="G43" s="973"/>
      <c r="H43" s="973"/>
      <c r="I43" s="973"/>
      <c r="J43" s="971"/>
      <c r="K43" s="973"/>
      <c r="L43" s="973"/>
      <c r="M43" s="973"/>
      <c r="N43" s="973"/>
      <c r="O43" s="973"/>
      <c r="P43" s="973"/>
      <c r="Q43" s="973"/>
      <c r="R43" s="973"/>
      <c r="S43" s="973"/>
      <c r="T43" s="973"/>
      <c r="U43" s="973">
        <f t="shared" si="4"/>
        <v>0</v>
      </c>
      <c r="V43" s="974"/>
    </row>
    <row r="44" spans="1:22">
      <c r="A44" s="910">
        <f t="shared" si="2"/>
        <v>38</v>
      </c>
      <c r="B44" s="913" t="s">
        <v>429</v>
      </c>
      <c r="C44" s="973"/>
      <c r="D44" s="973"/>
      <c r="E44" s="971"/>
      <c r="F44" s="973"/>
      <c r="G44" s="973"/>
      <c r="H44" s="973"/>
      <c r="I44" s="973"/>
      <c r="J44" s="971"/>
      <c r="K44" s="973"/>
      <c r="L44" s="973"/>
      <c r="M44" s="973"/>
      <c r="N44" s="973"/>
      <c r="O44" s="973"/>
      <c r="P44" s="973"/>
      <c r="Q44" s="973"/>
      <c r="R44" s="973"/>
      <c r="S44" s="973"/>
      <c r="T44" s="973"/>
      <c r="U44" s="973">
        <f t="shared" si="4"/>
        <v>0</v>
      </c>
      <c r="V44" s="974"/>
    </row>
    <row r="45" spans="1:22">
      <c r="A45" s="910">
        <f t="shared" si="2"/>
        <v>39</v>
      </c>
      <c r="B45" s="913" t="s">
        <v>252</v>
      </c>
      <c r="C45" s="973"/>
      <c r="D45" s="973"/>
      <c r="E45" s="971"/>
      <c r="F45" s="973"/>
      <c r="G45" s="973"/>
      <c r="H45" s="973"/>
      <c r="I45" s="973"/>
      <c r="J45" s="971"/>
      <c r="K45" s="973"/>
      <c r="L45" s="973"/>
      <c r="M45" s="973"/>
      <c r="N45" s="973"/>
      <c r="O45" s="973"/>
      <c r="P45" s="973"/>
      <c r="Q45" s="973"/>
      <c r="R45" s="973"/>
      <c r="S45" s="973"/>
      <c r="T45" s="973"/>
      <c r="U45" s="973">
        <f t="shared" si="4"/>
        <v>0</v>
      </c>
      <c r="V45" s="974"/>
    </row>
    <row r="46" spans="1:22">
      <c r="A46" s="910">
        <f t="shared" si="2"/>
        <v>40</v>
      </c>
      <c r="B46" s="913" t="s">
        <v>253</v>
      </c>
      <c r="C46" s="973"/>
      <c r="D46" s="973"/>
      <c r="E46" s="971"/>
      <c r="F46" s="973"/>
      <c r="G46" s="973"/>
      <c r="H46" s="973"/>
      <c r="I46" s="973"/>
      <c r="J46" s="971"/>
      <c r="K46" s="973"/>
      <c r="L46" s="973"/>
      <c r="M46" s="973"/>
      <c r="N46" s="973"/>
      <c r="O46" s="973"/>
      <c r="P46" s="973"/>
      <c r="Q46" s="973"/>
      <c r="R46" s="973"/>
      <c r="S46" s="973"/>
      <c r="T46" s="973"/>
      <c r="U46" s="973">
        <f t="shared" si="4"/>
        <v>0</v>
      </c>
      <c r="V46" s="974"/>
    </row>
    <row r="47" spans="1:22">
      <c r="A47" s="910">
        <f t="shared" si="2"/>
        <v>41</v>
      </c>
      <c r="B47" s="913" t="s">
        <v>254</v>
      </c>
      <c r="C47" s="973"/>
      <c r="D47" s="973"/>
      <c r="E47" s="971"/>
      <c r="F47" s="973"/>
      <c r="G47" s="973"/>
      <c r="H47" s="973"/>
      <c r="I47" s="973"/>
      <c r="J47" s="971"/>
      <c r="K47" s="973"/>
      <c r="L47" s="973"/>
      <c r="M47" s="973"/>
      <c r="N47" s="973"/>
      <c r="O47" s="973"/>
      <c r="P47" s="973"/>
      <c r="Q47" s="973"/>
      <c r="R47" s="973"/>
      <c r="S47" s="973"/>
      <c r="T47" s="973"/>
      <c r="U47" s="973">
        <f t="shared" si="4"/>
        <v>0</v>
      </c>
      <c r="V47" s="974"/>
    </row>
    <row r="48" spans="1:22">
      <c r="A48" s="910">
        <f t="shared" si="2"/>
        <v>42</v>
      </c>
      <c r="B48" s="902" t="s">
        <v>187</v>
      </c>
      <c r="C48" s="973">
        <f>C39+C7</f>
        <v>0</v>
      </c>
      <c r="D48" s="973">
        <f>D39+D7</f>
        <v>0</v>
      </c>
      <c r="E48" s="959"/>
      <c r="F48" s="973">
        <f>F39+F7</f>
        <v>0</v>
      </c>
      <c r="G48" s="973">
        <f>G39+G7</f>
        <v>0</v>
      </c>
      <c r="H48" s="973">
        <f>H39+H7</f>
        <v>0</v>
      </c>
      <c r="I48" s="973">
        <f>I39+I7</f>
        <v>0</v>
      </c>
      <c r="J48" s="959"/>
      <c r="K48" s="973">
        <f t="shared" ref="K48:U48" si="5">K39+K7</f>
        <v>0</v>
      </c>
      <c r="L48" s="973">
        <f t="shared" si="5"/>
        <v>0</v>
      </c>
      <c r="M48" s="973">
        <f t="shared" si="5"/>
        <v>0</v>
      </c>
      <c r="N48" s="973">
        <f t="shared" si="5"/>
        <v>0</v>
      </c>
      <c r="O48" s="973">
        <f t="shared" si="5"/>
        <v>0</v>
      </c>
      <c r="P48" s="973">
        <f t="shared" si="5"/>
        <v>0</v>
      </c>
      <c r="Q48" s="973">
        <f t="shared" si="5"/>
        <v>0</v>
      </c>
      <c r="R48" s="973">
        <f t="shared" si="5"/>
        <v>0</v>
      </c>
      <c r="S48" s="973">
        <f t="shared" si="5"/>
        <v>0</v>
      </c>
      <c r="T48" s="973">
        <f t="shared" si="5"/>
        <v>0</v>
      </c>
      <c r="U48" s="973">
        <f t="shared" si="5"/>
        <v>0</v>
      </c>
      <c r="V48" s="974"/>
    </row>
    <row r="49" spans="1:24" s="49" customFormat="1">
      <c r="A49" s="976" t="s">
        <v>188</v>
      </c>
      <c r="B49" s="977"/>
      <c r="C49" s="965"/>
      <c r="D49" s="965"/>
      <c r="E49" s="965"/>
      <c r="F49" s="965"/>
      <c r="G49" s="965"/>
      <c r="H49" s="965"/>
      <c r="I49" s="965"/>
      <c r="J49" s="965"/>
      <c r="K49" s="965"/>
      <c r="L49" s="965"/>
      <c r="M49" s="965"/>
      <c r="N49" s="965"/>
      <c r="O49" s="965"/>
      <c r="P49" s="965"/>
      <c r="Q49" s="965"/>
      <c r="R49" s="965"/>
      <c r="S49" s="965"/>
      <c r="T49" s="965"/>
      <c r="U49" s="965"/>
    </row>
    <row r="50" spans="1:24" s="49" customFormat="1">
      <c r="A50" s="968">
        <v>1</v>
      </c>
      <c r="B50" s="46" t="s">
        <v>568</v>
      </c>
      <c r="C50" s="46"/>
      <c r="D50" s="46"/>
      <c r="E50" s="46"/>
      <c r="F50" s="46"/>
      <c r="G50" s="46"/>
      <c r="H50" s="46"/>
      <c r="I50" s="46"/>
      <c r="J50" s="46"/>
      <c r="K50" s="46"/>
      <c r="L50" s="46"/>
      <c r="M50" s="46"/>
      <c r="N50" s="46"/>
      <c r="O50" s="46"/>
      <c r="P50" s="46"/>
      <c r="Q50" s="46"/>
      <c r="R50" s="46"/>
      <c r="S50" s="46"/>
      <c r="T50" s="46"/>
      <c r="U50" s="46"/>
      <c r="V50" s="46"/>
      <c r="W50" s="46"/>
      <c r="X50" s="46"/>
    </row>
    <row r="51" spans="1:24" s="49" customFormat="1" ht="14.25" customHeight="1">
      <c r="A51" s="968">
        <v>2</v>
      </c>
      <c r="B51" s="47" t="s">
        <v>322</v>
      </c>
      <c r="C51" s="47"/>
      <c r="D51" s="47"/>
      <c r="E51" s="47"/>
      <c r="F51" s="47"/>
      <c r="G51" s="47"/>
      <c r="H51" s="47"/>
      <c r="I51" s="47"/>
      <c r="J51" s="47"/>
      <c r="K51" s="47"/>
      <c r="L51" s="47"/>
      <c r="M51" s="47"/>
      <c r="N51" s="47"/>
      <c r="O51" s="47"/>
      <c r="P51" s="47"/>
      <c r="Q51" s="47"/>
      <c r="R51" s="47"/>
      <c r="S51" s="47"/>
      <c r="T51" s="47"/>
      <c r="U51" s="47"/>
      <c r="V51" s="965"/>
      <c r="W51" s="965"/>
      <c r="X51" s="965"/>
    </row>
    <row r="52" spans="1:24" s="49" customFormat="1">
      <c r="A52" s="968">
        <v>3</v>
      </c>
      <c r="B52" s="3175" t="s">
        <v>1195</v>
      </c>
      <c r="C52" s="3175"/>
      <c r="D52" s="3175"/>
      <c r="E52" s="3175"/>
      <c r="F52" s="3175"/>
      <c r="G52" s="3175"/>
      <c r="H52" s="3175"/>
      <c r="I52" s="3175"/>
      <c r="J52" s="3175"/>
      <c r="K52" s="3175"/>
      <c r="L52" s="3175"/>
      <c r="M52" s="3175"/>
      <c r="N52" s="3175"/>
      <c r="O52" s="3175"/>
      <c r="P52" s="3175"/>
      <c r="Q52" s="1985"/>
      <c r="R52" s="1985"/>
      <c r="S52" s="1985"/>
      <c r="T52" s="1985"/>
      <c r="U52" s="1985"/>
      <c r="V52" s="965"/>
      <c r="W52" s="965"/>
      <c r="X52" s="965"/>
    </row>
    <row r="53" spans="1:24" s="49" customFormat="1">
      <c r="A53" s="968">
        <v>4</v>
      </c>
      <c r="B53" s="3176" t="s">
        <v>255</v>
      </c>
      <c r="C53" s="3176"/>
      <c r="D53" s="3176"/>
      <c r="E53" s="3176"/>
      <c r="F53" s="3176"/>
      <c r="G53" s="3176"/>
      <c r="H53" s="3176"/>
      <c r="I53" s="3176"/>
      <c r="J53" s="3176"/>
      <c r="K53" s="3176"/>
      <c r="L53" s="3176"/>
      <c r="M53" s="3176"/>
      <c r="N53" s="1985"/>
      <c r="O53" s="1985"/>
      <c r="P53" s="1985"/>
      <c r="Q53" s="1985"/>
      <c r="R53" s="1985"/>
      <c r="S53" s="1985"/>
      <c r="T53" s="1985"/>
      <c r="U53" s="1985"/>
      <c r="V53" s="965"/>
      <c r="W53" s="965"/>
      <c r="X53" s="965"/>
    </row>
    <row r="54" spans="1:24">
      <c r="A54" s="968">
        <v>5</v>
      </c>
      <c r="B54" s="47" t="s">
        <v>569</v>
      </c>
      <c r="V54" s="46"/>
      <c r="W54" s="46"/>
      <c r="X54" s="46"/>
    </row>
    <row r="55" spans="1:24">
      <c r="A55" s="969">
        <v>6</v>
      </c>
      <c r="B55" s="47" t="s">
        <v>144</v>
      </c>
    </row>
    <row r="57" spans="1:24">
      <c r="C57" s="968"/>
      <c r="D57" s="968"/>
      <c r="E57" s="968"/>
      <c r="F57" s="968"/>
      <c r="H57" s="968"/>
      <c r="I57" s="968"/>
      <c r="J57" s="968"/>
      <c r="K57" s="968"/>
    </row>
  </sheetData>
  <mergeCells count="12">
    <mergeCell ref="B52:P52"/>
    <mergeCell ref="A3:A6"/>
    <mergeCell ref="B53:M53"/>
    <mergeCell ref="B3:B6"/>
    <mergeCell ref="C3:L3"/>
    <mergeCell ref="M3:T3"/>
    <mergeCell ref="U3:U5"/>
    <mergeCell ref="V3:V5"/>
    <mergeCell ref="C4:G4"/>
    <mergeCell ref="H4:L4"/>
    <mergeCell ref="M4:P4"/>
    <mergeCell ref="Q4:T4"/>
  </mergeCells>
  <phoneticPr fontId="30"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heetViews>
  <sheetFormatPr defaultColWidth="10" defaultRowHeight="14.25"/>
  <cols>
    <col min="1" max="1" width="5.25" style="55" customWidth="1"/>
    <col min="2" max="2" width="29.375" style="47" customWidth="1"/>
    <col min="3" max="5" width="10.75" style="47" customWidth="1"/>
    <col min="6" max="7" width="12" style="47" customWidth="1"/>
    <col min="8" max="10" width="10.75" style="47" customWidth="1"/>
    <col min="11" max="12" width="12" style="47" customWidth="1"/>
    <col min="13" max="14" width="10.75" style="47" customWidth="1"/>
    <col min="15" max="15" width="12.25" style="47" customWidth="1"/>
    <col min="16" max="16" width="11.875" style="47" customWidth="1"/>
    <col min="17" max="18" width="10.75" style="47" customWidth="1"/>
    <col min="19" max="19" width="12.25" style="47" customWidth="1"/>
    <col min="20" max="20" width="11.875" style="47" customWidth="1"/>
    <col min="21" max="21" width="18.25" style="47" customWidth="1"/>
    <col min="22" max="16384" width="10" style="47"/>
  </cols>
  <sheetData>
    <row r="1" spans="1:22" ht="16.5">
      <c r="A1" s="2186" t="str">
        <f>+封面!A3&amp;" "&amp;封面!A2</f>
        <v xml:space="preserve"> 中央再保險股份有限公司 年度檢查報表</v>
      </c>
      <c r="B1" s="46"/>
      <c r="C1" s="46"/>
      <c r="D1" s="46"/>
      <c r="E1" s="46"/>
      <c r="F1" s="46"/>
      <c r="G1" s="46"/>
      <c r="H1" s="46"/>
      <c r="I1" s="46"/>
      <c r="J1" s="46"/>
      <c r="K1" s="46"/>
      <c r="L1" s="46"/>
      <c r="M1" s="46"/>
      <c r="Q1" s="46"/>
    </row>
    <row r="2" spans="1:22">
      <c r="A2" s="907" t="s">
        <v>566</v>
      </c>
      <c r="V2" s="922" t="s">
        <v>300</v>
      </c>
    </row>
    <row r="3" spans="1:22">
      <c r="A3" s="3163" t="s">
        <v>179</v>
      </c>
      <c r="B3" s="3163" t="s">
        <v>86</v>
      </c>
      <c r="C3" s="3166" t="s">
        <v>190</v>
      </c>
      <c r="D3" s="3167"/>
      <c r="E3" s="3167"/>
      <c r="F3" s="3167"/>
      <c r="G3" s="3167"/>
      <c r="H3" s="3167"/>
      <c r="I3" s="3167"/>
      <c r="J3" s="3167"/>
      <c r="K3" s="3167"/>
      <c r="L3" s="3168"/>
      <c r="M3" s="3166" t="s">
        <v>4103</v>
      </c>
      <c r="N3" s="3167"/>
      <c r="O3" s="3167"/>
      <c r="P3" s="3167"/>
      <c r="Q3" s="3167"/>
      <c r="R3" s="3167"/>
      <c r="S3" s="3167"/>
      <c r="T3" s="3168"/>
      <c r="U3" s="3070" t="s">
        <v>5604</v>
      </c>
      <c r="V3" s="3174" t="s">
        <v>180</v>
      </c>
    </row>
    <row r="4" spans="1:22">
      <c r="A4" s="3164"/>
      <c r="B4" s="3164"/>
      <c r="C4" s="3166" t="s">
        <v>562</v>
      </c>
      <c r="D4" s="3167"/>
      <c r="E4" s="3167"/>
      <c r="F4" s="3167"/>
      <c r="G4" s="3168"/>
      <c r="H4" s="3166" t="s">
        <v>563</v>
      </c>
      <c r="I4" s="3167"/>
      <c r="J4" s="3167"/>
      <c r="K4" s="3167"/>
      <c r="L4" s="3168"/>
      <c r="M4" s="3166" t="s">
        <v>562</v>
      </c>
      <c r="N4" s="3167"/>
      <c r="O4" s="3167"/>
      <c r="P4" s="3168"/>
      <c r="Q4" s="3166" t="s">
        <v>563</v>
      </c>
      <c r="R4" s="3167"/>
      <c r="S4" s="3167"/>
      <c r="T4" s="3168"/>
      <c r="U4" s="3172"/>
      <c r="V4" s="3173"/>
    </row>
    <row r="5" spans="1:22" ht="28.5">
      <c r="A5" s="3164"/>
      <c r="B5" s="3164"/>
      <c r="C5" s="950" t="s">
        <v>87</v>
      </c>
      <c r="D5" s="951" t="s">
        <v>304</v>
      </c>
      <c r="E5" s="951" t="s">
        <v>316</v>
      </c>
      <c r="F5" s="924" t="s">
        <v>317</v>
      </c>
      <c r="G5" s="924" t="s">
        <v>318</v>
      </c>
      <c r="H5" s="950" t="s">
        <v>87</v>
      </c>
      <c r="I5" s="951" t="s">
        <v>304</v>
      </c>
      <c r="J5" s="951" t="s">
        <v>316</v>
      </c>
      <c r="K5" s="924" t="s">
        <v>317</v>
      </c>
      <c r="L5" s="924" t="s">
        <v>318</v>
      </c>
      <c r="M5" s="950" t="s">
        <v>87</v>
      </c>
      <c r="N5" s="951" t="s">
        <v>304</v>
      </c>
      <c r="O5" s="924" t="s">
        <v>317</v>
      </c>
      <c r="P5" s="924" t="s">
        <v>323</v>
      </c>
      <c r="Q5" s="950" t="s">
        <v>87</v>
      </c>
      <c r="R5" s="951" t="s">
        <v>304</v>
      </c>
      <c r="S5" s="924" t="s">
        <v>317</v>
      </c>
      <c r="T5" s="924" t="s">
        <v>323</v>
      </c>
      <c r="U5" s="3173"/>
      <c r="V5" s="3173"/>
    </row>
    <row r="6" spans="1:22" s="955" customFormat="1" ht="42.75">
      <c r="A6" s="3165"/>
      <c r="B6" s="3165"/>
      <c r="C6" s="952" t="s">
        <v>295</v>
      </c>
      <c r="D6" s="952" t="s">
        <v>370</v>
      </c>
      <c r="E6" s="952" t="s">
        <v>319</v>
      </c>
      <c r="F6" s="953" t="s">
        <v>307</v>
      </c>
      <c r="G6" s="953" t="s">
        <v>353</v>
      </c>
      <c r="H6" s="952" t="s">
        <v>320</v>
      </c>
      <c r="I6" s="952" t="s">
        <v>309</v>
      </c>
      <c r="J6" s="952" t="s">
        <v>372</v>
      </c>
      <c r="K6" s="953" t="s">
        <v>373</v>
      </c>
      <c r="L6" s="953" t="s">
        <v>212</v>
      </c>
      <c r="M6" s="952" t="s">
        <v>213</v>
      </c>
      <c r="N6" s="952" t="s">
        <v>448</v>
      </c>
      <c r="O6" s="953" t="s">
        <v>321</v>
      </c>
      <c r="P6" s="953" t="s">
        <v>193</v>
      </c>
      <c r="Q6" s="952" t="s">
        <v>564</v>
      </c>
      <c r="R6" s="952" t="s">
        <v>195</v>
      </c>
      <c r="S6" s="953" t="s">
        <v>196</v>
      </c>
      <c r="T6" s="953" t="s">
        <v>396</v>
      </c>
      <c r="U6" s="889" t="s">
        <v>565</v>
      </c>
      <c r="V6" s="954" t="s">
        <v>199</v>
      </c>
    </row>
    <row r="7" spans="1:22" s="955" customFormat="1" ht="23.25" customHeight="1">
      <c r="A7" s="894">
        <v>1</v>
      </c>
      <c r="B7" s="895" t="s">
        <v>137</v>
      </c>
      <c r="C7" s="956">
        <f>SUM(C8:C14)</f>
        <v>0</v>
      </c>
      <c r="D7" s="956">
        <f>SUM(D8:D14)</f>
        <v>0</v>
      </c>
      <c r="E7" s="957"/>
      <c r="F7" s="956">
        <f>SUM(F8:F14)</f>
        <v>0</v>
      </c>
      <c r="G7" s="956">
        <f>SUM(G8:G14)</f>
        <v>0</v>
      </c>
      <c r="H7" s="956">
        <f>SUM(H8:H14)</f>
        <v>0</v>
      </c>
      <c r="I7" s="956">
        <f>SUM(I8:I14)</f>
        <v>0</v>
      </c>
      <c r="J7" s="957"/>
      <c r="K7" s="956">
        <f t="shared" ref="K7:T7" si="0">SUM(K8:K14)</f>
        <v>0</v>
      </c>
      <c r="L7" s="956">
        <f t="shared" si="0"/>
        <v>0</v>
      </c>
      <c r="M7" s="956">
        <f t="shared" si="0"/>
        <v>0</v>
      </c>
      <c r="N7" s="956">
        <f t="shared" si="0"/>
        <v>0</v>
      </c>
      <c r="O7" s="956">
        <f t="shared" si="0"/>
        <v>0</v>
      </c>
      <c r="P7" s="956">
        <f t="shared" si="0"/>
        <v>0</v>
      </c>
      <c r="Q7" s="956">
        <f t="shared" si="0"/>
        <v>0</v>
      </c>
      <c r="R7" s="956">
        <f t="shared" si="0"/>
        <v>0</v>
      </c>
      <c r="S7" s="956">
        <f t="shared" si="0"/>
        <v>0</v>
      </c>
      <c r="T7" s="956">
        <f t="shared" si="0"/>
        <v>0</v>
      </c>
      <c r="U7" s="956">
        <f t="shared" ref="U7:U21" si="1">C7-D7-F7+G7+H7-I7-K7+L7</f>
        <v>0</v>
      </c>
      <c r="V7" s="958"/>
    </row>
    <row r="8" spans="1:22" ht="23.25" customHeight="1">
      <c r="A8" s="894">
        <v>2</v>
      </c>
      <c r="B8" s="895" t="s">
        <v>375</v>
      </c>
      <c r="C8" s="956"/>
      <c r="D8" s="956"/>
      <c r="E8" s="957" t="s">
        <v>567</v>
      </c>
      <c r="F8" s="956"/>
      <c r="G8" s="956"/>
      <c r="H8" s="956"/>
      <c r="I8" s="956"/>
      <c r="J8" s="957" t="s">
        <v>567</v>
      </c>
      <c r="K8" s="956"/>
      <c r="L8" s="956"/>
      <c r="M8" s="956"/>
      <c r="N8" s="956"/>
      <c r="O8" s="956"/>
      <c r="P8" s="956"/>
      <c r="Q8" s="956"/>
      <c r="R8" s="956"/>
      <c r="S8" s="956"/>
      <c r="T8" s="956"/>
      <c r="U8" s="956">
        <f t="shared" si="1"/>
        <v>0</v>
      </c>
      <c r="V8" s="916"/>
    </row>
    <row r="9" spans="1:22" ht="23.25" customHeight="1">
      <c r="A9" s="894">
        <v>3</v>
      </c>
      <c r="B9" s="895" t="s">
        <v>376</v>
      </c>
      <c r="C9" s="956"/>
      <c r="D9" s="956"/>
      <c r="E9" s="957" t="s">
        <v>567</v>
      </c>
      <c r="F9" s="956"/>
      <c r="G9" s="956"/>
      <c r="H9" s="956"/>
      <c r="I9" s="956"/>
      <c r="J9" s="957" t="s">
        <v>567</v>
      </c>
      <c r="K9" s="956"/>
      <c r="L9" s="956"/>
      <c r="M9" s="956"/>
      <c r="N9" s="956"/>
      <c r="O9" s="956"/>
      <c r="P9" s="956"/>
      <c r="Q9" s="956"/>
      <c r="R9" s="956"/>
      <c r="S9" s="956"/>
      <c r="T9" s="956"/>
      <c r="U9" s="956">
        <f t="shared" si="1"/>
        <v>0</v>
      </c>
      <c r="V9" s="916"/>
    </row>
    <row r="10" spans="1:22" ht="23.25" customHeight="1">
      <c r="A10" s="894">
        <v>4</v>
      </c>
      <c r="B10" s="895" t="s">
        <v>1174</v>
      </c>
      <c r="C10" s="956"/>
      <c r="D10" s="956"/>
      <c r="E10" s="957" t="s">
        <v>567</v>
      </c>
      <c r="F10" s="956"/>
      <c r="G10" s="956"/>
      <c r="H10" s="956"/>
      <c r="I10" s="956"/>
      <c r="J10" s="957" t="s">
        <v>567</v>
      </c>
      <c r="K10" s="956"/>
      <c r="L10" s="956"/>
      <c r="M10" s="956"/>
      <c r="N10" s="956"/>
      <c r="O10" s="956"/>
      <c r="P10" s="956"/>
      <c r="Q10" s="956"/>
      <c r="R10" s="956"/>
      <c r="S10" s="956"/>
      <c r="T10" s="956"/>
      <c r="U10" s="956">
        <f t="shared" si="1"/>
        <v>0</v>
      </c>
      <c r="V10" s="916"/>
    </row>
    <row r="11" spans="1:22" ht="23.25" customHeight="1">
      <c r="A11" s="894">
        <v>5</v>
      </c>
      <c r="B11" s="895" t="s">
        <v>377</v>
      </c>
      <c r="C11" s="956"/>
      <c r="D11" s="956"/>
      <c r="E11" s="959"/>
      <c r="F11" s="956"/>
      <c r="G11" s="956"/>
      <c r="H11" s="956"/>
      <c r="I11" s="956"/>
      <c r="J11" s="959"/>
      <c r="K11" s="956"/>
      <c r="L11" s="956"/>
      <c r="M11" s="956"/>
      <c r="N11" s="956"/>
      <c r="O11" s="956"/>
      <c r="P11" s="956"/>
      <c r="Q11" s="956"/>
      <c r="R11" s="956"/>
      <c r="S11" s="956"/>
      <c r="T11" s="956"/>
      <c r="U11" s="956">
        <f t="shared" si="1"/>
        <v>0</v>
      </c>
      <c r="V11" s="916"/>
    </row>
    <row r="12" spans="1:22" ht="23.25" customHeight="1">
      <c r="A12" s="894">
        <v>6</v>
      </c>
      <c r="B12" s="895" t="s">
        <v>378</v>
      </c>
      <c r="C12" s="956"/>
      <c r="D12" s="956"/>
      <c r="E12" s="959"/>
      <c r="F12" s="956"/>
      <c r="G12" s="956"/>
      <c r="H12" s="956"/>
      <c r="I12" s="956"/>
      <c r="J12" s="959"/>
      <c r="K12" s="956"/>
      <c r="L12" s="956"/>
      <c r="M12" s="956"/>
      <c r="N12" s="956"/>
      <c r="O12" s="956"/>
      <c r="P12" s="956"/>
      <c r="Q12" s="956"/>
      <c r="R12" s="956"/>
      <c r="S12" s="956"/>
      <c r="T12" s="956"/>
      <c r="U12" s="956">
        <f t="shared" si="1"/>
        <v>0</v>
      </c>
      <c r="V12" s="916"/>
    </row>
    <row r="13" spans="1:22" ht="23.25" customHeight="1">
      <c r="A13" s="894">
        <v>7</v>
      </c>
      <c r="B13" s="895" t="s">
        <v>1034</v>
      </c>
      <c r="C13" s="956"/>
      <c r="D13" s="956"/>
      <c r="E13" s="960"/>
      <c r="F13" s="956"/>
      <c r="G13" s="956"/>
      <c r="H13" s="956"/>
      <c r="I13" s="956"/>
      <c r="J13" s="960"/>
      <c r="K13" s="956"/>
      <c r="L13" s="956"/>
      <c r="M13" s="956"/>
      <c r="N13" s="956"/>
      <c r="O13" s="956"/>
      <c r="P13" s="956"/>
      <c r="Q13" s="956"/>
      <c r="R13" s="956"/>
      <c r="S13" s="956"/>
      <c r="T13" s="956"/>
      <c r="U13" s="956">
        <f t="shared" si="1"/>
        <v>0</v>
      </c>
      <c r="V13" s="916"/>
    </row>
    <row r="14" spans="1:22" ht="23.25" customHeight="1">
      <c r="A14" s="894">
        <v>8</v>
      </c>
      <c r="B14" s="895" t="s">
        <v>1035</v>
      </c>
      <c r="C14" s="956"/>
      <c r="D14" s="956"/>
      <c r="E14" s="960"/>
      <c r="F14" s="956"/>
      <c r="G14" s="956"/>
      <c r="H14" s="956"/>
      <c r="I14" s="956"/>
      <c r="J14" s="960"/>
      <c r="K14" s="956"/>
      <c r="L14" s="956"/>
      <c r="M14" s="956"/>
      <c r="N14" s="956"/>
      <c r="O14" s="956"/>
      <c r="P14" s="956"/>
      <c r="Q14" s="956"/>
      <c r="R14" s="956"/>
      <c r="S14" s="956"/>
      <c r="T14" s="956"/>
      <c r="U14" s="956">
        <f t="shared" si="1"/>
        <v>0</v>
      </c>
      <c r="V14" s="916"/>
    </row>
    <row r="15" spans="1:22" ht="23.25" customHeight="1">
      <c r="A15" s="894">
        <v>9</v>
      </c>
      <c r="B15" s="895" t="s">
        <v>143</v>
      </c>
      <c r="C15" s="956">
        <f>SUM(C16:C20)</f>
        <v>0</v>
      </c>
      <c r="D15" s="956">
        <f>SUM(D16:D20)</f>
        <v>0</v>
      </c>
      <c r="E15" s="957" t="s">
        <v>567</v>
      </c>
      <c r="F15" s="956">
        <f>SUM(F16:F20)</f>
        <v>0</v>
      </c>
      <c r="G15" s="956">
        <f>SUM(G16:G20)</f>
        <v>0</v>
      </c>
      <c r="H15" s="956">
        <f>SUM(H16:H20)</f>
        <v>0</v>
      </c>
      <c r="I15" s="956">
        <f>SUM(I16:I20)</f>
        <v>0</v>
      </c>
      <c r="J15" s="957" t="s">
        <v>567</v>
      </c>
      <c r="K15" s="956">
        <f t="shared" ref="K15:P15" si="2">SUM(K16:K20)</f>
        <v>0</v>
      </c>
      <c r="L15" s="956">
        <f t="shared" si="2"/>
        <v>0</v>
      </c>
      <c r="M15" s="956">
        <f t="shared" si="2"/>
        <v>0</v>
      </c>
      <c r="N15" s="956">
        <f t="shared" si="2"/>
        <v>0</v>
      </c>
      <c r="O15" s="956">
        <f t="shared" si="2"/>
        <v>0</v>
      </c>
      <c r="P15" s="956">
        <f t="shared" si="2"/>
        <v>0</v>
      </c>
      <c r="Q15" s="956">
        <f>SUM(Q16:Q20)</f>
        <v>0</v>
      </c>
      <c r="R15" s="956">
        <f>SUM(R16:R20)</f>
        <v>0</v>
      </c>
      <c r="S15" s="956">
        <f>SUM(S16:S20)</f>
        <v>0</v>
      </c>
      <c r="T15" s="956">
        <f>SUM(T16:T20)</f>
        <v>0</v>
      </c>
      <c r="U15" s="956">
        <f t="shared" si="1"/>
        <v>0</v>
      </c>
      <c r="V15" s="916"/>
    </row>
    <row r="16" spans="1:22" ht="23.25" customHeight="1">
      <c r="A16" s="894">
        <v>10</v>
      </c>
      <c r="B16" s="895" t="s">
        <v>4097</v>
      </c>
      <c r="C16" s="956"/>
      <c r="D16" s="956"/>
      <c r="E16" s="957" t="s">
        <v>567</v>
      </c>
      <c r="F16" s="956"/>
      <c r="G16" s="956"/>
      <c r="H16" s="956"/>
      <c r="I16" s="956"/>
      <c r="J16" s="957" t="s">
        <v>567</v>
      </c>
      <c r="K16" s="956"/>
      <c r="L16" s="956"/>
      <c r="M16" s="956"/>
      <c r="N16" s="956"/>
      <c r="O16" s="956"/>
      <c r="P16" s="956"/>
      <c r="Q16" s="956"/>
      <c r="R16" s="956"/>
      <c r="S16" s="956"/>
      <c r="T16" s="956"/>
      <c r="U16" s="956">
        <f t="shared" si="1"/>
        <v>0</v>
      </c>
      <c r="V16" s="916"/>
    </row>
    <row r="17" spans="1:22" ht="23.25" customHeight="1">
      <c r="A17" s="894">
        <v>11</v>
      </c>
      <c r="B17" s="895" t="s">
        <v>4098</v>
      </c>
      <c r="C17" s="956"/>
      <c r="D17" s="956"/>
      <c r="E17" s="957" t="s">
        <v>567</v>
      </c>
      <c r="F17" s="956"/>
      <c r="G17" s="956"/>
      <c r="H17" s="956"/>
      <c r="I17" s="956"/>
      <c r="J17" s="957" t="s">
        <v>567</v>
      </c>
      <c r="K17" s="956"/>
      <c r="L17" s="956"/>
      <c r="M17" s="956"/>
      <c r="N17" s="956"/>
      <c r="O17" s="956"/>
      <c r="P17" s="956"/>
      <c r="Q17" s="956"/>
      <c r="R17" s="956"/>
      <c r="S17" s="956"/>
      <c r="T17" s="956"/>
      <c r="U17" s="956">
        <f t="shared" si="1"/>
        <v>0</v>
      </c>
      <c r="V17" s="916"/>
    </row>
    <row r="18" spans="1:22" ht="23.25" customHeight="1">
      <c r="A18" s="894">
        <v>12</v>
      </c>
      <c r="B18" s="895" t="s">
        <v>4099</v>
      </c>
      <c r="C18" s="956"/>
      <c r="D18" s="956"/>
      <c r="E18" s="957"/>
      <c r="F18" s="956"/>
      <c r="G18" s="956"/>
      <c r="H18" s="956"/>
      <c r="I18" s="956"/>
      <c r="J18" s="957"/>
      <c r="K18" s="956"/>
      <c r="L18" s="956"/>
      <c r="M18" s="956"/>
      <c r="N18" s="956"/>
      <c r="O18" s="956"/>
      <c r="P18" s="956"/>
      <c r="Q18" s="956"/>
      <c r="R18" s="956"/>
      <c r="S18" s="956"/>
      <c r="T18" s="956"/>
      <c r="U18" s="956">
        <f t="shared" si="1"/>
        <v>0</v>
      </c>
      <c r="V18" s="916"/>
    </row>
    <row r="19" spans="1:22" ht="23.25" customHeight="1">
      <c r="A19" s="894">
        <v>13</v>
      </c>
      <c r="B19" s="895" t="s">
        <v>4100</v>
      </c>
      <c r="C19" s="956"/>
      <c r="D19" s="956"/>
      <c r="E19" s="959"/>
      <c r="F19" s="956"/>
      <c r="G19" s="956"/>
      <c r="H19" s="956"/>
      <c r="I19" s="956"/>
      <c r="J19" s="959"/>
      <c r="K19" s="956"/>
      <c r="L19" s="956"/>
      <c r="M19" s="956"/>
      <c r="N19" s="956"/>
      <c r="O19" s="956"/>
      <c r="P19" s="956"/>
      <c r="Q19" s="956"/>
      <c r="R19" s="956"/>
      <c r="S19" s="956"/>
      <c r="T19" s="956"/>
      <c r="U19" s="956">
        <f t="shared" si="1"/>
        <v>0</v>
      </c>
      <c r="V19" s="916"/>
    </row>
    <row r="20" spans="1:22" ht="23.25" customHeight="1">
      <c r="A20" s="894">
        <v>14</v>
      </c>
      <c r="B20" s="895" t="s">
        <v>4101</v>
      </c>
      <c r="C20" s="956"/>
      <c r="D20" s="956"/>
      <c r="E20" s="961"/>
      <c r="F20" s="956"/>
      <c r="G20" s="956"/>
      <c r="H20" s="956"/>
      <c r="I20" s="956"/>
      <c r="J20" s="961"/>
      <c r="K20" s="956"/>
      <c r="L20" s="956"/>
      <c r="M20" s="956"/>
      <c r="N20" s="956"/>
      <c r="O20" s="956"/>
      <c r="P20" s="956"/>
      <c r="Q20" s="956"/>
      <c r="R20" s="956"/>
      <c r="S20" s="956"/>
      <c r="T20" s="956"/>
      <c r="U20" s="956">
        <f t="shared" si="1"/>
        <v>0</v>
      </c>
      <c r="V20" s="916"/>
    </row>
    <row r="21" spans="1:22" ht="23.25" customHeight="1">
      <c r="A21" s="894">
        <v>15</v>
      </c>
      <c r="B21" s="902" t="s">
        <v>379</v>
      </c>
      <c r="C21" s="956">
        <f>C7+C15</f>
        <v>0</v>
      </c>
      <c r="D21" s="956">
        <f>D7+D15</f>
        <v>0</v>
      </c>
      <c r="E21" s="962"/>
      <c r="F21" s="956">
        <f>F7+F15</f>
        <v>0</v>
      </c>
      <c r="G21" s="956">
        <f>G7+G15</f>
        <v>0</v>
      </c>
      <c r="H21" s="956">
        <f>H7+H15</f>
        <v>0</v>
      </c>
      <c r="I21" s="956">
        <f>I7+I15</f>
        <v>0</v>
      </c>
      <c r="J21" s="962"/>
      <c r="K21" s="956">
        <f t="shared" ref="K21:P21" si="3">K7+K15</f>
        <v>0</v>
      </c>
      <c r="L21" s="956">
        <f t="shared" si="3"/>
        <v>0</v>
      </c>
      <c r="M21" s="956">
        <f t="shared" si="3"/>
        <v>0</v>
      </c>
      <c r="N21" s="956">
        <f t="shared" si="3"/>
        <v>0</v>
      </c>
      <c r="O21" s="956">
        <f t="shared" si="3"/>
        <v>0</v>
      </c>
      <c r="P21" s="956">
        <f t="shared" si="3"/>
        <v>0</v>
      </c>
      <c r="Q21" s="956">
        <f>Q7+Q15</f>
        <v>0</v>
      </c>
      <c r="R21" s="956">
        <f>R7+R15</f>
        <v>0</v>
      </c>
      <c r="S21" s="956">
        <f>S7+S15</f>
        <v>0</v>
      </c>
      <c r="T21" s="956">
        <f>T7+T15</f>
        <v>0</v>
      </c>
      <c r="U21" s="956">
        <f t="shared" si="1"/>
        <v>0</v>
      </c>
      <c r="V21" s="916"/>
    </row>
    <row r="22" spans="1:22" s="966" customFormat="1">
      <c r="A22" s="963" t="s">
        <v>188</v>
      </c>
      <c r="B22" s="964"/>
      <c r="C22" s="965"/>
      <c r="D22" s="965"/>
      <c r="E22" s="965"/>
      <c r="F22" s="965"/>
      <c r="G22" s="965"/>
      <c r="H22" s="965"/>
      <c r="I22" s="965"/>
      <c r="J22" s="965"/>
      <c r="K22" s="965"/>
      <c r="L22" s="965"/>
      <c r="M22" s="965"/>
      <c r="Q22" s="965"/>
    </row>
    <row r="23" spans="1:22" s="966" customFormat="1">
      <c r="A23" s="967">
        <v>1</v>
      </c>
      <c r="B23" s="46" t="s">
        <v>568</v>
      </c>
      <c r="C23" s="46"/>
      <c r="D23" s="46"/>
      <c r="E23" s="46"/>
      <c r="F23" s="46"/>
      <c r="G23" s="46"/>
      <c r="H23" s="46"/>
      <c r="I23" s="46"/>
      <c r="J23" s="46"/>
      <c r="K23" s="46"/>
      <c r="L23" s="46"/>
      <c r="M23" s="46"/>
      <c r="N23" s="46"/>
      <c r="O23" s="46"/>
      <c r="P23" s="46"/>
      <c r="Q23" s="46"/>
      <c r="R23" s="46"/>
      <c r="S23" s="46"/>
      <c r="T23" s="46"/>
    </row>
    <row r="24" spans="1:22">
      <c r="A24" s="968">
        <v>2</v>
      </c>
      <c r="B24" s="47" t="s">
        <v>570</v>
      </c>
      <c r="N24" s="46"/>
      <c r="O24" s="46"/>
      <c r="P24" s="46"/>
      <c r="R24" s="46"/>
      <c r="S24" s="46"/>
      <c r="T24" s="46"/>
    </row>
    <row r="25" spans="1:22">
      <c r="A25" s="969">
        <v>3</v>
      </c>
      <c r="B25" s="47" t="s">
        <v>144</v>
      </c>
    </row>
    <row r="26" spans="1:22">
      <c r="A26" s="969">
        <v>4</v>
      </c>
      <c r="B26" s="50" t="s">
        <v>1039</v>
      </c>
    </row>
    <row r="27" spans="1:22">
      <c r="C27" s="967"/>
      <c r="D27" s="967"/>
      <c r="E27" s="967"/>
      <c r="F27" s="967"/>
      <c r="H27" s="967"/>
      <c r="I27" s="967"/>
      <c r="J27" s="967"/>
      <c r="K27" s="967"/>
    </row>
  </sheetData>
  <mergeCells count="10">
    <mergeCell ref="A3:A6"/>
    <mergeCell ref="B3:B6"/>
    <mergeCell ref="C3:L3"/>
    <mergeCell ref="M3:T3"/>
    <mergeCell ref="U3:U5"/>
    <mergeCell ref="V3:V5"/>
    <mergeCell ref="C4:G4"/>
    <mergeCell ref="H4:L4"/>
    <mergeCell ref="M4:P4"/>
    <mergeCell ref="Q4:T4"/>
  </mergeCells>
  <phoneticPr fontId="30"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tabColor rgb="FFFFFF00"/>
    <pageSetUpPr fitToPage="1"/>
  </sheetPr>
  <dimension ref="A1:M287"/>
  <sheetViews>
    <sheetView view="pageBreakPreview" topLeftCell="A259" zoomScaleNormal="100" zoomScaleSheetLayoutView="100" workbookViewId="0">
      <selection activeCell="A283" sqref="A283:B283"/>
    </sheetView>
  </sheetViews>
  <sheetFormatPr defaultColWidth="15.625" defaultRowHeight="15.75"/>
  <cols>
    <col min="1" max="2" width="5.625" style="2564" customWidth="1"/>
    <col min="3" max="3" width="50.625" style="2564" customWidth="1"/>
    <col min="4" max="16384" width="15.625" style="2564"/>
  </cols>
  <sheetData>
    <row r="1" spans="1:13" ht="16.5">
      <c r="A1" s="2186" t="str">
        <f>+封面!A3&amp;" "&amp;封面!A2</f>
        <v xml:space="preserve"> 中央再保險股份有限公司 年度檢查報表</v>
      </c>
      <c r="B1" s="2563"/>
      <c r="C1" s="2563"/>
    </row>
    <row r="2" spans="1:13" ht="16.5" customHeight="1">
      <c r="A2" s="2565" t="s">
        <v>6113</v>
      </c>
      <c r="B2" s="1687"/>
      <c r="C2" s="1687"/>
      <c r="J2" s="2566" t="s">
        <v>6114</v>
      </c>
      <c r="L2" s="2567"/>
      <c r="M2" s="2568"/>
    </row>
    <row r="3" spans="1:13" ht="16.5" customHeight="1">
      <c r="A3" s="2824" t="s">
        <v>3491</v>
      </c>
      <c r="B3" s="2824" t="s">
        <v>6115</v>
      </c>
      <c r="C3" s="2824"/>
      <c r="D3" s="2824" t="s">
        <v>6116</v>
      </c>
      <c r="E3" s="2824"/>
      <c r="F3" s="2824"/>
      <c r="G3" s="2824"/>
      <c r="H3" s="2824" t="s">
        <v>6117</v>
      </c>
      <c r="I3" s="2824"/>
      <c r="J3" s="2824"/>
      <c r="K3" s="2824" t="s">
        <v>6118</v>
      </c>
      <c r="L3" s="2824"/>
      <c r="M3" s="2569" t="s">
        <v>6116</v>
      </c>
    </row>
    <row r="4" spans="1:13" ht="33">
      <c r="A4" s="2824"/>
      <c r="B4" s="2824"/>
      <c r="C4" s="2824"/>
      <c r="D4" s="2569" t="s">
        <v>4586</v>
      </c>
      <c r="E4" s="2569" t="s">
        <v>6119</v>
      </c>
      <c r="F4" s="2569" t="s">
        <v>6120</v>
      </c>
      <c r="G4" s="2569" t="s">
        <v>6121</v>
      </c>
      <c r="H4" s="2569" t="s">
        <v>4586</v>
      </c>
      <c r="I4" s="2569" t="s">
        <v>6119</v>
      </c>
      <c r="J4" s="2569" t="s">
        <v>6121</v>
      </c>
      <c r="K4" s="2569" t="s">
        <v>4434</v>
      </c>
      <c r="L4" s="2569" t="s">
        <v>1399</v>
      </c>
      <c r="M4" s="2569" t="s">
        <v>6122</v>
      </c>
    </row>
    <row r="5" spans="1:13" ht="16.5" customHeight="1">
      <c r="A5" s="2824"/>
      <c r="B5" s="2825" t="s">
        <v>295</v>
      </c>
      <c r="C5" s="2826"/>
      <c r="D5" s="2569" t="s">
        <v>183</v>
      </c>
      <c r="E5" s="2570" t="s">
        <v>319</v>
      </c>
      <c r="F5" s="2570" t="s">
        <v>297</v>
      </c>
      <c r="G5" s="2570" t="s">
        <v>444</v>
      </c>
      <c r="H5" s="2570" t="s">
        <v>445</v>
      </c>
      <c r="I5" s="2570" t="s">
        <v>309</v>
      </c>
      <c r="J5" s="2570" t="s">
        <v>73</v>
      </c>
      <c r="K5" s="2570" t="s">
        <v>74</v>
      </c>
      <c r="L5" s="2570" t="s">
        <v>75</v>
      </c>
      <c r="M5" s="2571" t="s">
        <v>131</v>
      </c>
    </row>
    <row r="6" spans="1:13" ht="16.5" customHeight="1">
      <c r="A6" s="2572">
        <v>1</v>
      </c>
      <c r="B6" s="2822" t="s">
        <v>6123</v>
      </c>
      <c r="C6" s="2573" t="s">
        <v>6124</v>
      </c>
      <c r="D6" s="2574"/>
      <c r="E6" s="2575" t="e">
        <f t="shared" ref="E6:E37" si="0">D6/$D$269</f>
        <v>#DIV/0!</v>
      </c>
      <c r="F6" s="2574"/>
      <c r="G6" s="2574">
        <f t="shared" ref="G6:G81" si="1">D6-F6</f>
        <v>0</v>
      </c>
      <c r="H6" s="2574"/>
      <c r="I6" s="2575" t="e">
        <f t="shared" ref="I6:I37" si="2">H6/H$269</f>
        <v>#DIV/0!</v>
      </c>
      <c r="J6" s="2574"/>
      <c r="K6" s="2574">
        <f>D6-H6</f>
        <v>0</v>
      </c>
      <c r="L6" s="2575">
        <f>IF(J6=0,0,K6/J6)</f>
        <v>0</v>
      </c>
      <c r="M6" s="2576"/>
    </row>
    <row r="7" spans="1:13" ht="16.5">
      <c r="A7" s="2572">
        <f t="shared" ref="A7:A70" si="3">A6+1</f>
        <v>2</v>
      </c>
      <c r="B7" s="2822"/>
      <c r="C7" s="2573" t="s">
        <v>6125</v>
      </c>
      <c r="D7" s="2574"/>
      <c r="E7" s="2575" t="e">
        <f t="shared" si="0"/>
        <v>#DIV/0!</v>
      </c>
      <c r="F7" s="2574"/>
      <c r="G7" s="2574">
        <f t="shared" si="1"/>
        <v>0</v>
      </c>
      <c r="H7" s="2574"/>
      <c r="I7" s="2575" t="e">
        <f t="shared" si="2"/>
        <v>#DIV/0!</v>
      </c>
      <c r="J7" s="2574"/>
      <c r="K7" s="2574">
        <f t="shared" ref="K7:K70" si="4">D7-H7</f>
        <v>0</v>
      </c>
      <c r="L7" s="2575">
        <f t="shared" ref="L7:L70" si="5">IF(J7=0,0,K7/J7)</f>
        <v>0</v>
      </c>
      <c r="M7" s="2576"/>
    </row>
    <row r="8" spans="1:13" ht="16.5">
      <c r="A8" s="2572">
        <f t="shared" si="3"/>
        <v>3</v>
      </c>
      <c r="B8" s="2822"/>
      <c r="C8" s="2577" t="s">
        <v>6126</v>
      </c>
      <c r="D8" s="2574">
        <f>SUM(D9:D10)</f>
        <v>0</v>
      </c>
      <c r="E8" s="2575" t="e">
        <f t="shared" si="0"/>
        <v>#DIV/0!</v>
      </c>
      <c r="F8" s="2574">
        <f>SUM(F9:F10)</f>
        <v>0</v>
      </c>
      <c r="G8" s="2574">
        <f t="shared" si="1"/>
        <v>0</v>
      </c>
      <c r="H8" s="2574">
        <f>SUM(H9:H10)</f>
        <v>0</v>
      </c>
      <c r="I8" s="2575" t="e">
        <f t="shared" si="2"/>
        <v>#DIV/0!</v>
      </c>
      <c r="J8" s="2574">
        <f>SUM(J9:J10)</f>
        <v>0</v>
      </c>
      <c r="K8" s="2574">
        <f t="shared" si="4"/>
        <v>0</v>
      </c>
      <c r="L8" s="2575">
        <f t="shared" si="5"/>
        <v>0</v>
      </c>
      <c r="M8" s="2576"/>
    </row>
    <row r="9" spans="1:13" ht="16.5">
      <c r="A9" s="2572">
        <f t="shared" si="3"/>
        <v>4</v>
      </c>
      <c r="B9" s="2822"/>
      <c r="C9" s="2578" t="s">
        <v>6127</v>
      </c>
      <c r="D9" s="2574"/>
      <c r="E9" s="2575" t="e">
        <f t="shared" si="0"/>
        <v>#DIV/0!</v>
      </c>
      <c r="F9" s="2574"/>
      <c r="G9" s="2574">
        <f t="shared" si="1"/>
        <v>0</v>
      </c>
      <c r="H9" s="2574"/>
      <c r="I9" s="2575" t="e">
        <f t="shared" si="2"/>
        <v>#DIV/0!</v>
      </c>
      <c r="J9" s="2574"/>
      <c r="K9" s="2574">
        <f t="shared" si="4"/>
        <v>0</v>
      </c>
      <c r="L9" s="2575">
        <f t="shared" si="5"/>
        <v>0</v>
      </c>
      <c r="M9" s="2576"/>
    </row>
    <row r="10" spans="1:13" ht="16.5">
      <c r="A10" s="2572">
        <f t="shared" si="3"/>
        <v>5</v>
      </c>
      <c r="B10" s="2822"/>
      <c r="C10" s="2578" t="s">
        <v>6128</v>
      </c>
      <c r="D10" s="2574"/>
      <c r="E10" s="2575" t="e">
        <f t="shared" si="0"/>
        <v>#DIV/0!</v>
      </c>
      <c r="F10" s="2574"/>
      <c r="G10" s="2574">
        <f t="shared" si="1"/>
        <v>0</v>
      </c>
      <c r="H10" s="2574"/>
      <c r="I10" s="2575" t="e">
        <f t="shared" si="2"/>
        <v>#DIV/0!</v>
      </c>
      <c r="J10" s="2574"/>
      <c r="K10" s="2574">
        <f t="shared" si="4"/>
        <v>0</v>
      </c>
      <c r="L10" s="2575">
        <f t="shared" si="5"/>
        <v>0</v>
      </c>
      <c r="M10" s="2576"/>
    </row>
    <row r="11" spans="1:13" ht="16.5">
      <c r="A11" s="2572">
        <f t="shared" si="3"/>
        <v>6</v>
      </c>
      <c r="B11" s="2822"/>
      <c r="C11" s="2577" t="s">
        <v>6129</v>
      </c>
      <c r="D11" s="2574">
        <f>D6+D7+D8</f>
        <v>0</v>
      </c>
      <c r="E11" s="2575" t="e">
        <f t="shared" si="0"/>
        <v>#DIV/0!</v>
      </c>
      <c r="F11" s="2574">
        <f>F6+F7+F8</f>
        <v>0</v>
      </c>
      <c r="G11" s="2574">
        <f t="shared" si="1"/>
        <v>0</v>
      </c>
      <c r="H11" s="2574">
        <f>H6+H7+H8</f>
        <v>0</v>
      </c>
      <c r="I11" s="2575" t="e">
        <f t="shared" si="2"/>
        <v>#DIV/0!</v>
      </c>
      <c r="J11" s="2574">
        <f>J6+J7+J8</f>
        <v>0</v>
      </c>
      <c r="K11" s="2574">
        <f t="shared" si="4"/>
        <v>0</v>
      </c>
      <c r="L11" s="2575">
        <f t="shared" si="5"/>
        <v>0</v>
      </c>
      <c r="M11" s="2576"/>
    </row>
    <row r="12" spans="1:13" ht="33">
      <c r="A12" s="2572">
        <f t="shared" si="3"/>
        <v>7</v>
      </c>
      <c r="B12" s="2822" t="s">
        <v>6130</v>
      </c>
      <c r="C12" s="2577" t="s">
        <v>6131</v>
      </c>
      <c r="D12" s="2574"/>
      <c r="E12" s="2575" t="e">
        <f t="shared" si="0"/>
        <v>#DIV/0!</v>
      </c>
      <c r="F12" s="2574"/>
      <c r="G12" s="2574">
        <f t="shared" si="1"/>
        <v>0</v>
      </c>
      <c r="H12" s="2574"/>
      <c r="I12" s="2575" t="e">
        <f t="shared" si="2"/>
        <v>#DIV/0!</v>
      </c>
      <c r="J12" s="2574"/>
      <c r="K12" s="2574">
        <f t="shared" si="4"/>
        <v>0</v>
      </c>
      <c r="L12" s="2575">
        <f t="shared" si="5"/>
        <v>0</v>
      </c>
      <c r="M12" s="2576"/>
    </row>
    <row r="13" spans="1:13" ht="33">
      <c r="A13" s="2572">
        <f t="shared" si="3"/>
        <v>8</v>
      </c>
      <c r="B13" s="2822"/>
      <c r="C13" s="2577" t="s">
        <v>6132</v>
      </c>
      <c r="D13" s="2574">
        <f>D14+D27</f>
        <v>0</v>
      </c>
      <c r="E13" s="2575" t="e">
        <f t="shared" si="0"/>
        <v>#DIV/0!</v>
      </c>
      <c r="F13" s="2574">
        <f>F14+F27</f>
        <v>0</v>
      </c>
      <c r="G13" s="2574">
        <f t="shared" si="1"/>
        <v>0</v>
      </c>
      <c r="H13" s="2574">
        <f>H14+H27</f>
        <v>0</v>
      </c>
      <c r="I13" s="2575" t="e">
        <f t="shared" si="2"/>
        <v>#DIV/0!</v>
      </c>
      <c r="J13" s="2574">
        <f>J14+J27</f>
        <v>0</v>
      </c>
      <c r="K13" s="2574">
        <f t="shared" si="4"/>
        <v>0</v>
      </c>
      <c r="L13" s="2575">
        <f t="shared" si="5"/>
        <v>0</v>
      </c>
      <c r="M13" s="2576"/>
    </row>
    <row r="14" spans="1:13" ht="16.5">
      <c r="A14" s="2572">
        <f t="shared" si="3"/>
        <v>9</v>
      </c>
      <c r="B14" s="2822"/>
      <c r="C14" s="2578" t="s">
        <v>6133</v>
      </c>
      <c r="D14" s="2574">
        <f>SUM(D15:D26)</f>
        <v>0</v>
      </c>
      <c r="E14" s="2575" t="e">
        <f t="shared" si="0"/>
        <v>#DIV/0!</v>
      </c>
      <c r="F14" s="2574">
        <f>SUM(F15:F26)</f>
        <v>0</v>
      </c>
      <c r="G14" s="2574">
        <f t="shared" si="1"/>
        <v>0</v>
      </c>
      <c r="H14" s="2574">
        <f>SUM(H15:H26)</f>
        <v>0</v>
      </c>
      <c r="I14" s="2575" t="e">
        <f t="shared" si="2"/>
        <v>#DIV/0!</v>
      </c>
      <c r="J14" s="2574">
        <f>SUM(J15:J26)</f>
        <v>0</v>
      </c>
      <c r="K14" s="2574">
        <f t="shared" si="4"/>
        <v>0</v>
      </c>
      <c r="L14" s="2575">
        <f t="shared" si="5"/>
        <v>0</v>
      </c>
      <c r="M14" s="2576"/>
    </row>
    <row r="15" spans="1:13" ht="16.5">
      <c r="A15" s="2572">
        <f t="shared" si="3"/>
        <v>10</v>
      </c>
      <c r="B15" s="2822"/>
      <c r="C15" s="2579" t="s">
        <v>6134</v>
      </c>
      <c r="D15" s="2574"/>
      <c r="E15" s="2575" t="e">
        <f t="shared" si="0"/>
        <v>#DIV/0!</v>
      </c>
      <c r="F15" s="2574"/>
      <c r="G15" s="2574">
        <f t="shared" si="1"/>
        <v>0</v>
      </c>
      <c r="H15" s="2574"/>
      <c r="I15" s="2575" t="e">
        <f t="shared" si="2"/>
        <v>#DIV/0!</v>
      </c>
      <c r="J15" s="2574"/>
      <c r="K15" s="2574">
        <f t="shared" si="4"/>
        <v>0</v>
      </c>
      <c r="L15" s="2575">
        <f t="shared" si="5"/>
        <v>0</v>
      </c>
      <c r="M15" s="2576"/>
    </row>
    <row r="16" spans="1:13" ht="16.5">
      <c r="A16" s="2572">
        <f t="shared" si="3"/>
        <v>11</v>
      </c>
      <c r="B16" s="2822"/>
      <c r="C16" s="2579" t="s">
        <v>6135</v>
      </c>
      <c r="D16" s="2574"/>
      <c r="E16" s="2575" t="e">
        <f t="shared" si="0"/>
        <v>#DIV/0!</v>
      </c>
      <c r="F16" s="2574"/>
      <c r="G16" s="2574">
        <f t="shared" si="1"/>
        <v>0</v>
      </c>
      <c r="H16" s="2574"/>
      <c r="I16" s="2575" t="e">
        <f t="shared" si="2"/>
        <v>#DIV/0!</v>
      </c>
      <c r="J16" s="2574"/>
      <c r="K16" s="2574">
        <f t="shared" si="4"/>
        <v>0</v>
      </c>
      <c r="L16" s="2575">
        <f t="shared" si="5"/>
        <v>0</v>
      </c>
      <c r="M16" s="2576"/>
    </row>
    <row r="17" spans="1:13" ht="16.5">
      <c r="A17" s="2572">
        <f t="shared" si="3"/>
        <v>12</v>
      </c>
      <c r="B17" s="2822"/>
      <c r="C17" s="2579" t="s">
        <v>6136</v>
      </c>
      <c r="D17" s="2574"/>
      <c r="E17" s="2575" t="e">
        <f t="shared" si="0"/>
        <v>#DIV/0!</v>
      </c>
      <c r="F17" s="2574"/>
      <c r="G17" s="2574">
        <f t="shared" si="1"/>
        <v>0</v>
      </c>
      <c r="H17" s="2574"/>
      <c r="I17" s="2575" t="e">
        <f t="shared" si="2"/>
        <v>#DIV/0!</v>
      </c>
      <c r="J17" s="2574"/>
      <c r="K17" s="2574">
        <f t="shared" si="4"/>
        <v>0</v>
      </c>
      <c r="L17" s="2575">
        <f t="shared" si="5"/>
        <v>0</v>
      </c>
      <c r="M17" s="2576"/>
    </row>
    <row r="18" spans="1:13" ht="16.5">
      <c r="A18" s="2572">
        <f t="shared" si="3"/>
        <v>13</v>
      </c>
      <c r="B18" s="2822"/>
      <c r="C18" s="2579" t="s">
        <v>6137</v>
      </c>
      <c r="D18" s="2574"/>
      <c r="E18" s="2575" t="e">
        <f t="shared" si="0"/>
        <v>#DIV/0!</v>
      </c>
      <c r="F18" s="2574"/>
      <c r="G18" s="2574">
        <f t="shared" si="1"/>
        <v>0</v>
      </c>
      <c r="H18" s="2574"/>
      <c r="I18" s="2575" t="e">
        <f t="shared" si="2"/>
        <v>#DIV/0!</v>
      </c>
      <c r="J18" s="2574"/>
      <c r="K18" s="2574">
        <f t="shared" si="4"/>
        <v>0</v>
      </c>
      <c r="L18" s="2575">
        <f t="shared" si="5"/>
        <v>0</v>
      </c>
      <c r="M18" s="2576"/>
    </row>
    <row r="19" spans="1:13" ht="16.5">
      <c r="A19" s="2572">
        <f t="shared" si="3"/>
        <v>14</v>
      </c>
      <c r="B19" s="2822"/>
      <c r="C19" s="2579" t="s">
        <v>6138</v>
      </c>
      <c r="D19" s="2574"/>
      <c r="E19" s="2575" t="e">
        <f t="shared" si="0"/>
        <v>#DIV/0!</v>
      </c>
      <c r="F19" s="2574"/>
      <c r="G19" s="2574">
        <f t="shared" si="1"/>
        <v>0</v>
      </c>
      <c r="H19" s="2574"/>
      <c r="I19" s="2575" t="e">
        <f t="shared" si="2"/>
        <v>#DIV/0!</v>
      </c>
      <c r="J19" s="2574"/>
      <c r="K19" s="2574">
        <f t="shared" si="4"/>
        <v>0</v>
      </c>
      <c r="L19" s="2575">
        <f t="shared" si="5"/>
        <v>0</v>
      </c>
      <c r="M19" s="2576"/>
    </row>
    <row r="20" spans="1:13" ht="16.5">
      <c r="A20" s="2572">
        <f t="shared" si="3"/>
        <v>15</v>
      </c>
      <c r="B20" s="2822"/>
      <c r="C20" s="2579" t="s">
        <v>6139</v>
      </c>
      <c r="D20" s="2574"/>
      <c r="E20" s="2575" t="e">
        <f t="shared" si="0"/>
        <v>#DIV/0!</v>
      </c>
      <c r="F20" s="2574"/>
      <c r="G20" s="2574">
        <f t="shared" si="1"/>
        <v>0</v>
      </c>
      <c r="H20" s="2574"/>
      <c r="I20" s="2575" t="e">
        <f t="shared" si="2"/>
        <v>#DIV/0!</v>
      </c>
      <c r="J20" s="2574"/>
      <c r="K20" s="2574">
        <f t="shared" si="4"/>
        <v>0</v>
      </c>
      <c r="L20" s="2575">
        <f t="shared" si="5"/>
        <v>0</v>
      </c>
      <c r="M20" s="2576"/>
    </row>
    <row r="21" spans="1:13" ht="16.5">
      <c r="A21" s="2572">
        <f t="shared" si="3"/>
        <v>16</v>
      </c>
      <c r="B21" s="2822"/>
      <c r="C21" s="2579" t="s">
        <v>6140</v>
      </c>
      <c r="D21" s="2574"/>
      <c r="E21" s="2575" t="e">
        <f t="shared" si="0"/>
        <v>#DIV/0!</v>
      </c>
      <c r="F21" s="2574"/>
      <c r="G21" s="2574">
        <f t="shared" si="1"/>
        <v>0</v>
      </c>
      <c r="H21" s="2574"/>
      <c r="I21" s="2575" t="e">
        <f t="shared" si="2"/>
        <v>#DIV/0!</v>
      </c>
      <c r="J21" s="2574"/>
      <c r="K21" s="2574">
        <f t="shared" si="4"/>
        <v>0</v>
      </c>
      <c r="L21" s="2575">
        <f t="shared" si="5"/>
        <v>0</v>
      </c>
      <c r="M21" s="2576"/>
    </row>
    <row r="22" spans="1:13" ht="16.5">
      <c r="A22" s="2572">
        <f t="shared" si="3"/>
        <v>17</v>
      </c>
      <c r="B22" s="2822"/>
      <c r="C22" s="2579" t="s">
        <v>6141</v>
      </c>
      <c r="D22" s="2574"/>
      <c r="E22" s="2575" t="e">
        <f t="shared" si="0"/>
        <v>#DIV/0!</v>
      </c>
      <c r="F22" s="2574"/>
      <c r="G22" s="2574">
        <f t="shared" si="1"/>
        <v>0</v>
      </c>
      <c r="H22" s="2574"/>
      <c r="I22" s="2575" t="e">
        <f t="shared" si="2"/>
        <v>#DIV/0!</v>
      </c>
      <c r="J22" s="2574"/>
      <c r="K22" s="2574">
        <f t="shared" si="4"/>
        <v>0</v>
      </c>
      <c r="L22" s="2575">
        <f t="shared" si="5"/>
        <v>0</v>
      </c>
      <c r="M22" s="2580"/>
    </row>
    <row r="23" spans="1:13" ht="16.5">
      <c r="A23" s="2572">
        <f t="shared" si="3"/>
        <v>18</v>
      </c>
      <c r="B23" s="2822"/>
      <c r="C23" s="2579" t="s">
        <v>6142</v>
      </c>
      <c r="D23" s="2574"/>
      <c r="E23" s="2575" t="e">
        <f t="shared" si="0"/>
        <v>#DIV/0!</v>
      </c>
      <c r="F23" s="2574"/>
      <c r="G23" s="2574">
        <f t="shared" si="1"/>
        <v>0</v>
      </c>
      <c r="H23" s="2574"/>
      <c r="I23" s="2575" t="e">
        <f t="shared" si="2"/>
        <v>#DIV/0!</v>
      </c>
      <c r="J23" s="2574"/>
      <c r="K23" s="2574">
        <f t="shared" si="4"/>
        <v>0</v>
      </c>
      <c r="L23" s="2575">
        <f t="shared" si="5"/>
        <v>0</v>
      </c>
      <c r="M23" s="2576"/>
    </row>
    <row r="24" spans="1:13" ht="16.5">
      <c r="A24" s="2572">
        <f t="shared" si="3"/>
        <v>19</v>
      </c>
      <c r="B24" s="2822"/>
      <c r="C24" s="2579" t="s">
        <v>6143</v>
      </c>
      <c r="D24" s="2574"/>
      <c r="E24" s="2575" t="e">
        <f t="shared" si="0"/>
        <v>#DIV/0!</v>
      </c>
      <c r="F24" s="2574"/>
      <c r="G24" s="2574">
        <f t="shared" si="1"/>
        <v>0</v>
      </c>
      <c r="H24" s="2574"/>
      <c r="I24" s="2575" t="e">
        <f t="shared" si="2"/>
        <v>#DIV/0!</v>
      </c>
      <c r="J24" s="2574"/>
      <c r="K24" s="2574">
        <f t="shared" si="4"/>
        <v>0</v>
      </c>
      <c r="L24" s="2575">
        <f t="shared" si="5"/>
        <v>0</v>
      </c>
      <c r="M24" s="2576"/>
    </row>
    <row r="25" spans="1:13" ht="16.5">
      <c r="A25" s="2572">
        <f t="shared" si="3"/>
        <v>20</v>
      </c>
      <c r="B25" s="2822"/>
      <c r="C25" s="2579" t="s">
        <v>6144</v>
      </c>
      <c r="D25" s="2574"/>
      <c r="E25" s="2575" t="e">
        <f t="shared" si="0"/>
        <v>#DIV/0!</v>
      </c>
      <c r="F25" s="2574"/>
      <c r="G25" s="2574">
        <f t="shared" si="1"/>
        <v>0</v>
      </c>
      <c r="H25" s="2574"/>
      <c r="I25" s="2575" t="e">
        <f t="shared" si="2"/>
        <v>#DIV/0!</v>
      </c>
      <c r="J25" s="2574"/>
      <c r="K25" s="2574">
        <f t="shared" si="4"/>
        <v>0</v>
      </c>
      <c r="L25" s="2575">
        <f t="shared" si="5"/>
        <v>0</v>
      </c>
      <c r="M25" s="2576"/>
    </row>
    <row r="26" spans="1:13" ht="16.5">
      <c r="A26" s="2572">
        <f t="shared" si="3"/>
        <v>21</v>
      </c>
      <c r="B26" s="2822"/>
      <c r="C26" s="2579" t="s">
        <v>6145</v>
      </c>
      <c r="D26" s="2574"/>
      <c r="E26" s="2575" t="e">
        <f t="shared" si="0"/>
        <v>#DIV/0!</v>
      </c>
      <c r="F26" s="2574"/>
      <c r="G26" s="2574">
        <f t="shared" si="1"/>
        <v>0</v>
      </c>
      <c r="H26" s="2574"/>
      <c r="I26" s="2575" t="e">
        <f t="shared" si="2"/>
        <v>#DIV/0!</v>
      </c>
      <c r="J26" s="2574"/>
      <c r="K26" s="2574">
        <f t="shared" si="4"/>
        <v>0</v>
      </c>
      <c r="L26" s="2575">
        <f t="shared" si="5"/>
        <v>0</v>
      </c>
      <c r="M26" s="2576"/>
    </row>
    <row r="27" spans="1:13" ht="16.5">
      <c r="A27" s="2572">
        <f t="shared" si="3"/>
        <v>22</v>
      </c>
      <c r="B27" s="2822"/>
      <c r="C27" s="2578" t="s">
        <v>6146</v>
      </c>
      <c r="D27" s="2574">
        <f>SUM(D28,D34)</f>
        <v>0</v>
      </c>
      <c r="E27" s="2575" t="e">
        <f t="shared" si="0"/>
        <v>#DIV/0!</v>
      </c>
      <c r="F27" s="2574">
        <f>SUM(F28,F34)</f>
        <v>0</v>
      </c>
      <c r="G27" s="2574">
        <f t="shared" si="1"/>
        <v>0</v>
      </c>
      <c r="H27" s="2574">
        <f>SUM(H28,H34)</f>
        <v>0</v>
      </c>
      <c r="I27" s="2575" t="e">
        <f t="shared" si="2"/>
        <v>#DIV/0!</v>
      </c>
      <c r="J27" s="2574">
        <f>SUM(J28,J34)</f>
        <v>0</v>
      </c>
      <c r="K27" s="2574">
        <f t="shared" si="4"/>
        <v>0</v>
      </c>
      <c r="L27" s="2575">
        <f t="shared" si="5"/>
        <v>0</v>
      </c>
      <c r="M27" s="2576"/>
    </row>
    <row r="28" spans="1:13" ht="16.5">
      <c r="A28" s="2572">
        <f t="shared" si="3"/>
        <v>23</v>
      </c>
      <c r="B28" s="2822"/>
      <c r="C28" s="2579" t="s">
        <v>6147</v>
      </c>
      <c r="D28" s="2574">
        <f>SUM(D29:D33)</f>
        <v>0</v>
      </c>
      <c r="E28" s="2575" t="e">
        <f t="shared" si="0"/>
        <v>#DIV/0!</v>
      </c>
      <c r="F28" s="2574">
        <f>SUM(F29:F33)</f>
        <v>0</v>
      </c>
      <c r="G28" s="2574">
        <f t="shared" si="1"/>
        <v>0</v>
      </c>
      <c r="H28" s="2574">
        <f>SUM(H29:H33)</f>
        <v>0</v>
      </c>
      <c r="I28" s="2575" t="e">
        <f t="shared" si="2"/>
        <v>#DIV/0!</v>
      </c>
      <c r="J28" s="2574">
        <f>SUM(J29:J33)</f>
        <v>0</v>
      </c>
      <c r="K28" s="2574">
        <f t="shared" si="4"/>
        <v>0</v>
      </c>
      <c r="L28" s="2575">
        <f t="shared" si="5"/>
        <v>0</v>
      </c>
      <c r="M28" s="2576"/>
    </row>
    <row r="29" spans="1:13" ht="16.5">
      <c r="A29" s="2572">
        <f t="shared" si="3"/>
        <v>24</v>
      </c>
      <c r="B29" s="2822"/>
      <c r="C29" s="2581" t="s">
        <v>6148</v>
      </c>
      <c r="D29" s="2574"/>
      <c r="E29" s="2575" t="e">
        <f t="shared" si="0"/>
        <v>#DIV/0!</v>
      </c>
      <c r="F29" s="2574"/>
      <c r="G29" s="2574">
        <f t="shared" si="1"/>
        <v>0</v>
      </c>
      <c r="H29" s="2574"/>
      <c r="I29" s="2575" t="e">
        <f t="shared" si="2"/>
        <v>#DIV/0!</v>
      </c>
      <c r="J29" s="2574"/>
      <c r="K29" s="2574">
        <f t="shared" si="4"/>
        <v>0</v>
      </c>
      <c r="L29" s="2575">
        <f t="shared" si="5"/>
        <v>0</v>
      </c>
      <c r="M29" s="2580"/>
    </row>
    <row r="30" spans="1:13" ht="16.5">
      <c r="A30" s="2572">
        <f t="shared" si="3"/>
        <v>25</v>
      </c>
      <c r="B30" s="2822"/>
      <c r="C30" s="2581" t="s">
        <v>6149</v>
      </c>
      <c r="D30" s="2574"/>
      <c r="E30" s="2575" t="e">
        <f t="shared" si="0"/>
        <v>#DIV/0!</v>
      </c>
      <c r="F30" s="2574"/>
      <c r="G30" s="2574">
        <f t="shared" si="1"/>
        <v>0</v>
      </c>
      <c r="H30" s="2574"/>
      <c r="I30" s="2575" t="e">
        <f t="shared" si="2"/>
        <v>#DIV/0!</v>
      </c>
      <c r="J30" s="2574"/>
      <c r="K30" s="2574">
        <f t="shared" si="4"/>
        <v>0</v>
      </c>
      <c r="L30" s="2575">
        <f t="shared" si="5"/>
        <v>0</v>
      </c>
      <c r="M30" s="2576"/>
    </row>
    <row r="31" spans="1:13" ht="16.5">
      <c r="A31" s="2572">
        <f t="shared" si="3"/>
        <v>26</v>
      </c>
      <c r="B31" s="2822"/>
      <c r="C31" s="2581" t="s">
        <v>6150</v>
      </c>
      <c r="D31" s="2574"/>
      <c r="E31" s="2575" t="e">
        <f t="shared" si="0"/>
        <v>#DIV/0!</v>
      </c>
      <c r="F31" s="2574"/>
      <c r="G31" s="2574">
        <f t="shared" si="1"/>
        <v>0</v>
      </c>
      <c r="H31" s="2574"/>
      <c r="I31" s="2575" t="e">
        <f t="shared" si="2"/>
        <v>#DIV/0!</v>
      </c>
      <c r="J31" s="2574"/>
      <c r="K31" s="2574">
        <f t="shared" si="4"/>
        <v>0</v>
      </c>
      <c r="L31" s="2575">
        <f t="shared" si="5"/>
        <v>0</v>
      </c>
      <c r="M31" s="2576"/>
    </row>
    <row r="32" spans="1:13">
      <c r="A32" s="2572">
        <f t="shared" si="3"/>
        <v>27</v>
      </c>
      <c r="B32" s="2822"/>
      <c r="C32" s="2581" t="s">
        <v>1400</v>
      </c>
      <c r="D32" s="2574"/>
      <c r="E32" s="2575" t="e">
        <f t="shared" si="0"/>
        <v>#DIV/0!</v>
      </c>
      <c r="F32" s="2574"/>
      <c r="G32" s="2574">
        <f t="shared" si="1"/>
        <v>0</v>
      </c>
      <c r="H32" s="2574"/>
      <c r="I32" s="2575" t="e">
        <f t="shared" si="2"/>
        <v>#DIV/0!</v>
      </c>
      <c r="J32" s="2574"/>
      <c r="K32" s="2574">
        <f t="shared" si="4"/>
        <v>0</v>
      </c>
      <c r="L32" s="2575">
        <f t="shared" si="5"/>
        <v>0</v>
      </c>
      <c r="M32" s="2576"/>
    </row>
    <row r="33" spans="1:13" ht="16.5">
      <c r="A33" s="2572">
        <f t="shared" si="3"/>
        <v>28</v>
      </c>
      <c r="B33" s="2822"/>
      <c r="C33" s="2581" t="s">
        <v>6151</v>
      </c>
      <c r="D33" s="2574"/>
      <c r="E33" s="2575" t="e">
        <f t="shared" si="0"/>
        <v>#DIV/0!</v>
      </c>
      <c r="F33" s="2574"/>
      <c r="G33" s="2574">
        <f t="shared" si="1"/>
        <v>0</v>
      </c>
      <c r="H33" s="2574"/>
      <c r="I33" s="2575" t="e">
        <f t="shared" si="2"/>
        <v>#DIV/0!</v>
      </c>
      <c r="J33" s="2574"/>
      <c r="K33" s="2574">
        <f t="shared" si="4"/>
        <v>0</v>
      </c>
      <c r="L33" s="2575">
        <f t="shared" si="5"/>
        <v>0</v>
      </c>
      <c r="M33" s="2576"/>
    </row>
    <row r="34" spans="1:13" ht="16.5">
      <c r="A34" s="2572">
        <f t="shared" si="3"/>
        <v>29</v>
      </c>
      <c r="B34" s="2822"/>
      <c r="C34" s="2579" t="s">
        <v>6152</v>
      </c>
      <c r="D34" s="2574">
        <f>SUM(D35:D39)</f>
        <v>0</v>
      </c>
      <c r="E34" s="2575" t="e">
        <f t="shared" si="0"/>
        <v>#DIV/0!</v>
      </c>
      <c r="F34" s="2574">
        <f>SUM(F35:F39)</f>
        <v>0</v>
      </c>
      <c r="G34" s="2574">
        <f t="shared" si="1"/>
        <v>0</v>
      </c>
      <c r="H34" s="2574">
        <f>SUM(H35:H39)</f>
        <v>0</v>
      </c>
      <c r="I34" s="2575" t="e">
        <f t="shared" si="2"/>
        <v>#DIV/0!</v>
      </c>
      <c r="J34" s="2574">
        <f>SUM(J35:J39)</f>
        <v>0</v>
      </c>
      <c r="K34" s="2574">
        <f t="shared" si="4"/>
        <v>0</v>
      </c>
      <c r="L34" s="2575">
        <f t="shared" si="5"/>
        <v>0</v>
      </c>
      <c r="M34" s="2576"/>
    </row>
    <row r="35" spans="1:13" ht="16.5">
      <c r="A35" s="2572">
        <f t="shared" si="3"/>
        <v>30</v>
      </c>
      <c r="B35" s="2822"/>
      <c r="C35" s="2581" t="s">
        <v>6148</v>
      </c>
      <c r="D35" s="2574"/>
      <c r="E35" s="2575" t="e">
        <f t="shared" si="0"/>
        <v>#DIV/0!</v>
      </c>
      <c r="F35" s="2574"/>
      <c r="G35" s="2574">
        <f t="shared" si="1"/>
        <v>0</v>
      </c>
      <c r="H35" s="2574"/>
      <c r="I35" s="2575" t="e">
        <f t="shared" si="2"/>
        <v>#DIV/0!</v>
      </c>
      <c r="J35" s="2574"/>
      <c r="K35" s="2574">
        <f t="shared" si="4"/>
        <v>0</v>
      </c>
      <c r="L35" s="2575">
        <f t="shared" si="5"/>
        <v>0</v>
      </c>
      <c r="M35" s="2580"/>
    </row>
    <row r="36" spans="1:13" ht="16.5">
      <c r="A36" s="2572">
        <f t="shared" si="3"/>
        <v>31</v>
      </c>
      <c r="B36" s="2822"/>
      <c r="C36" s="2581" t="s">
        <v>6149</v>
      </c>
      <c r="D36" s="2574"/>
      <c r="E36" s="2575" t="e">
        <f t="shared" si="0"/>
        <v>#DIV/0!</v>
      </c>
      <c r="F36" s="2574"/>
      <c r="G36" s="2574">
        <f t="shared" si="1"/>
        <v>0</v>
      </c>
      <c r="H36" s="2574"/>
      <c r="I36" s="2575" t="e">
        <f t="shared" si="2"/>
        <v>#DIV/0!</v>
      </c>
      <c r="J36" s="2574"/>
      <c r="K36" s="2574">
        <f t="shared" si="4"/>
        <v>0</v>
      </c>
      <c r="L36" s="2575">
        <f t="shared" si="5"/>
        <v>0</v>
      </c>
      <c r="M36" s="2576"/>
    </row>
    <row r="37" spans="1:13" ht="16.5">
      <c r="A37" s="2572">
        <f t="shared" si="3"/>
        <v>32</v>
      </c>
      <c r="B37" s="2822"/>
      <c r="C37" s="2581" t="s">
        <v>6150</v>
      </c>
      <c r="D37" s="2574"/>
      <c r="E37" s="2575" t="e">
        <f t="shared" si="0"/>
        <v>#DIV/0!</v>
      </c>
      <c r="F37" s="2574"/>
      <c r="G37" s="2574">
        <f t="shared" si="1"/>
        <v>0</v>
      </c>
      <c r="H37" s="2574"/>
      <c r="I37" s="2575" t="e">
        <f t="shared" si="2"/>
        <v>#DIV/0!</v>
      </c>
      <c r="J37" s="2574"/>
      <c r="K37" s="2574">
        <f t="shared" si="4"/>
        <v>0</v>
      </c>
      <c r="L37" s="2575">
        <f t="shared" si="5"/>
        <v>0</v>
      </c>
      <c r="M37" s="2576"/>
    </row>
    <row r="38" spans="1:13">
      <c r="A38" s="2572">
        <f t="shared" si="3"/>
        <v>33</v>
      </c>
      <c r="B38" s="2822"/>
      <c r="C38" s="2581" t="s">
        <v>1400</v>
      </c>
      <c r="D38" s="2574"/>
      <c r="E38" s="2575" t="e">
        <f t="shared" ref="E38:E69" si="6">D38/$D$269</f>
        <v>#DIV/0!</v>
      </c>
      <c r="F38" s="2574"/>
      <c r="G38" s="2574">
        <f t="shared" si="1"/>
        <v>0</v>
      </c>
      <c r="H38" s="2574"/>
      <c r="I38" s="2575" t="e">
        <f t="shared" ref="I38:I69" si="7">H38/H$269</f>
        <v>#DIV/0!</v>
      </c>
      <c r="J38" s="2574"/>
      <c r="K38" s="2574">
        <f t="shared" si="4"/>
        <v>0</v>
      </c>
      <c r="L38" s="2575">
        <f t="shared" si="5"/>
        <v>0</v>
      </c>
      <c r="M38" s="2576"/>
    </row>
    <row r="39" spans="1:13" ht="16.5">
      <c r="A39" s="2572">
        <f t="shared" si="3"/>
        <v>34</v>
      </c>
      <c r="B39" s="2822"/>
      <c r="C39" s="2581" t="s">
        <v>6151</v>
      </c>
      <c r="D39" s="2574"/>
      <c r="E39" s="2575" t="e">
        <f t="shared" si="6"/>
        <v>#DIV/0!</v>
      </c>
      <c r="F39" s="2574"/>
      <c r="G39" s="2574">
        <f t="shared" si="1"/>
        <v>0</v>
      </c>
      <c r="H39" s="2574"/>
      <c r="I39" s="2575" t="e">
        <f t="shared" si="7"/>
        <v>#DIV/0!</v>
      </c>
      <c r="J39" s="2574"/>
      <c r="K39" s="2574">
        <f t="shared" si="4"/>
        <v>0</v>
      </c>
      <c r="L39" s="2575">
        <f t="shared" si="5"/>
        <v>0</v>
      </c>
      <c r="M39" s="2576"/>
    </row>
    <row r="40" spans="1:13" ht="33">
      <c r="A40" s="2572">
        <f t="shared" si="3"/>
        <v>35</v>
      </c>
      <c r="B40" s="2822"/>
      <c r="C40" s="2577" t="s">
        <v>6153</v>
      </c>
      <c r="D40" s="2574">
        <f>D41+D48</f>
        <v>0</v>
      </c>
      <c r="E40" s="2575" t="e">
        <f t="shared" si="6"/>
        <v>#DIV/0!</v>
      </c>
      <c r="F40" s="2574">
        <f>F41+F48</f>
        <v>0</v>
      </c>
      <c r="G40" s="2574">
        <f t="shared" si="1"/>
        <v>0</v>
      </c>
      <c r="H40" s="2574">
        <f>H41+H48</f>
        <v>0</v>
      </c>
      <c r="I40" s="2575" t="e">
        <f t="shared" si="7"/>
        <v>#DIV/0!</v>
      </c>
      <c r="J40" s="2574">
        <f>J41+J48</f>
        <v>0</v>
      </c>
      <c r="K40" s="2574">
        <f t="shared" si="4"/>
        <v>0</v>
      </c>
      <c r="L40" s="2575">
        <f t="shared" si="5"/>
        <v>0</v>
      </c>
      <c r="M40" s="2576"/>
    </row>
    <row r="41" spans="1:13" ht="16.5">
      <c r="A41" s="2572">
        <f t="shared" si="3"/>
        <v>36</v>
      </c>
      <c r="B41" s="2822"/>
      <c r="C41" s="2578" t="s">
        <v>6133</v>
      </c>
      <c r="D41" s="2574">
        <f>D42+D47</f>
        <v>0</v>
      </c>
      <c r="E41" s="2575" t="e">
        <f t="shared" si="6"/>
        <v>#DIV/0!</v>
      </c>
      <c r="F41" s="2574">
        <f>F42+F47</f>
        <v>0</v>
      </c>
      <c r="G41" s="2574">
        <f t="shared" si="1"/>
        <v>0</v>
      </c>
      <c r="H41" s="2574">
        <f>H42+H47</f>
        <v>0</v>
      </c>
      <c r="I41" s="2575" t="e">
        <f t="shared" si="7"/>
        <v>#DIV/0!</v>
      </c>
      <c r="J41" s="2574">
        <f>J42+J47</f>
        <v>0</v>
      </c>
      <c r="K41" s="2574">
        <f t="shared" si="4"/>
        <v>0</v>
      </c>
      <c r="L41" s="2575">
        <f t="shared" si="5"/>
        <v>0</v>
      </c>
      <c r="M41" s="2576"/>
    </row>
    <row r="42" spans="1:13" ht="16.5">
      <c r="A42" s="2572">
        <f t="shared" si="3"/>
        <v>37</v>
      </c>
      <c r="B42" s="2822"/>
      <c r="C42" s="2579" t="s">
        <v>6154</v>
      </c>
      <c r="D42" s="2574">
        <f>D43+D44</f>
        <v>0</v>
      </c>
      <c r="E42" s="2575" t="e">
        <f t="shared" si="6"/>
        <v>#DIV/0!</v>
      </c>
      <c r="F42" s="2574">
        <f>F43+F44</f>
        <v>0</v>
      </c>
      <c r="G42" s="2574">
        <f t="shared" si="1"/>
        <v>0</v>
      </c>
      <c r="H42" s="2574">
        <f>H43+H44</f>
        <v>0</v>
      </c>
      <c r="I42" s="2575" t="e">
        <f t="shared" si="7"/>
        <v>#DIV/0!</v>
      </c>
      <c r="J42" s="2574">
        <f>J43+J44</f>
        <v>0</v>
      </c>
      <c r="K42" s="2574">
        <f t="shared" si="4"/>
        <v>0</v>
      </c>
      <c r="L42" s="2575">
        <f t="shared" si="5"/>
        <v>0</v>
      </c>
      <c r="M42" s="2576"/>
    </row>
    <row r="43" spans="1:13" ht="16.5">
      <c r="A43" s="2572">
        <f t="shared" si="3"/>
        <v>38</v>
      </c>
      <c r="B43" s="2822"/>
      <c r="C43" s="2581" t="s">
        <v>6155</v>
      </c>
      <c r="D43" s="2574"/>
      <c r="E43" s="2575" t="e">
        <f t="shared" si="6"/>
        <v>#DIV/0!</v>
      </c>
      <c r="F43" s="2574"/>
      <c r="G43" s="2574">
        <f t="shared" si="1"/>
        <v>0</v>
      </c>
      <c r="H43" s="2574"/>
      <c r="I43" s="2575" t="e">
        <f t="shared" si="7"/>
        <v>#DIV/0!</v>
      </c>
      <c r="J43" s="2574"/>
      <c r="K43" s="2574">
        <f t="shared" si="4"/>
        <v>0</v>
      </c>
      <c r="L43" s="2575">
        <f t="shared" si="5"/>
        <v>0</v>
      </c>
      <c r="M43" s="2576"/>
    </row>
    <row r="44" spans="1:13" ht="16.5">
      <c r="A44" s="2572">
        <f t="shared" si="3"/>
        <v>39</v>
      </c>
      <c r="B44" s="2822"/>
      <c r="C44" s="2581" t="s">
        <v>6156</v>
      </c>
      <c r="D44" s="2574">
        <f>SUM(D45:D46)</f>
        <v>0</v>
      </c>
      <c r="E44" s="2575" t="e">
        <f t="shared" si="6"/>
        <v>#DIV/0!</v>
      </c>
      <c r="F44" s="2574">
        <f>SUM(F45:F46)</f>
        <v>0</v>
      </c>
      <c r="G44" s="2574">
        <f t="shared" si="1"/>
        <v>0</v>
      </c>
      <c r="H44" s="2574">
        <f>SUM(H45:H46)</f>
        <v>0</v>
      </c>
      <c r="I44" s="2575" t="e">
        <f t="shared" si="7"/>
        <v>#DIV/0!</v>
      </c>
      <c r="J44" s="2574">
        <f>SUM(J45:J46)</f>
        <v>0</v>
      </c>
      <c r="K44" s="2574">
        <f t="shared" si="4"/>
        <v>0</v>
      </c>
      <c r="L44" s="2575">
        <f t="shared" si="5"/>
        <v>0</v>
      </c>
      <c r="M44" s="2576"/>
    </row>
    <row r="45" spans="1:13" ht="16.5">
      <c r="A45" s="2572">
        <f t="shared" si="3"/>
        <v>40</v>
      </c>
      <c r="B45" s="2822"/>
      <c r="C45" s="2582" t="s">
        <v>6157</v>
      </c>
      <c r="D45" s="2574"/>
      <c r="E45" s="2575" t="e">
        <f t="shared" si="6"/>
        <v>#DIV/0!</v>
      </c>
      <c r="F45" s="2574"/>
      <c r="G45" s="2574">
        <f t="shared" si="1"/>
        <v>0</v>
      </c>
      <c r="H45" s="2574"/>
      <c r="I45" s="2575" t="e">
        <f t="shared" si="7"/>
        <v>#DIV/0!</v>
      </c>
      <c r="J45" s="2574"/>
      <c r="K45" s="2574">
        <f t="shared" si="4"/>
        <v>0</v>
      </c>
      <c r="L45" s="2575">
        <f t="shared" si="5"/>
        <v>0</v>
      </c>
      <c r="M45" s="2576"/>
    </row>
    <row r="46" spans="1:13" ht="16.5">
      <c r="A46" s="2572">
        <f t="shared" si="3"/>
        <v>41</v>
      </c>
      <c r="B46" s="2822"/>
      <c r="C46" s="2582" t="s">
        <v>6158</v>
      </c>
      <c r="D46" s="2574"/>
      <c r="E46" s="2575" t="e">
        <f t="shared" si="6"/>
        <v>#DIV/0!</v>
      </c>
      <c r="F46" s="2574"/>
      <c r="G46" s="2574">
        <f t="shared" si="1"/>
        <v>0</v>
      </c>
      <c r="H46" s="2574"/>
      <c r="I46" s="2575" t="e">
        <f t="shared" si="7"/>
        <v>#DIV/0!</v>
      </c>
      <c r="J46" s="2574"/>
      <c r="K46" s="2574">
        <f t="shared" si="4"/>
        <v>0</v>
      </c>
      <c r="L46" s="2575">
        <f t="shared" si="5"/>
        <v>0</v>
      </c>
      <c r="M46" s="2576"/>
    </row>
    <row r="47" spans="1:13" ht="16.5">
      <c r="A47" s="2572">
        <f t="shared" si="3"/>
        <v>42</v>
      </c>
      <c r="B47" s="2822"/>
      <c r="C47" s="2579" t="s">
        <v>6159</v>
      </c>
      <c r="D47" s="2574"/>
      <c r="E47" s="2575" t="e">
        <f t="shared" si="6"/>
        <v>#DIV/0!</v>
      </c>
      <c r="F47" s="2574"/>
      <c r="G47" s="2574">
        <f t="shared" si="1"/>
        <v>0</v>
      </c>
      <c r="H47" s="2574"/>
      <c r="I47" s="2575" t="e">
        <f t="shared" si="7"/>
        <v>#DIV/0!</v>
      </c>
      <c r="J47" s="2574"/>
      <c r="K47" s="2574">
        <f t="shared" si="4"/>
        <v>0</v>
      </c>
      <c r="L47" s="2575">
        <f t="shared" si="5"/>
        <v>0</v>
      </c>
      <c r="M47" s="2576"/>
    </row>
    <row r="48" spans="1:13" ht="16.5">
      <c r="A48" s="2572">
        <f t="shared" si="3"/>
        <v>43</v>
      </c>
      <c r="B48" s="2822"/>
      <c r="C48" s="2578" t="s">
        <v>6160</v>
      </c>
      <c r="D48" s="2574">
        <f>D49+D52</f>
        <v>0</v>
      </c>
      <c r="E48" s="2575" t="e">
        <f t="shared" si="6"/>
        <v>#DIV/0!</v>
      </c>
      <c r="F48" s="2574">
        <f>F49+F52</f>
        <v>0</v>
      </c>
      <c r="G48" s="2574">
        <f t="shared" si="1"/>
        <v>0</v>
      </c>
      <c r="H48" s="2574">
        <f>H49+H52</f>
        <v>0</v>
      </c>
      <c r="I48" s="2575" t="e">
        <f t="shared" si="7"/>
        <v>#DIV/0!</v>
      </c>
      <c r="J48" s="2574">
        <f>J49+J52</f>
        <v>0</v>
      </c>
      <c r="K48" s="2574">
        <f t="shared" si="4"/>
        <v>0</v>
      </c>
      <c r="L48" s="2575">
        <f t="shared" si="5"/>
        <v>0</v>
      </c>
      <c r="M48" s="2576"/>
    </row>
    <row r="49" spans="1:13" ht="16.5">
      <c r="A49" s="2572">
        <f t="shared" si="3"/>
        <v>44</v>
      </c>
      <c r="B49" s="2822"/>
      <c r="C49" s="2579" t="s">
        <v>6154</v>
      </c>
      <c r="D49" s="2574">
        <f>SUM(D50:D51)</f>
        <v>0</v>
      </c>
      <c r="E49" s="2575" t="e">
        <f t="shared" si="6"/>
        <v>#DIV/0!</v>
      </c>
      <c r="F49" s="2574">
        <f>SUM(F50:F51)</f>
        <v>0</v>
      </c>
      <c r="G49" s="2574">
        <f t="shared" si="1"/>
        <v>0</v>
      </c>
      <c r="H49" s="2574">
        <f>SUM(H50:H51)</f>
        <v>0</v>
      </c>
      <c r="I49" s="2575" t="e">
        <f t="shared" si="7"/>
        <v>#DIV/0!</v>
      </c>
      <c r="J49" s="2574">
        <f>SUM(J50:J51)</f>
        <v>0</v>
      </c>
      <c r="K49" s="2574">
        <f t="shared" si="4"/>
        <v>0</v>
      </c>
      <c r="L49" s="2575">
        <f t="shared" si="5"/>
        <v>0</v>
      </c>
      <c r="M49" s="2576"/>
    </row>
    <row r="50" spans="1:13" ht="16.5">
      <c r="A50" s="2572">
        <f t="shared" si="3"/>
        <v>45</v>
      </c>
      <c r="B50" s="2822"/>
      <c r="C50" s="2581" t="s">
        <v>6161</v>
      </c>
      <c r="D50" s="2574"/>
      <c r="E50" s="2575" t="e">
        <f t="shared" si="6"/>
        <v>#DIV/0!</v>
      </c>
      <c r="F50" s="2574"/>
      <c r="G50" s="2574">
        <f t="shared" si="1"/>
        <v>0</v>
      </c>
      <c r="H50" s="2574"/>
      <c r="I50" s="2575" t="e">
        <f t="shared" si="7"/>
        <v>#DIV/0!</v>
      </c>
      <c r="J50" s="2574"/>
      <c r="K50" s="2574">
        <f t="shared" si="4"/>
        <v>0</v>
      </c>
      <c r="L50" s="2575">
        <f t="shared" si="5"/>
        <v>0</v>
      </c>
      <c r="M50" s="2576"/>
    </row>
    <row r="51" spans="1:13" ht="16.5">
      <c r="A51" s="2572">
        <f t="shared" si="3"/>
        <v>46</v>
      </c>
      <c r="B51" s="2822"/>
      <c r="C51" s="2581" t="s">
        <v>6162</v>
      </c>
      <c r="D51" s="2574"/>
      <c r="E51" s="2575" t="e">
        <f t="shared" si="6"/>
        <v>#DIV/0!</v>
      </c>
      <c r="F51" s="2574"/>
      <c r="G51" s="2574">
        <f t="shared" si="1"/>
        <v>0</v>
      </c>
      <c r="H51" s="2574"/>
      <c r="I51" s="2575" t="e">
        <f t="shared" si="7"/>
        <v>#DIV/0!</v>
      </c>
      <c r="J51" s="2574"/>
      <c r="K51" s="2574">
        <f t="shared" si="4"/>
        <v>0</v>
      </c>
      <c r="L51" s="2575">
        <f t="shared" si="5"/>
        <v>0</v>
      </c>
      <c r="M51" s="2576"/>
    </row>
    <row r="52" spans="1:13" ht="16.5">
      <c r="A52" s="2572">
        <f t="shared" si="3"/>
        <v>47</v>
      </c>
      <c r="B52" s="2822"/>
      <c r="C52" s="2579" t="s">
        <v>6159</v>
      </c>
      <c r="D52" s="2574">
        <f>SUM(D53:D54)</f>
        <v>0</v>
      </c>
      <c r="E52" s="2575" t="e">
        <f t="shared" si="6"/>
        <v>#DIV/0!</v>
      </c>
      <c r="F52" s="2574">
        <f>SUM(F53:F54)</f>
        <v>0</v>
      </c>
      <c r="G52" s="2574">
        <f t="shared" si="1"/>
        <v>0</v>
      </c>
      <c r="H52" s="2574">
        <f>SUM(H53:H54)</f>
        <v>0</v>
      </c>
      <c r="I52" s="2575" t="e">
        <f t="shared" si="7"/>
        <v>#DIV/0!</v>
      </c>
      <c r="J52" s="2574">
        <f>SUM(J53:J54)</f>
        <v>0</v>
      </c>
      <c r="K52" s="2574">
        <f t="shared" si="4"/>
        <v>0</v>
      </c>
      <c r="L52" s="2575">
        <f t="shared" si="5"/>
        <v>0</v>
      </c>
      <c r="M52" s="2576"/>
    </row>
    <row r="53" spans="1:13" ht="16.5">
      <c r="A53" s="2572">
        <f t="shared" si="3"/>
        <v>48</v>
      </c>
      <c r="B53" s="2822"/>
      <c r="C53" s="2581" t="s">
        <v>6161</v>
      </c>
      <c r="D53" s="2574"/>
      <c r="E53" s="2575" t="e">
        <f t="shared" si="6"/>
        <v>#DIV/0!</v>
      </c>
      <c r="F53" s="2574"/>
      <c r="G53" s="2574">
        <f t="shared" si="1"/>
        <v>0</v>
      </c>
      <c r="H53" s="2574"/>
      <c r="I53" s="2575" t="e">
        <f t="shared" si="7"/>
        <v>#DIV/0!</v>
      </c>
      <c r="J53" s="2574"/>
      <c r="K53" s="2574">
        <f t="shared" si="4"/>
        <v>0</v>
      </c>
      <c r="L53" s="2575">
        <f t="shared" si="5"/>
        <v>0</v>
      </c>
      <c r="M53" s="2576"/>
    </row>
    <row r="54" spans="1:13" ht="16.5">
      <c r="A54" s="2572">
        <f t="shared" si="3"/>
        <v>49</v>
      </c>
      <c r="B54" s="2822"/>
      <c r="C54" s="2581" t="s">
        <v>6162</v>
      </c>
      <c r="D54" s="2574"/>
      <c r="E54" s="2575" t="e">
        <f t="shared" si="6"/>
        <v>#DIV/0!</v>
      </c>
      <c r="F54" s="2574"/>
      <c r="G54" s="2574">
        <f t="shared" si="1"/>
        <v>0</v>
      </c>
      <c r="H54" s="2574"/>
      <c r="I54" s="2575" t="e">
        <f t="shared" si="7"/>
        <v>#DIV/0!</v>
      </c>
      <c r="J54" s="2574"/>
      <c r="K54" s="2574">
        <f t="shared" si="4"/>
        <v>0</v>
      </c>
      <c r="L54" s="2575">
        <f t="shared" si="5"/>
        <v>0</v>
      </c>
      <c r="M54" s="2576"/>
    </row>
    <row r="55" spans="1:13" ht="16.5">
      <c r="A55" s="2572">
        <f t="shared" si="3"/>
        <v>50</v>
      </c>
      <c r="B55" s="2822"/>
      <c r="C55" s="2573" t="s">
        <v>6163</v>
      </c>
      <c r="D55" s="2574">
        <f>D56+D64</f>
        <v>0</v>
      </c>
      <c r="E55" s="2575" t="e">
        <f t="shared" si="6"/>
        <v>#DIV/0!</v>
      </c>
      <c r="F55" s="2574">
        <f>F56+F64</f>
        <v>0</v>
      </c>
      <c r="G55" s="2574">
        <f t="shared" si="1"/>
        <v>0</v>
      </c>
      <c r="H55" s="2574">
        <f>H56+H64</f>
        <v>0</v>
      </c>
      <c r="I55" s="2575" t="e">
        <f t="shared" si="7"/>
        <v>#DIV/0!</v>
      </c>
      <c r="J55" s="2574">
        <f>J56+J64</f>
        <v>0</v>
      </c>
      <c r="K55" s="2574">
        <f t="shared" si="4"/>
        <v>0</v>
      </c>
      <c r="L55" s="2575">
        <f t="shared" si="5"/>
        <v>0</v>
      </c>
      <c r="M55" s="2576"/>
    </row>
    <row r="56" spans="1:13" ht="16.5">
      <c r="A56" s="2572">
        <f t="shared" si="3"/>
        <v>51</v>
      </c>
      <c r="B56" s="2822"/>
      <c r="C56" s="2578" t="s">
        <v>6164</v>
      </c>
      <c r="D56" s="2574">
        <f>SUM(D57:D63)</f>
        <v>0</v>
      </c>
      <c r="E56" s="2575" t="e">
        <f t="shared" si="6"/>
        <v>#DIV/0!</v>
      </c>
      <c r="F56" s="2574">
        <f>SUM(F57:F63)</f>
        <v>0</v>
      </c>
      <c r="G56" s="2574">
        <f t="shared" si="1"/>
        <v>0</v>
      </c>
      <c r="H56" s="2574">
        <f>SUM(H57:H63)</f>
        <v>0</v>
      </c>
      <c r="I56" s="2575" t="e">
        <f t="shared" si="7"/>
        <v>#DIV/0!</v>
      </c>
      <c r="J56" s="2574">
        <f>SUM(J57:J63)</f>
        <v>0</v>
      </c>
      <c r="K56" s="2574">
        <f t="shared" si="4"/>
        <v>0</v>
      </c>
      <c r="L56" s="2575">
        <f t="shared" si="5"/>
        <v>0</v>
      </c>
      <c r="M56" s="2576"/>
    </row>
    <row r="57" spans="1:13" ht="16.5">
      <c r="A57" s="2572">
        <f t="shared" si="3"/>
        <v>52</v>
      </c>
      <c r="B57" s="2822"/>
      <c r="C57" s="2579" t="s">
        <v>6165</v>
      </c>
      <c r="D57" s="2574"/>
      <c r="E57" s="2575" t="e">
        <f t="shared" si="6"/>
        <v>#DIV/0!</v>
      </c>
      <c r="F57" s="2574"/>
      <c r="G57" s="2574">
        <f t="shared" si="1"/>
        <v>0</v>
      </c>
      <c r="H57" s="2574"/>
      <c r="I57" s="2575" t="e">
        <f t="shared" si="7"/>
        <v>#DIV/0!</v>
      </c>
      <c r="J57" s="2574"/>
      <c r="K57" s="2574">
        <f t="shared" si="4"/>
        <v>0</v>
      </c>
      <c r="L57" s="2575">
        <f t="shared" si="5"/>
        <v>0</v>
      </c>
      <c r="M57" s="2580"/>
    </row>
    <row r="58" spans="1:13" ht="16.5">
      <c r="A58" s="2572">
        <f t="shared" si="3"/>
        <v>53</v>
      </c>
      <c r="B58" s="2822"/>
      <c r="C58" s="2579" t="s">
        <v>6166</v>
      </c>
      <c r="D58" s="2574"/>
      <c r="E58" s="2575" t="e">
        <f t="shared" si="6"/>
        <v>#DIV/0!</v>
      </c>
      <c r="F58" s="2574"/>
      <c r="G58" s="2574">
        <f t="shared" si="1"/>
        <v>0</v>
      </c>
      <c r="H58" s="2574"/>
      <c r="I58" s="2575" t="e">
        <f t="shared" si="7"/>
        <v>#DIV/0!</v>
      </c>
      <c r="J58" s="2574"/>
      <c r="K58" s="2574">
        <f t="shared" si="4"/>
        <v>0</v>
      </c>
      <c r="L58" s="2575">
        <f t="shared" si="5"/>
        <v>0</v>
      </c>
      <c r="M58" s="2576"/>
    </row>
    <row r="59" spans="1:13" ht="16.5">
      <c r="A59" s="2572">
        <f t="shared" si="3"/>
        <v>54</v>
      </c>
      <c r="B59" s="2822"/>
      <c r="C59" s="2579" t="s">
        <v>6167</v>
      </c>
      <c r="D59" s="2574"/>
      <c r="E59" s="2575" t="e">
        <f t="shared" si="6"/>
        <v>#DIV/0!</v>
      </c>
      <c r="F59" s="2574"/>
      <c r="G59" s="2574">
        <f t="shared" si="1"/>
        <v>0</v>
      </c>
      <c r="H59" s="2574"/>
      <c r="I59" s="2575" t="e">
        <f t="shared" si="7"/>
        <v>#DIV/0!</v>
      </c>
      <c r="J59" s="2574"/>
      <c r="K59" s="2574">
        <f t="shared" si="4"/>
        <v>0</v>
      </c>
      <c r="L59" s="2575">
        <f t="shared" si="5"/>
        <v>0</v>
      </c>
      <c r="M59" s="2580"/>
    </row>
    <row r="60" spans="1:13" ht="16.5">
      <c r="A60" s="2572">
        <f t="shared" si="3"/>
        <v>55</v>
      </c>
      <c r="B60" s="2822"/>
      <c r="C60" s="2579" t="s">
        <v>6168</v>
      </c>
      <c r="D60" s="2574"/>
      <c r="E60" s="2575" t="e">
        <f t="shared" si="6"/>
        <v>#DIV/0!</v>
      </c>
      <c r="F60" s="2574"/>
      <c r="G60" s="2574">
        <f t="shared" si="1"/>
        <v>0</v>
      </c>
      <c r="H60" s="2574"/>
      <c r="I60" s="2575" t="e">
        <f t="shared" si="7"/>
        <v>#DIV/0!</v>
      </c>
      <c r="J60" s="2574"/>
      <c r="K60" s="2574">
        <f t="shared" si="4"/>
        <v>0</v>
      </c>
      <c r="L60" s="2575">
        <f t="shared" si="5"/>
        <v>0</v>
      </c>
      <c r="M60" s="2576"/>
    </row>
    <row r="61" spans="1:13" ht="16.5">
      <c r="A61" s="2572">
        <f t="shared" si="3"/>
        <v>56</v>
      </c>
      <c r="B61" s="2822"/>
      <c r="C61" s="2579" t="s">
        <v>6169</v>
      </c>
      <c r="D61" s="2574"/>
      <c r="E61" s="2575" t="e">
        <f t="shared" si="6"/>
        <v>#DIV/0!</v>
      </c>
      <c r="F61" s="2574"/>
      <c r="G61" s="2574">
        <f t="shared" si="1"/>
        <v>0</v>
      </c>
      <c r="H61" s="2574"/>
      <c r="I61" s="2575" t="e">
        <f t="shared" si="7"/>
        <v>#DIV/0!</v>
      </c>
      <c r="J61" s="2574"/>
      <c r="K61" s="2574">
        <f t="shared" si="4"/>
        <v>0</v>
      </c>
      <c r="L61" s="2575">
        <f t="shared" si="5"/>
        <v>0</v>
      </c>
      <c r="M61" s="2576"/>
    </row>
    <row r="62" spans="1:13" ht="16.5">
      <c r="A62" s="2572">
        <f t="shared" si="3"/>
        <v>57</v>
      </c>
      <c r="B62" s="2822"/>
      <c r="C62" s="2579" t="s">
        <v>6170</v>
      </c>
      <c r="D62" s="2574"/>
      <c r="E62" s="2575" t="e">
        <f t="shared" si="6"/>
        <v>#DIV/0!</v>
      </c>
      <c r="F62" s="2574"/>
      <c r="G62" s="2574">
        <f t="shared" si="1"/>
        <v>0</v>
      </c>
      <c r="H62" s="2574"/>
      <c r="I62" s="2575" t="e">
        <f t="shared" si="7"/>
        <v>#DIV/0!</v>
      </c>
      <c r="J62" s="2574"/>
      <c r="K62" s="2574">
        <f t="shared" si="4"/>
        <v>0</v>
      </c>
      <c r="L62" s="2575">
        <f t="shared" si="5"/>
        <v>0</v>
      </c>
      <c r="M62" s="2576"/>
    </row>
    <row r="63" spans="1:13" ht="16.5">
      <c r="A63" s="2572">
        <f t="shared" si="3"/>
        <v>58</v>
      </c>
      <c r="B63" s="2822"/>
      <c r="C63" s="2579" t="s">
        <v>6171</v>
      </c>
      <c r="D63" s="2574"/>
      <c r="E63" s="2575" t="e">
        <f t="shared" si="6"/>
        <v>#DIV/0!</v>
      </c>
      <c r="F63" s="2574"/>
      <c r="G63" s="2574">
        <f t="shared" si="1"/>
        <v>0</v>
      </c>
      <c r="H63" s="2574"/>
      <c r="I63" s="2575" t="e">
        <f t="shared" si="7"/>
        <v>#DIV/0!</v>
      </c>
      <c r="J63" s="2574"/>
      <c r="K63" s="2574">
        <f t="shared" si="4"/>
        <v>0</v>
      </c>
      <c r="L63" s="2575">
        <f t="shared" si="5"/>
        <v>0</v>
      </c>
      <c r="M63" s="2576"/>
    </row>
    <row r="64" spans="1:13" ht="16.5">
      <c r="A64" s="2572">
        <f t="shared" si="3"/>
        <v>59</v>
      </c>
      <c r="B64" s="2822"/>
      <c r="C64" s="2578" t="s">
        <v>6172</v>
      </c>
      <c r="D64" s="2574">
        <f>D65+D73</f>
        <v>0</v>
      </c>
      <c r="E64" s="2575" t="e">
        <f t="shared" si="6"/>
        <v>#DIV/0!</v>
      </c>
      <c r="F64" s="2574">
        <f>F65+F73</f>
        <v>0</v>
      </c>
      <c r="G64" s="2574">
        <f t="shared" si="1"/>
        <v>0</v>
      </c>
      <c r="H64" s="2574">
        <f>H65+H73</f>
        <v>0</v>
      </c>
      <c r="I64" s="2575" t="e">
        <f t="shared" si="7"/>
        <v>#DIV/0!</v>
      </c>
      <c r="J64" s="2574">
        <f>J65+J73</f>
        <v>0</v>
      </c>
      <c r="K64" s="2574">
        <f t="shared" si="4"/>
        <v>0</v>
      </c>
      <c r="L64" s="2575">
        <f t="shared" si="5"/>
        <v>0</v>
      </c>
      <c r="M64" s="2576"/>
    </row>
    <row r="65" spans="1:13" ht="16.5">
      <c r="A65" s="2572">
        <f t="shared" si="3"/>
        <v>60</v>
      </c>
      <c r="B65" s="2822"/>
      <c r="C65" s="2579" t="s">
        <v>6173</v>
      </c>
      <c r="D65" s="2574">
        <f>SUM(D66:D72)</f>
        <v>0</v>
      </c>
      <c r="E65" s="2575" t="e">
        <f t="shared" si="6"/>
        <v>#DIV/0!</v>
      </c>
      <c r="F65" s="2574">
        <f>SUM(F66:F72)</f>
        <v>0</v>
      </c>
      <c r="G65" s="2574">
        <f t="shared" si="1"/>
        <v>0</v>
      </c>
      <c r="H65" s="2574">
        <f>SUM(H66:H72)</f>
        <v>0</v>
      </c>
      <c r="I65" s="2575" t="e">
        <f t="shared" si="7"/>
        <v>#DIV/0!</v>
      </c>
      <c r="J65" s="2574">
        <f>SUM(J66:J72)</f>
        <v>0</v>
      </c>
      <c r="K65" s="2574">
        <f t="shared" si="4"/>
        <v>0</v>
      </c>
      <c r="L65" s="2575">
        <f t="shared" si="5"/>
        <v>0</v>
      </c>
      <c r="M65" s="2576"/>
    </row>
    <row r="66" spans="1:13" ht="16.5">
      <c r="A66" s="2572">
        <f t="shared" si="3"/>
        <v>61</v>
      </c>
      <c r="B66" s="2822"/>
      <c r="C66" s="2581" t="s">
        <v>6174</v>
      </c>
      <c r="D66" s="2574"/>
      <c r="E66" s="2575" t="e">
        <f t="shared" si="6"/>
        <v>#DIV/0!</v>
      </c>
      <c r="F66" s="2574"/>
      <c r="G66" s="2574">
        <f t="shared" si="1"/>
        <v>0</v>
      </c>
      <c r="H66" s="2574"/>
      <c r="I66" s="2575" t="e">
        <f t="shared" si="7"/>
        <v>#DIV/0!</v>
      </c>
      <c r="J66" s="2574"/>
      <c r="K66" s="2574">
        <f t="shared" si="4"/>
        <v>0</v>
      </c>
      <c r="L66" s="2575">
        <f t="shared" si="5"/>
        <v>0</v>
      </c>
      <c r="M66" s="2580"/>
    </row>
    <row r="67" spans="1:13" ht="16.5">
      <c r="A67" s="2572">
        <f t="shared" si="3"/>
        <v>62</v>
      </c>
      <c r="B67" s="2822"/>
      <c r="C67" s="2581" t="s">
        <v>6175</v>
      </c>
      <c r="D67" s="2574"/>
      <c r="E67" s="2575" t="e">
        <f t="shared" si="6"/>
        <v>#DIV/0!</v>
      </c>
      <c r="F67" s="2574"/>
      <c r="G67" s="2574">
        <f t="shared" si="1"/>
        <v>0</v>
      </c>
      <c r="H67" s="2574"/>
      <c r="I67" s="2575" t="e">
        <f t="shared" si="7"/>
        <v>#DIV/0!</v>
      </c>
      <c r="J67" s="2574"/>
      <c r="K67" s="2574">
        <f t="shared" si="4"/>
        <v>0</v>
      </c>
      <c r="L67" s="2575">
        <f t="shared" si="5"/>
        <v>0</v>
      </c>
      <c r="M67" s="2576"/>
    </row>
    <row r="68" spans="1:13" ht="16.5">
      <c r="A68" s="2572">
        <f t="shared" si="3"/>
        <v>63</v>
      </c>
      <c r="B68" s="2822"/>
      <c r="C68" s="2581" t="s">
        <v>6176</v>
      </c>
      <c r="D68" s="2574"/>
      <c r="E68" s="2575" t="e">
        <f t="shared" si="6"/>
        <v>#DIV/0!</v>
      </c>
      <c r="F68" s="2574"/>
      <c r="G68" s="2574">
        <f t="shared" si="1"/>
        <v>0</v>
      </c>
      <c r="H68" s="2574"/>
      <c r="I68" s="2575" t="e">
        <f t="shared" si="7"/>
        <v>#DIV/0!</v>
      </c>
      <c r="J68" s="2574"/>
      <c r="K68" s="2574">
        <f t="shared" si="4"/>
        <v>0</v>
      </c>
      <c r="L68" s="2575">
        <f t="shared" si="5"/>
        <v>0</v>
      </c>
      <c r="M68" s="2580"/>
    </row>
    <row r="69" spans="1:13" ht="16.5">
      <c r="A69" s="2572">
        <f t="shared" si="3"/>
        <v>64</v>
      </c>
      <c r="B69" s="2822"/>
      <c r="C69" s="2581" t="s">
        <v>6177</v>
      </c>
      <c r="D69" s="2574"/>
      <c r="E69" s="2575" t="e">
        <f t="shared" si="6"/>
        <v>#DIV/0!</v>
      </c>
      <c r="F69" s="2574"/>
      <c r="G69" s="2574">
        <f t="shared" si="1"/>
        <v>0</v>
      </c>
      <c r="H69" s="2574"/>
      <c r="I69" s="2575" t="e">
        <f t="shared" si="7"/>
        <v>#DIV/0!</v>
      </c>
      <c r="J69" s="2574"/>
      <c r="K69" s="2574">
        <f t="shared" si="4"/>
        <v>0</v>
      </c>
      <c r="L69" s="2575">
        <f t="shared" si="5"/>
        <v>0</v>
      </c>
      <c r="M69" s="2576"/>
    </row>
    <row r="70" spans="1:13" ht="16.5">
      <c r="A70" s="2572">
        <f t="shared" si="3"/>
        <v>65</v>
      </c>
      <c r="B70" s="2822"/>
      <c r="C70" s="2581" t="s">
        <v>6178</v>
      </c>
      <c r="D70" s="2574"/>
      <c r="E70" s="2575" t="e">
        <f t="shared" ref="E70:E101" si="8">D70/$D$269</f>
        <v>#DIV/0!</v>
      </c>
      <c r="F70" s="2574"/>
      <c r="G70" s="2574">
        <f t="shared" si="1"/>
        <v>0</v>
      </c>
      <c r="H70" s="2574"/>
      <c r="I70" s="2575" t="e">
        <f t="shared" ref="I70:I101" si="9">H70/H$269</f>
        <v>#DIV/0!</v>
      </c>
      <c r="J70" s="2574"/>
      <c r="K70" s="2574">
        <f t="shared" si="4"/>
        <v>0</v>
      </c>
      <c r="L70" s="2575">
        <f t="shared" si="5"/>
        <v>0</v>
      </c>
      <c r="M70" s="2576"/>
    </row>
    <row r="71" spans="1:13" ht="16.5">
      <c r="A71" s="2572">
        <f t="shared" ref="A71:A134" si="10">A70+1</f>
        <v>66</v>
      </c>
      <c r="B71" s="2822"/>
      <c r="C71" s="2581" t="s">
        <v>6179</v>
      </c>
      <c r="D71" s="2574"/>
      <c r="E71" s="2575" t="e">
        <f t="shared" si="8"/>
        <v>#DIV/0!</v>
      </c>
      <c r="F71" s="2574"/>
      <c r="G71" s="2574">
        <f t="shared" si="1"/>
        <v>0</v>
      </c>
      <c r="H71" s="2574"/>
      <c r="I71" s="2575" t="e">
        <f t="shared" si="9"/>
        <v>#DIV/0!</v>
      </c>
      <c r="J71" s="2574"/>
      <c r="K71" s="2574">
        <f t="shared" ref="K71:K134" si="11">D71-H71</f>
        <v>0</v>
      </c>
      <c r="L71" s="2575">
        <f t="shared" ref="L71:L134" si="12">IF(J71=0,0,K71/J71)</f>
        <v>0</v>
      </c>
      <c r="M71" s="2576"/>
    </row>
    <row r="72" spans="1:13" ht="16.5">
      <c r="A72" s="2572">
        <f t="shared" si="10"/>
        <v>67</v>
      </c>
      <c r="B72" s="2822"/>
      <c r="C72" s="2581" t="s">
        <v>6180</v>
      </c>
      <c r="D72" s="2574"/>
      <c r="E72" s="2575" t="e">
        <f t="shared" si="8"/>
        <v>#DIV/0!</v>
      </c>
      <c r="F72" s="2574"/>
      <c r="G72" s="2574">
        <f t="shared" si="1"/>
        <v>0</v>
      </c>
      <c r="H72" s="2574"/>
      <c r="I72" s="2575" t="e">
        <f t="shared" si="9"/>
        <v>#DIV/0!</v>
      </c>
      <c r="J72" s="2574"/>
      <c r="K72" s="2574">
        <f t="shared" si="11"/>
        <v>0</v>
      </c>
      <c r="L72" s="2575">
        <f t="shared" si="12"/>
        <v>0</v>
      </c>
      <c r="M72" s="2576"/>
    </row>
    <row r="73" spans="1:13" ht="16.5">
      <c r="A73" s="2572">
        <f t="shared" si="10"/>
        <v>68</v>
      </c>
      <c r="B73" s="2822"/>
      <c r="C73" s="2579" t="s">
        <v>6181</v>
      </c>
      <c r="D73" s="2574">
        <f>SUM(D74:D80)</f>
        <v>0</v>
      </c>
      <c r="E73" s="2575" t="e">
        <f t="shared" si="8"/>
        <v>#DIV/0!</v>
      </c>
      <c r="F73" s="2574">
        <f>SUM(F74:F80)</f>
        <v>0</v>
      </c>
      <c r="G73" s="2574">
        <f t="shared" si="1"/>
        <v>0</v>
      </c>
      <c r="H73" s="2574">
        <f>SUM(H74:H80)</f>
        <v>0</v>
      </c>
      <c r="I73" s="2575" t="e">
        <f t="shared" si="9"/>
        <v>#DIV/0!</v>
      </c>
      <c r="J73" s="2574">
        <f>SUM(J74:J80)</f>
        <v>0</v>
      </c>
      <c r="K73" s="2574">
        <f t="shared" si="11"/>
        <v>0</v>
      </c>
      <c r="L73" s="2575">
        <f t="shared" si="12"/>
        <v>0</v>
      </c>
      <c r="M73" s="2576"/>
    </row>
    <row r="74" spans="1:13" ht="16.5">
      <c r="A74" s="2572">
        <f t="shared" si="10"/>
        <v>69</v>
      </c>
      <c r="B74" s="2822"/>
      <c r="C74" s="2581" t="s">
        <v>6174</v>
      </c>
      <c r="D74" s="2574"/>
      <c r="E74" s="2575" t="e">
        <f t="shared" si="8"/>
        <v>#DIV/0!</v>
      </c>
      <c r="F74" s="2574"/>
      <c r="G74" s="2574">
        <f t="shared" si="1"/>
        <v>0</v>
      </c>
      <c r="H74" s="2574"/>
      <c r="I74" s="2575" t="e">
        <f t="shared" si="9"/>
        <v>#DIV/0!</v>
      </c>
      <c r="J74" s="2574"/>
      <c r="K74" s="2574">
        <f t="shared" si="11"/>
        <v>0</v>
      </c>
      <c r="L74" s="2575">
        <f t="shared" si="12"/>
        <v>0</v>
      </c>
      <c r="M74" s="2580"/>
    </row>
    <row r="75" spans="1:13" ht="16.5">
      <c r="A75" s="2572">
        <f t="shared" si="10"/>
        <v>70</v>
      </c>
      <c r="B75" s="2822"/>
      <c r="C75" s="2581" t="s">
        <v>6175</v>
      </c>
      <c r="D75" s="2574"/>
      <c r="E75" s="2575" t="e">
        <f t="shared" si="8"/>
        <v>#DIV/0!</v>
      </c>
      <c r="F75" s="2574"/>
      <c r="G75" s="2574">
        <f t="shared" si="1"/>
        <v>0</v>
      </c>
      <c r="H75" s="2574"/>
      <c r="I75" s="2575" t="e">
        <f t="shared" si="9"/>
        <v>#DIV/0!</v>
      </c>
      <c r="J75" s="2574"/>
      <c r="K75" s="2574">
        <f t="shared" si="11"/>
        <v>0</v>
      </c>
      <c r="L75" s="2575">
        <f t="shared" si="12"/>
        <v>0</v>
      </c>
      <c r="M75" s="2576"/>
    </row>
    <row r="76" spans="1:13" ht="16.5">
      <c r="A76" s="2572">
        <f t="shared" si="10"/>
        <v>71</v>
      </c>
      <c r="B76" s="2822"/>
      <c r="C76" s="2581" t="s">
        <v>6176</v>
      </c>
      <c r="D76" s="2574"/>
      <c r="E76" s="2575" t="e">
        <f t="shared" si="8"/>
        <v>#DIV/0!</v>
      </c>
      <c r="F76" s="2574"/>
      <c r="G76" s="2574">
        <f t="shared" si="1"/>
        <v>0</v>
      </c>
      <c r="H76" s="2574"/>
      <c r="I76" s="2575" t="e">
        <f t="shared" si="9"/>
        <v>#DIV/0!</v>
      </c>
      <c r="J76" s="2574"/>
      <c r="K76" s="2574">
        <f t="shared" si="11"/>
        <v>0</v>
      </c>
      <c r="L76" s="2575">
        <f t="shared" si="12"/>
        <v>0</v>
      </c>
      <c r="M76" s="2580"/>
    </row>
    <row r="77" spans="1:13" ht="16.5">
      <c r="A77" s="2572">
        <f t="shared" si="10"/>
        <v>72</v>
      </c>
      <c r="B77" s="2822"/>
      <c r="C77" s="2581" t="s">
        <v>6177</v>
      </c>
      <c r="D77" s="2574"/>
      <c r="E77" s="2575" t="e">
        <f t="shared" si="8"/>
        <v>#DIV/0!</v>
      </c>
      <c r="F77" s="2574"/>
      <c r="G77" s="2574">
        <f t="shared" si="1"/>
        <v>0</v>
      </c>
      <c r="H77" s="2574"/>
      <c r="I77" s="2575" t="e">
        <f t="shared" si="9"/>
        <v>#DIV/0!</v>
      </c>
      <c r="J77" s="2574"/>
      <c r="K77" s="2574">
        <f t="shared" si="11"/>
        <v>0</v>
      </c>
      <c r="L77" s="2575">
        <f t="shared" si="12"/>
        <v>0</v>
      </c>
      <c r="M77" s="2576"/>
    </row>
    <row r="78" spans="1:13" ht="16.5">
      <c r="A78" s="2572">
        <f t="shared" si="10"/>
        <v>73</v>
      </c>
      <c r="B78" s="2822"/>
      <c r="C78" s="2581" t="s">
        <v>6178</v>
      </c>
      <c r="D78" s="2574"/>
      <c r="E78" s="2575" t="e">
        <f t="shared" si="8"/>
        <v>#DIV/0!</v>
      </c>
      <c r="F78" s="2574"/>
      <c r="G78" s="2574">
        <f t="shared" si="1"/>
        <v>0</v>
      </c>
      <c r="H78" s="2574"/>
      <c r="I78" s="2575" t="e">
        <f t="shared" si="9"/>
        <v>#DIV/0!</v>
      </c>
      <c r="J78" s="2574"/>
      <c r="K78" s="2574">
        <f t="shared" si="11"/>
        <v>0</v>
      </c>
      <c r="L78" s="2575">
        <f t="shared" si="12"/>
        <v>0</v>
      </c>
      <c r="M78" s="2576"/>
    </row>
    <row r="79" spans="1:13" ht="16.5">
      <c r="A79" s="2572">
        <f t="shared" si="10"/>
        <v>74</v>
      </c>
      <c r="B79" s="2822"/>
      <c r="C79" s="2581" t="s">
        <v>6179</v>
      </c>
      <c r="D79" s="2574"/>
      <c r="E79" s="2575" t="e">
        <f t="shared" si="8"/>
        <v>#DIV/0!</v>
      </c>
      <c r="F79" s="2574"/>
      <c r="G79" s="2574">
        <f t="shared" si="1"/>
        <v>0</v>
      </c>
      <c r="H79" s="2574"/>
      <c r="I79" s="2575" t="e">
        <f t="shared" si="9"/>
        <v>#DIV/0!</v>
      </c>
      <c r="J79" s="2574"/>
      <c r="K79" s="2574">
        <f t="shared" si="11"/>
        <v>0</v>
      </c>
      <c r="L79" s="2575">
        <f t="shared" si="12"/>
        <v>0</v>
      </c>
      <c r="M79" s="2576"/>
    </row>
    <row r="80" spans="1:13" ht="16.5">
      <c r="A80" s="2572">
        <f t="shared" si="10"/>
        <v>75</v>
      </c>
      <c r="B80" s="2822"/>
      <c r="C80" s="2581" t="s">
        <v>6180</v>
      </c>
      <c r="D80" s="2574"/>
      <c r="E80" s="2575" t="e">
        <f t="shared" si="8"/>
        <v>#DIV/0!</v>
      </c>
      <c r="F80" s="2574"/>
      <c r="G80" s="2574">
        <f t="shared" si="1"/>
        <v>0</v>
      </c>
      <c r="H80" s="2574"/>
      <c r="I80" s="2575" t="e">
        <f t="shared" si="9"/>
        <v>#DIV/0!</v>
      </c>
      <c r="J80" s="2574"/>
      <c r="K80" s="2574">
        <f t="shared" si="11"/>
        <v>0</v>
      </c>
      <c r="L80" s="2575">
        <f t="shared" si="12"/>
        <v>0</v>
      </c>
      <c r="M80" s="2576"/>
    </row>
    <row r="81" spans="1:13" ht="16.5">
      <c r="A81" s="2572">
        <f t="shared" si="10"/>
        <v>76</v>
      </c>
      <c r="B81" s="2822"/>
      <c r="C81" s="2577" t="s">
        <v>6182</v>
      </c>
      <c r="D81" s="2574">
        <f>D12+D13+D40+D55</f>
        <v>0</v>
      </c>
      <c r="E81" s="2575" t="e">
        <f t="shared" si="8"/>
        <v>#DIV/0!</v>
      </c>
      <c r="F81" s="2574">
        <f>F12+F13+F40+F55</f>
        <v>0</v>
      </c>
      <c r="G81" s="2574">
        <f t="shared" si="1"/>
        <v>0</v>
      </c>
      <c r="H81" s="2574">
        <f>H12+H13+H40+H55</f>
        <v>0</v>
      </c>
      <c r="I81" s="2575" t="e">
        <f t="shared" si="9"/>
        <v>#DIV/0!</v>
      </c>
      <c r="J81" s="2574">
        <f>J12+J13+J40+J55</f>
        <v>0</v>
      </c>
      <c r="K81" s="2574">
        <f t="shared" si="11"/>
        <v>0</v>
      </c>
      <c r="L81" s="2575">
        <f t="shared" si="12"/>
        <v>0</v>
      </c>
      <c r="M81" s="2576"/>
    </row>
    <row r="82" spans="1:13" ht="16.5" customHeight="1">
      <c r="A82" s="2572">
        <f t="shared" si="10"/>
        <v>77</v>
      </c>
      <c r="B82" s="2822" t="s">
        <v>6183</v>
      </c>
      <c r="C82" s="2577" t="s">
        <v>6184</v>
      </c>
      <c r="D82" s="2574">
        <f>SUM(D83:D88)</f>
        <v>0</v>
      </c>
      <c r="E82" s="2575" t="e">
        <f t="shared" si="8"/>
        <v>#DIV/0!</v>
      </c>
      <c r="F82" s="2574">
        <f>SUM(F83:F88)</f>
        <v>0</v>
      </c>
      <c r="G82" s="2574">
        <f t="shared" ref="G82:G145" si="13">D82-F82</f>
        <v>0</v>
      </c>
      <c r="H82" s="2574">
        <f>SUM(H83:H88)</f>
        <v>0</v>
      </c>
      <c r="I82" s="2575" t="e">
        <f t="shared" si="9"/>
        <v>#DIV/0!</v>
      </c>
      <c r="J82" s="2574">
        <f>SUM(J83:J88)</f>
        <v>0</v>
      </c>
      <c r="K82" s="2574">
        <f t="shared" si="11"/>
        <v>0</v>
      </c>
      <c r="L82" s="2575">
        <f t="shared" si="12"/>
        <v>0</v>
      </c>
      <c r="M82" s="2576"/>
    </row>
    <row r="83" spans="1:13" ht="16.5">
      <c r="A83" s="2572">
        <f t="shared" si="10"/>
        <v>78</v>
      </c>
      <c r="B83" s="2822"/>
      <c r="C83" s="2583" t="s">
        <v>6185</v>
      </c>
      <c r="D83" s="2574"/>
      <c r="E83" s="2575" t="e">
        <f t="shared" si="8"/>
        <v>#DIV/0!</v>
      </c>
      <c r="F83" s="2574"/>
      <c r="G83" s="2574">
        <f t="shared" si="13"/>
        <v>0</v>
      </c>
      <c r="H83" s="2574"/>
      <c r="I83" s="2575" t="e">
        <f t="shared" si="9"/>
        <v>#DIV/0!</v>
      </c>
      <c r="J83" s="2574"/>
      <c r="K83" s="2574">
        <f t="shared" si="11"/>
        <v>0</v>
      </c>
      <c r="L83" s="2575">
        <f t="shared" si="12"/>
        <v>0</v>
      </c>
      <c r="M83" s="2576"/>
    </row>
    <row r="84" spans="1:13" ht="16.5">
      <c r="A84" s="2572">
        <f t="shared" si="10"/>
        <v>79</v>
      </c>
      <c r="B84" s="2822"/>
      <c r="C84" s="2583" t="s">
        <v>6186</v>
      </c>
      <c r="D84" s="2574"/>
      <c r="E84" s="2575" t="e">
        <f t="shared" si="8"/>
        <v>#DIV/0!</v>
      </c>
      <c r="F84" s="2574"/>
      <c r="G84" s="2574">
        <f t="shared" si="13"/>
        <v>0</v>
      </c>
      <c r="H84" s="2574"/>
      <c r="I84" s="2575" t="e">
        <f t="shared" si="9"/>
        <v>#DIV/0!</v>
      </c>
      <c r="J84" s="2574"/>
      <c r="K84" s="2574">
        <f t="shared" si="11"/>
        <v>0</v>
      </c>
      <c r="L84" s="2575">
        <f t="shared" si="12"/>
        <v>0</v>
      </c>
      <c r="M84" s="2576"/>
    </row>
    <row r="85" spans="1:13" ht="16.5">
      <c r="A85" s="2572">
        <f t="shared" si="10"/>
        <v>80</v>
      </c>
      <c r="B85" s="2822"/>
      <c r="C85" s="2583" t="s">
        <v>6187</v>
      </c>
      <c r="D85" s="2574"/>
      <c r="E85" s="2575" t="e">
        <f t="shared" si="8"/>
        <v>#DIV/0!</v>
      </c>
      <c r="F85" s="2574"/>
      <c r="G85" s="2574">
        <f t="shared" si="13"/>
        <v>0</v>
      </c>
      <c r="H85" s="2574"/>
      <c r="I85" s="2575" t="e">
        <f t="shared" si="9"/>
        <v>#DIV/0!</v>
      </c>
      <c r="J85" s="2574"/>
      <c r="K85" s="2574">
        <f t="shared" si="11"/>
        <v>0</v>
      </c>
      <c r="L85" s="2575">
        <f t="shared" si="12"/>
        <v>0</v>
      </c>
      <c r="M85" s="2576"/>
    </row>
    <row r="86" spans="1:13" ht="16.5">
      <c r="A86" s="2572">
        <f t="shared" si="10"/>
        <v>81</v>
      </c>
      <c r="B86" s="2822"/>
      <c r="C86" s="2583" t="s">
        <v>6188</v>
      </c>
      <c r="D86" s="2574"/>
      <c r="E86" s="2575" t="e">
        <f t="shared" si="8"/>
        <v>#DIV/0!</v>
      </c>
      <c r="F86" s="2574"/>
      <c r="G86" s="2574">
        <f t="shared" si="13"/>
        <v>0</v>
      </c>
      <c r="H86" s="2574"/>
      <c r="I86" s="2575" t="e">
        <f t="shared" si="9"/>
        <v>#DIV/0!</v>
      </c>
      <c r="J86" s="2574"/>
      <c r="K86" s="2574">
        <f t="shared" si="11"/>
        <v>0</v>
      </c>
      <c r="L86" s="2575">
        <f t="shared" si="12"/>
        <v>0</v>
      </c>
      <c r="M86" s="2576"/>
    </row>
    <row r="87" spans="1:13" ht="16.5">
      <c r="A87" s="2572">
        <f t="shared" si="10"/>
        <v>82</v>
      </c>
      <c r="B87" s="2822"/>
      <c r="C87" s="2583" t="s">
        <v>6189</v>
      </c>
      <c r="D87" s="2574"/>
      <c r="E87" s="2575" t="e">
        <f t="shared" si="8"/>
        <v>#DIV/0!</v>
      </c>
      <c r="F87" s="2574"/>
      <c r="G87" s="2574">
        <f t="shared" si="13"/>
        <v>0</v>
      </c>
      <c r="H87" s="2574"/>
      <c r="I87" s="2575" t="e">
        <f t="shared" si="9"/>
        <v>#DIV/0!</v>
      </c>
      <c r="J87" s="2574"/>
      <c r="K87" s="2574">
        <f t="shared" si="11"/>
        <v>0</v>
      </c>
      <c r="L87" s="2575">
        <f t="shared" si="12"/>
        <v>0</v>
      </c>
      <c r="M87" s="2576"/>
    </row>
    <row r="88" spans="1:13" ht="16.5">
      <c r="A88" s="2572">
        <f t="shared" si="10"/>
        <v>83</v>
      </c>
      <c r="B88" s="2822"/>
      <c r="C88" s="2583" t="s">
        <v>6190</v>
      </c>
      <c r="D88" s="2574">
        <f>SUM(D89:D90)</f>
        <v>0</v>
      </c>
      <c r="E88" s="2575" t="e">
        <f t="shared" si="8"/>
        <v>#DIV/0!</v>
      </c>
      <c r="F88" s="2574">
        <f>SUM(F89:F90)</f>
        <v>0</v>
      </c>
      <c r="G88" s="2574">
        <f t="shared" si="13"/>
        <v>0</v>
      </c>
      <c r="H88" s="2574">
        <f>SUM(H89:H90)</f>
        <v>0</v>
      </c>
      <c r="I88" s="2575" t="e">
        <f t="shared" si="9"/>
        <v>#DIV/0!</v>
      </c>
      <c r="J88" s="2574">
        <f>SUM(J89:J90)</f>
        <v>0</v>
      </c>
      <c r="K88" s="2574">
        <f t="shared" si="11"/>
        <v>0</v>
      </c>
      <c r="L88" s="2575">
        <f t="shared" si="12"/>
        <v>0</v>
      </c>
      <c r="M88" s="2576"/>
    </row>
    <row r="89" spans="1:13" ht="16.5">
      <c r="A89" s="2572">
        <f t="shared" si="10"/>
        <v>84</v>
      </c>
      <c r="B89" s="2822"/>
      <c r="C89" s="2579" t="s">
        <v>6191</v>
      </c>
      <c r="D89" s="2574"/>
      <c r="E89" s="2575" t="e">
        <f t="shared" si="8"/>
        <v>#DIV/0!</v>
      </c>
      <c r="F89" s="2574"/>
      <c r="G89" s="2574">
        <f t="shared" si="13"/>
        <v>0</v>
      </c>
      <c r="H89" s="2574"/>
      <c r="I89" s="2575" t="e">
        <f t="shared" si="9"/>
        <v>#DIV/0!</v>
      </c>
      <c r="J89" s="2574"/>
      <c r="K89" s="2574">
        <f t="shared" si="11"/>
        <v>0</v>
      </c>
      <c r="L89" s="2575">
        <f t="shared" si="12"/>
        <v>0</v>
      </c>
      <c r="M89" s="2576"/>
    </row>
    <row r="90" spans="1:13" ht="16.5">
      <c r="A90" s="2572">
        <f t="shared" si="10"/>
        <v>85</v>
      </c>
      <c r="B90" s="2822"/>
      <c r="C90" s="2579" t="s">
        <v>6192</v>
      </c>
      <c r="D90" s="2574"/>
      <c r="E90" s="2575" t="e">
        <f t="shared" si="8"/>
        <v>#DIV/0!</v>
      </c>
      <c r="F90" s="2574"/>
      <c r="G90" s="2574">
        <f t="shared" si="13"/>
        <v>0</v>
      </c>
      <c r="H90" s="2574"/>
      <c r="I90" s="2575" t="e">
        <f t="shared" si="9"/>
        <v>#DIV/0!</v>
      </c>
      <c r="J90" s="2574"/>
      <c r="K90" s="2574">
        <f t="shared" si="11"/>
        <v>0</v>
      </c>
      <c r="L90" s="2575">
        <f t="shared" si="12"/>
        <v>0</v>
      </c>
      <c r="M90" s="2576"/>
    </row>
    <row r="91" spans="1:13" ht="16.5">
      <c r="A91" s="2572">
        <f t="shared" si="10"/>
        <v>86</v>
      </c>
      <c r="B91" s="2822"/>
      <c r="C91" s="2577" t="s">
        <v>6193</v>
      </c>
      <c r="D91" s="2574">
        <f>D92+D95</f>
        <v>0</v>
      </c>
      <c r="E91" s="2575" t="e">
        <f t="shared" si="8"/>
        <v>#DIV/0!</v>
      </c>
      <c r="F91" s="2574">
        <f>F92+F95</f>
        <v>0</v>
      </c>
      <c r="G91" s="2574">
        <f t="shared" si="13"/>
        <v>0</v>
      </c>
      <c r="H91" s="2574">
        <f>H92+H95</f>
        <v>0</v>
      </c>
      <c r="I91" s="2575" t="e">
        <f t="shared" si="9"/>
        <v>#DIV/0!</v>
      </c>
      <c r="J91" s="2574">
        <f>J92+J95</f>
        <v>0</v>
      </c>
      <c r="K91" s="2574">
        <f t="shared" si="11"/>
        <v>0</v>
      </c>
      <c r="L91" s="2575">
        <f t="shared" si="12"/>
        <v>0</v>
      </c>
      <c r="M91" s="2576"/>
    </row>
    <row r="92" spans="1:13" ht="16.5">
      <c r="A92" s="2572">
        <f t="shared" si="10"/>
        <v>87</v>
      </c>
      <c r="B92" s="2822"/>
      <c r="C92" s="2583" t="s">
        <v>6194</v>
      </c>
      <c r="D92" s="2574">
        <f>SUM(D93:D94)</f>
        <v>0</v>
      </c>
      <c r="E92" s="2575" t="e">
        <f t="shared" si="8"/>
        <v>#DIV/0!</v>
      </c>
      <c r="F92" s="2574">
        <f>SUM(F93:F94)</f>
        <v>0</v>
      </c>
      <c r="G92" s="2574">
        <f t="shared" si="13"/>
        <v>0</v>
      </c>
      <c r="H92" s="2574">
        <f>SUM(H93:H94)</f>
        <v>0</v>
      </c>
      <c r="I92" s="2575" t="e">
        <f t="shared" si="9"/>
        <v>#DIV/0!</v>
      </c>
      <c r="J92" s="2574">
        <f>SUM(J93:J94)</f>
        <v>0</v>
      </c>
      <c r="K92" s="2574">
        <f t="shared" si="11"/>
        <v>0</v>
      </c>
      <c r="L92" s="2575">
        <f t="shared" si="12"/>
        <v>0</v>
      </c>
      <c r="M92" s="2576"/>
    </row>
    <row r="93" spans="1:13" ht="16.5">
      <c r="A93" s="2572">
        <f t="shared" si="10"/>
        <v>88</v>
      </c>
      <c r="B93" s="2822"/>
      <c r="C93" s="2579" t="s">
        <v>6191</v>
      </c>
      <c r="D93" s="2574"/>
      <c r="E93" s="2575" t="e">
        <f t="shared" si="8"/>
        <v>#DIV/0!</v>
      </c>
      <c r="F93" s="2574"/>
      <c r="G93" s="2574">
        <f t="shared" si="13"/>
        <v>0</v>
      </c>
      <c r="H93" s="2574"/>
      <c r="I93" s="2575" t="e">
        <f t="shared" si="9"/>
        <v>#DIV/0!</v>
      </c>
      <c r="J93" s="2574"/>
      <c r="K93" s="2574">
        <f t="shared" si="11"/>
        <v>0</v>
      </c>
      <c r="L93" s="2575">
        <f t="shared" si="12"/>
        <v>0</v>
      </c>
      <c r="M93" s="2576"/>
    </row>
    <row r="94" spans="1:13" ht="16.5">
      <c r="A94" s="2572">
        <f t="shared" si="10"/>
        <v>89</v>
      </c>
      <c r="B94" s="2822"/>
      <c r="C94" s="2579" t="s">
        <v>6192</v>
      </c>
      <c r="D94" s="2574"/>
      <c r="E94" s="2575" t="e">
        <f t="shared" si="8"/>
        <v>#DIV/0!</v>
      </c>
      <c r="F94" s="2574"/>
      <c r="G94" s="2574">
        <f t="shared" si="13"/>
        <v>0</v>
      </c>
      <c r="H94" s="2574"/>
      <c r="I94" s="2575" t="e">
        <f t="shared" si="9"/>
        <v>#DIV/0!</v>
      </c>
      <c r="J94" s="2574"/>
      <c r="K94" s="2574">
        <f t="shared" si="11"/>
        <v>0</v>
      </c>
      <c r="L94" s="2575">
        <f t="shared" si="12"/>
        <v>0</v>
      </c>
      <c r="M94" s="2576"/>
    </row>
    <row r="95" spans="1:13" ht="16.5">
      <c r="A95" s="2572">
        <f t="shared" si="10"/>
        <v>90</v>
      </c>
      <c r="B95" s="2822"/>
      <c r="C95" s="2583" t="s">
        <v>6195</v>
      </c>
      <c r="D95" s="2574">
        <f>SUM(D96:D97)</f>
        <v>0</v>
      </c>
      <c r="E95" s="2575" t="e">
        <f t="shared" si="8"/>
        <v>#DIV/0!</v>
      </c>
      <c r="F95" s="2574">
        <f>SUM(F96:F97)</f>
        <v>0</v>
      </c>
      <c r="G95" s="2574">
        <f t="shared" si="13"/>
        <v>0</v>
      </c>
      <c r="H95" s="2574">
        <f>SUM(H96:H97)</f>
        <v>0</v>
      </c>
      <c r="I95" s="2575" t="e">
        <f t="shared" si="9"/>
        <v>#DIV/0!</v>
      </c>
      <c r="J95" s="2574">
        <f>SUM(J96:J97)</f>
        <v>0</v>
      </c>
      <c r="K95" s="2574">
        <f t="shared" si="11"/>
        <v>0</v>
      </c>
      <c r="L95" s="2575">
        <f t="shared" si="12"/>
        <v>0</v>
      </c>
      <c r="M95" s="2576"/>
    </row>
    <row r="96" spans="1:13" ht="16.5">
      <c r="A96" s="2572">
        <f t="shared" si="10"/>
        <v>91</v>
      </c>
      <c r="B96" s="2822"/>
      <c r="C96" s="2579" t="s">
        <v>6191</v>
      </c>
      <c r="D96" s="2574"/>
      <c r="E96" s="2575" t="e">
        <f t="shared" si="8"/>
        <v>#DIV/0!</v>
      </c>
      <c r="F96" s="2574"/>
      <c r="G96" s="2574">
        <f t="shared" si="13"/>
        <v>0</v>
      </c>
      <c r="H96" s="2574"/>
      <c r="I96" s="2575" t="e">
        <f t="shared" si="9"/>
        <v>#DIV/0!</v>
      </c>
      <c r="J96" s="2574"/>
      <c r="K96" s="2574">
        <f t="shared" si="11"/>
        <v>0</v>
      </c>
      <c r="L96" s="2575">
        <f t="shared" si="12"/>
        <v>0</v>
      </c>
      <c r="M96" s="2576"/>
    </row>
    <row r="97" spans="1:13" ht="16.5">
      <c r="A97" s="2572">
        <f t="shared" si="10"/>
        <v>92</v>
      </c>
      <c r="B97" s="2822"/>
      <c r="C97" s="2579" t="s">
        <v>6192</v>
      </c>
      <c r="D97" s="2574"/>
      <c r="E97" s="2575" t="e">
        <f t="shared" si="8"/>
        <v>#DIV/0!</v>
      </c>
      <c r="F97" s="2574"/>
      <c r="G97" s="2574">
        <f t="shared" si="13"/>
        <v>0</v>
      </c>
      <c r="H97" s="2574"/>
      <c r="I97" s="2575" t="e">
        <f t="shared" si="9"/>
        <v>#DIV/0!</v>
      </c>
      <c r="J97" s="2574"/>
      <c r="K97" s="2574">
        <f t="shared" si="11"/>
        <v>0</v>
      </c>
      <c r="L97" s="2575">
        <f t="shared" si="12"/>
        <v>0</v>
      </c>
      <c r="M97" s="2576"/>
    </row>
    <row r="98" spans="1:13" ht="16.5">
      <c r="A98" s="2572">
        <f t="shared" si="10"/>
        <v>93</v>
      </c>
      <c r="B98" s="2822"/>
      <c r="C98" s="2577" t="s">
        <v>6196</v>
      </c>
      <c r="D98" s="2574">
        <f>D82+D91</f>
        <v>0</v>
      </c>
      <c r="E98" s="2575" t="e">
        <f t="shared" si="8"/>
        <v>#DIV/0!</v>
      </c>
      <c r="F98" s="2574">
        <f>F82+F91</f>
        <v>0</v>
      </c>
      <c r="G98" s="2574">
        <f t="shared" si="13"/>
        <v>0</v>
      </c>
      <c r="H98" s="2574">
        <f>H82+H91</f>
        <v>0</v>
      </c>
      <c r="I98" s="2575" t="e">
        <f t="shared" si="9"/>
        <v>#DIV/0!</v>
      </c>
      <c r="J98" s="2574">
        <f>J82+J91</f>
        <v>0</v>
      </c>
      <c r="K98" s="2574">
        <f t="shared" si="11"/>
        <v>0</v>
      </c>
      <c r="L98" s="2575">
        <f t="shared" si="12"/>
        <v>0</v>
      </c>
      <c r="M98" s="2576"/>
    </row>
    <row r="99" spans="1:13" ht="16.5">
      <c r="A99" s="2572">
        <f t="shared" si="10"/>
        <v>94</v>
      </c>
      <c r="B99" s="2572"/>
      <c r="C99" s="2577" t="s">
        <v>6197</v>
      </c>
      <c r="D99" s="2574">
        <f>D98-D83-D90-D94-D97</f>
        <v>0</v>
      </c>
      <c r="E99" s="2575" t="e">
        <f t="shared" si="8"/>
        <v>#DIV/0!</v>
      </c>
      <c r="F99" s="2574">
        <f>F98-F83-F90-F94-F97</f>
        <v>0</v>
      </c>
      <c r="G99" s="2574">
        <f t="shared" si="13"/>
        <v>0</v>
      </c>
      <c r="H99" s="2574">
        <f>H98-H83-H90-H94-H97</f>
        <v>0</v>
      </c>
      <c r="I99" s="2575" t="e">
        <f t="shared" si="9"/>
        <v>#DIV/0!</v>
      </c>
      <c r="J99" s="2574">
        <f>J98-J83-J90-J94-J97</f>
        <v>0</v>
      </c>
      <c r="K99" s="2574">
        <f t="shared" si="11"/>
        <v>0</v>
      </c>
      <c r="L99" s="2575">
        <f t="shared" si="12"/>
        <v>0</v>
      </c>
      <c r="M99" s="2576"/>
    </row>
    <row r="100" spans="1:13" ht="16.5">
      <c r="A100" s="2572">
        <f t="shared" si="10"/>
        <v>95</v>
      </c>
      <c r="B100" s="2822" t="s">
        <v>6198</v>
      </c>
      <c r="C100" s="2577" t="s">
        <v>6199</v>
      </c>
      <c r="D100" s="2574">
        <f>SUM(D101:D105)</f>
        <v>0</v>
      </c>
      <c r="E100" s="2575" t="e">
        <f t="shared" si="8"/>
        <v>#DIV/0!</v>
      </c>
      <c r="F100" s="2574">
        <f>SUM(F101:F105)</f>
        <v>0</v>
      </c>
      <c r="G100" s="2574">
        <f t="shared" si="13"/>
        <v>0</v>
      </c>
      <c r="H100" s="2574">
        <f>SUM(H101:H105)</f>
        <v>0</v>
      </c>
      <c r="I100" s="2575" t="e">
        <f t="shared" si="9"/>
        <v>#DIV/0!</v>
      </c>
      <c r="J100" s="2574">
        <f>SUM(J101:J105)</f>
        <v>0</v>
      </c>
      <c r="K100" s="2574">
        <f t="shared" si="11"/>
        <v>0</v>
      </c>
      <c r="L100" s="2575">
        <f t="shared" si="12"/>
        <v>0</v>
      </c>
      <c r="M100" s="2576"/>
    </row>
    <row r="101" spans="1:13" ht="16.5">
      <c r="A101" s="2572">
        <f t="shared" si="10"/>
        <v>96</v>
      </c>
      <c r="B101" s="2822"/>
      <c r="C101" s="2583" t="s">
        <v>6200</v>
      </c>
      <c r="D101" s="2574"/>
      <c r="E101" s="2575" t="e">
        <f t="shared" si="8"/>
        <v>#DIV/0!</v>
      </c>
      <c r="F101" s="2574"/>
      <c r="G101" s="2574">
        <f t="shared" si="13"/>
        <v>0</v>
      </c>
      <c r="H101" s="2574"/>
      <c r="I101" s="2575" t="e">
        <f t="shared" si="9"/>
        <v>#DIV/0!</v>
      </c>
      <c r="J101" s="2574"/>
      <c r="K101" s="2574">
        <f t="shared" si="11"/>
        <v>0</v>
      </c>
      <c r="L101" s="2575">
        <f t="shared" si="12"/>
        <v>0</v>
      </c>
      <c r="M101" s="2576"/>
    </row>
    <row r="102" spans="1:13" ht="16.5">
      <c r="A102" s="2572">
        <f t="shared" si="10"/>
        <v>97</v>
      </c>
      <c r="B102" s="2822"/>
      <c r="C102" s="2583" t="s">
        <v>6201</v>
      </c>
      <c r="D102" s="2574"/>
      <c r="E102" s="2575" t="e">
        <f t="shared" ref="E102:E133" si="14">D102/$D$269</f>
        <v>#DIV/0!</v>
      </c>
      <c r="F102" s="2574"/>
      <c r="G102" s="2574">
        <f t="shared" si="13"/>
        <v>0</v>
      </c>
      <c r="H102" s="2574"/>
      <c r="I102" s="2575" t="e">
        <f t="shared" ref="I102:I133" si="15">H102/H$269</f>
        <v>#DIV/0!</v>
      </c>
      <c r="J102" s="2574"/>
      <c r="K102" s="2574">
        <f t="shared" si="11"/>
        <v>0</v>
      </c>
      <c r="L102" s="2575">
        <f t="shared" si="12"/>
        <v>0</v>
      </c>
      <c r="M102" s="2576"/>
    </row>
    <row r="103" spans="1:13" ht="16.5">
      <c r="A103" s="2572">
        <f t="shared" si="10"/>
        <v>98</v>
      </c>
      <c r="B103" s="2822"/>
      <c r="C103" s="2583" t="s">
        <v>6202</v>
      </c>
      <c r="D103" s="2574"/>
      <c r="E103" s="2575" t="e">
        <f t="shared" si="14"/>
        <v>#DIV/0!</v>
      </c>
      <c r="F103" s="2574"/>
      <c r="G103" s="2574">
        <f t="shared" si="13"/>
        <v>0</v>
      </c>
      <c r="H103" s="2574"/>
      <c r="I103" s="2575" t="e">
        <f t="shared" si="15"/>
        <v>#DIV/0!</v>
      </c>
      <c r="J103" s="2574"/>
      <c r="K103" s="2574">
        <f t="shared" si="11"/>
        <v>0</v>
      </c>
      <c r="L103" s="2575">
        <f t="shared" si="12"/>
        <v>0</v>
      </c>
      <c r="M103" s="2576"/>
    </row>
    <row r="104" spans="1:13" ht="16.5">
      <c r="A104" s="2572">
        <f t="shared" si="10"/>
        <v>99</v>
      </c>
      <c r="B104" s="2822"/>
      <c r="C104" s="2583" t="s">
        <v>6203</v>
      </c>
      <c r="D104" s="2574"/>
      <c r="E104" s="2575" t="e">
        <f t="shared" si="14"/>
        <v>#DIV/0!</v>
      </c>
      <c r="F104" s="2574"/>
      <c r="G104" s="2574">
        <f t="shared" si="13"/>
        <v>0</v>
      </c>
      <c r="H104" s="2574"/>
      <c r="I104" s="2575" t="e">
        <f t="shared" si="15"/>
        <v>#DIV/0!</v>
      </c>
      <c r="J104" s="2574"/>
      <c r="K104" s="2574">
        <f t="shared" si="11"/>
        <v>0</v>
      </c>
      <c r="L104" s="2575">
        <f t="shared" si="12"/>
        <v>0</v>
      </c>
      <c r="M104" s="2576"/>
    </row>
    <row r="105" spans="1:13" ht="16.5">
      <c r="A105" s="2572">
        <f t="shared" si="10"/>
        <v>100</v>
      </c>
      <c r="B105" s="2822"/>
      <c r="C105" s="2583" t="s">
        <v>6204</v>
      </c>
      <c r="D105" s="2574"/>
      <c r="E105" s="2575" t="e">
        <f t="shared" si="14"/>
        <v>#DIV/0!</v>
      </c>
      <c r="F105" s="2574"/>
      <c r="G105" s="2574">
        <f t="shared" si="13"/>
        <v>0</v>
      </c>
      <c r="H105" s="2574"/>
      <c r="I105" s="2575" t="e">
        <f t="shared" si="15"/>
        <v>#DIV/0!</v>
      </c>
      <c r="J105" s="2574"/>
      <c r="K105" s="2574">
        <f t="shared" si="11"/>
        <v>0</v>
      </c>
      <c r="L105" s="2575">
        <f t="shared" si="12"/>
        <v>0</v>
      </c>
      <c r="M105" s="2576"/>
    </row>
    <row r="106" spans="1:13" ht="16.5">
      <c r="A106" s="2572">
        <f t="shared" si="10"/>
        <v>101</v>
      </c>
      <c r="B106" s="2822"/>
      <c r="C106" s="2577" t="s">
        <v>6205</v>
      </c>
      <c r="D106" s="2574">
        <f>SUM(D107:D108)</f>
        <v>0</v>
      </c>
      <c r="E106" s="2575" t="e">
        <f t="shared" si="14"/>
        <v>#DIV/0!</v>
      </c>
      <c r="F106" s="2574">
        <f>SUM(F107:F108)</f>
        <v>0</v>
      </c>
      <c r="G106" s="2574">
        <f t="shared" si="13"/>
        <v>0</v>
      </c>
      <c r="H106" s="2574">
        <f>SUM(H107:H108)</f>
        <v>0</v>
      </c>
      <c r="I106" s="2575" t="e">
        <f t="shared" si="15"/>
        <v>#DIV/0!</v>
      </c>
      <c r="J106" s="2574">
        <f>SUM(J107:J108)</f>
        <v>0</v>
      </c>
      <c r="K106" s="2574">
        <f t="shared" si="11"/>
        <v>0</v>
      </c>
      <c r="L106" s="2575">
        <f t="shared" si="12"/>
        <v>0</v>
      </c>
      <c r="M106" s="2576"/>
    </row>
    <row r="107" spans="1:13" ht="16.5">
      <c r="A107" s="2572">
        <f t="shared" si="10"/>
        <v>102</v>
      </c>
      <c r="B107" s="2822"/>
      <c r="C107" s="2578" t="s">
        <v>6206</v>
      </c>
      <c r="D107" s="2574"/>
      <c r="E107" s="2575" t="e">
        <f t="shared" si="14"/>
        <v>#DIV/0!</v>
      </c>
      <c r="F107" s="2574"/>
      <c r="G107" s="2574">
        <f t="shared" si="13"/>
        <v>0</v>
      </c>
      <c r="H107" s="2574"/>
      <c r="I107" s="2575" t="e">
        <f t="shared" si="15"/>
        <v>#DIV/0!</v>
      </c>
      <c r="J107" s="2574"/>
      <c r="K107" s="2574">
        <f t="shared" si="11"/>
        <v>0</v>
      </c>
      <c r="L107" s="2575">
        <f t="shared" si="12"/>
        <v>0</v>
      </c>
      <c r="M107" s="2576"/>
    </row>
    <row r="108" spans="1:13" ht="16.5">
      <c r="A108" s="2572">
        <f t="shared" si="10"/>
        <v>103</v>
      </c>
      <c r="B108" s="2822"/>
      <c r="C108" s="2578" t="s">
        <v>6128</v>
      </c>
      <c r="D108" s="2574"/>
      <c r="E108" s="2575" t="e">
        <f t="shared" si="14"/>
        <v>#DIV/0!</v>
      </c>
      <c r="F108" s="2574"/>
      <c r="G108" s="2574">
        <f t="shared" si="13"/>
        <v>0</v>
      </c>
      <c r="H108" s="2574"/>
      <c r="I108" s="2575" t="e">
        <f t="shared" si="15"/>
        <v>#DIV/0!</v>
      </c>
      <c r="J108" s="2574"/>
      <c r="K108" s="2574">
        <f t="shared" si="11"/>
        <v>0</v>
      </c>
      <c r="L108" s="2575">
        <f t="shared" si="12"/>
        <v>0</v>
      </c>
      <c r="M108" s="2576"/>
    </row>
    <row r="109" spans="1:13" ht="16.5">
      <c r="A109" s="2572">
        <f t="shared" si="10"/>
        <v>104</v>
      </c>
      <c r="B109" s="2822"/>
      <c r="C109" s="2577" t="s">
        <v>6207</v>
      </c>
      <c r="D109" s="2574">
        <f>D100+D106</f>
        <v>0</v>
      </c>
      <c r="E109" s="2575" t="e">
        <f t="shared" si="14"/>
        <v>#DIV/0!</v>
      </c>
      <c r="F109" s="2574">
        <f>F100+F106</f>
        <v>0</v>
      </c>
      <c r="G109" s="2574">
        <f t="shared" si="13"/>
        <v>0</v>
      </c>
      <c r="H109" s="2574">
        <f>H100+H106</f>
        <v>0</v>
      </c>
      <c r="I109" s="2575" t="e">
        <f t="shared" si="15"/>
        <v>#DIV/0!</v>
      </c>
      <c r="J109" s="2574">
        <f>J100+J106</f>
        <v>0</v>
      </c>
      <c r="K109" s="2574">
        <f t="shared" si="11"/>
        <v>0</v>
      </c>
      <c r="L109" s="2575">
        <f t="shared" si="12"/>
        <v>0</v>
      </c>
      <c r="M109" s="2576"/>
    </row>
    <row r="110" spans="1:13" ht="16.5" customHeight="1">
      <c r="A110" s="2572">
        <f t="shared" si="10"/>
        <v>105</v>
      </c>
      <c r="B110" s="2822" t="s">
        <v>6208</v>
      </c>
      <c r="C110" s="2577" t="s">
        <v>6209</v>
      </c>
      <c r="D110" s="2574">
        <f>D111+D141</f>
        <v>0</v>
      </c>
      <c r="E110" s="2575" t="e">
        <f t="shared" si="14"/>
        <v>#DIV/0!</v>
      </c>
      <c r="F110" s="2574">
        <f>F111+F141</f>
        <v>0</v>
      </c>
      <c r="G110" s="2574">
        <f t="shared" si="13"/>
        <v>0</v>
      </c>
      <c r="H110" s="2574">
        <f>H111+H141</f>
        <v>0</v>
      </c>
      <c r="I110" s="2575" t="e">
        <f t="shared" si="15"/>
        <v>#DIV/0!</v>
      </c>
      <c r="J110" s="2574">
        <f>J111+J141</f>
        <v>0</v>
      </c>
      <c r="K110" s="2574">
        <f t="shared" si="11"/>
        <v>0</v>
      </c>
      <c r="L110" s="2575">
        <f t="shared" si="12"/>
        <v>0</v>
      </c>
      <c r="M110" s="2576"/>
    </row>
    <row r="111" spans="1:13" ht="16.5">
      <c r="A111" s="2572">
        <f t="shared" si="10"/>
        <v>106</v>
      </c>
      <c r="B111" s="2822"/>
      <c r="C111" s="2583" t="s">
        <v>6210</v>
      </c>
      <c r="D111" s="2574">
        <f>D112+D113+D121+D126+D127+D130+D131+D132+D133+D135+D134</f>
        <v>0</v>
      </c>
      <c r="E111" s="2575" t="e">
        <f t="shared" si="14"/>
        <v>#DIV/0!</v>
      </c>
      <c r="F111" s="2574">
        <f>F112+F113+F121+F126+F127+F130+F131+F132+F133+F135+F134</f>
        <v>0</v>
      </c>
      <c r="G111" s="2574">
        <f t="shared" si="13"/>
        <v>0</v>
      </c>
      <c r="H111" s="2574">
        <f>H112+H113+H121+H126+H127+H130+H131+H132+H133+H135+H134</f>
        <v>0</v>
      </c>
      <c r="I111" s="2575" t="e">
        <f t="shared" si="15"/>
        <v>#DIV/0!</v>
      </c>
      <c r="J111" s="2574">
        <f>J112+J113+J121+J126+J127+J130+J131+J132+J133+J135+J134</f>
        <v>0</v>
      </c>
      <c r="K111" s="2574">
        <f t="shared" si="11"/>
        <v>0</v>
      </c>
      <c r="L111" s="2575">
        <f t="shared" si="12"/>
        <v>0</v>
      </c>
      <c r="M111" s="2576"/>
    </row>
    <row r="112" spans="1:13" ht="16.5">
      <c r="A112" s="2572">
        <f t="shared" si="10"/>
        <v>107</v>
      </c>
      <c r="B112" s="2822"/>
      <c r="C112" s="2579" t="s">
        <v>6211</v>
      </c>
      <c r="D112" s="2574"/>
      <c r="E112" s="2575" t="e">
        <f t="shared" si="14"/>
        <v>#DIV/0!</v>
      </c>
      <c r="F112" s="2574"/>
      <c r="G112" s="2574">
        <f t="shared" si="13"/>
        <v>0</v>
      </c>
      <c r="H112" s="2574"/>
      <c r="I112" s="2575" t="e">
        <f t="shared" si="15"/>
        <v>#DIV/0!</v>
      </c>
      <c r="J112" s="2574"/>
      <c r="K112" s="2574">
        <f t="shared" si="11"/>
        <v>0</v>
      </c>
      <c r="L112" s="2575">
        <f t="shared" si="12"/>
        <v>0</v>
      </c>
      <c r="M112" s="2576"/>
    </row>
    <row r="113" spans="1:13" ht="16.5">
      <c r="A113" s="2572">
        <f t="shared" si="10"/>
        <v>108</v>
      </c>
      <c r="B113" s="2822"/>
      <c r="C113" s="2579" t="s">
        <v>6212</v>
      </c>
      <c r="D113" s="2574">
        <f>SUM(D114:D118)</f>
        <v>0</v>
      </c>
      <c r="E113" s="2575" t="e">
        <f t="shared" si="14"/>
        <v>#DIV/0!</v>
      </c>
      <c r="F113" s="2574">
        <f>SUM(F114:F118)</f>
        <v>0</v>
      </c>
      <c r="G113" s="2574">
        <f t="shared" si="13"/>
        <v>0</v>
      </c>
      <c r="H113" s="2574">
        <f>SUM(H114:H118)</f>
        <v>0</v>
      </c>
      <c r="I113" s="2575" t="e">
        <f t="shared" si="15"/>
        <v>#DIV/0!</v>
      </c>
      <c r="J113" s="2574">
        <f>SUM(J114:J118)</f>
        <v>0</v>
      </c>
      <c r="K113" s="2574">
        <f t="shared" si="11"/>
        <v>0</v>
      </c>
      <c r="L113" s="2575">
        <f t="shared" si="12"/>
        <v>0</v>
      </c>
      <c r="M113" s="2576"/>
    </row>
    <row r="114" spans="1:13" ht="16.5">
      <c r="A114" s="2572">
        <f t="shared" si="10"/>
        <v>109</v>
      </c>
      <c r="B114" s="2822"/>
      <c r="C114" s="2581" t="s">
        <v>6213</v>
      </c>
      <c r="D114" s="2574"/>
      <c r="E114" s="2575" t="e">
        <f t="shared" si="14"/>
        <v>#DIV/0!</v>
      </c>
      <c r="F114" s="2574"/>
      <c r="G114" s="2574">
        <f t="shared" si="13"/>
        <v>0</v>
      </c>
      <c r="H114" s="2574"/>
      <c r="I114" s="2575" t="e">
        <f t="shared" si="15"/>
        <v>#DIV/0!</v>
      </c>
      <c r="J114" s="2574"/>
      <c r="K114" s="2574">
        <f t="shared" si="11"/>
        <v>0</v>
      </c>
      <c r="L114" s="2575">
        <f t="shared" si="12"/>
        <v>0</v>
      </c>
      <c r="M114" s="2576"/>
    </row>
    <row r="115" spans="1:13" ht="16.5">
      <c r="A115" s="2572">
        <f t="shared" si="10"/>
        <v>110</v>
      </c>
      <c r="B115" s="2822"/>
      <c r="C115" s="2581" t="s">
        <v>6214</v>
      </c>
      <c r="D115" s="2574"/>
      <c r="E115" s="2575" t="e">
        <f t="shared" si="14"/>
        <v>#DIV/0!</v>
      </c>
      <c r="F115" s="2574"/>
      <c r="G115" s="2574">
        <f t="shared" si="13"/>
        <v>0</v>
      </c>
      <c r="H115" s="2574"/>
      <c r="I115" s="2575" t="e">
        <f t="shared" si="15"/>
        <v>#DIV/0!</v>
      </c>
      <c r="J115" s="2574"/>
      <c r="K115" s="2574">
        <f t="shared" si="11"/>
        <v>0</v>
      </c>
      <c r="L115" s="2575">
        <f t="shared" si="12"/>
        <v>0</v>
      </c>
      <c r="M115" s="2576"/>
    </row>
    <row r="116" spans="1:13" ht="16.5">
      <c r="A116" s="2572">
        <f t="shared" si="10"/>
        <v>111</v>
      </c>
      <c r="B116" s="2822"/>
      <c r="C116" s="2581" t="s">
        <v>6215</v>
      </c>
      <c r="D116" s="2574"/>
      <c r="E116" s="2575" t="e">
        <f t="shared" si="14"/>
        <v>#DIV/0!</v>
      </c>
      <c r="F116" s="2574"/>
      <c r="G116" s="2574">
        <f t="shared" si="13"/>
        <v>0</v>
      </c>
      <c r="H116" s="2574"/>
      <c r="I116" s="2575" t="e">
        <f t="shared" si="15"/>
        <v>#DIV/0!</v>
      </c>
      <c r="J116" s="2574"/>
      <c r="K116" s="2574">
        <f t="shared" si="11"/>
        <v>0</v>
      </c>
      <c r="L116" s="2575">
        <f t="shared" si="12"/>
        <v>0</v>
      </c>
      <c r="M116" s="2576"/>
    </row>
    <row r="117" spans="1:13" ht="16.5">
      <c r="A117" s="2572">
        <f t="shared" si="10"/>
        <v>112</v>
      </c>
      <c r="B117" s="2822"/>
      <c r="C117" s="2581" t="s">
        <v>6216</v>
      </c>
      <c r="D117" s="2574"/>
      <c r="E117" s="2575" t="e">
        <f t="shared" si="14"/>
        <v>#DIV/0!</v>
      </c>
      <c r="F117" s="2574"/>
      <c r="G117" s="2574">
        <f t="shared" si="13"/>
        <v>0</v>
      </c>
      <c r="H117" s="2574"/>
      <c r="I117" s="2575" t="e">
        <f t="shared" si="15"/>
        <v>#DIV/0!</v>
      </c>
      <c r="J117" s="2574"/>
      <c r="K117" s="2574">
        <f t="shared" si="11"/>
        <v>0</v>
      </c>
      <c r="L117" s="2575">
        <f t="shared" si="12"/>
        <v>0</v>
      </c>
      <c r="M117" s="2576"/>
    </row>
    <row r="118" spans="1:13" ht="16.5">
      <c r="A118" s="2572">
        <f t="shared" si="10"/>
        <v>113</v>
      </c>
      <c r="B118" s="2822"/>
      <c r="C118" s="2581" t="s">
        <v>6151</v>
      </c>
      <c r="D118" s="2574">
        <f>SUM(D119:D120)</f>
        <v>0</v>
      </c>
      <c r="E118" s="2575" t="e">
        <f t="shared" si="14"/>
        <v>#DIV/0!</v>
      </c>
      <c r="F118" s="2574">
        <f>SUM(F119:F120)</f>
        <v>0</v>
      </c>
      <c r="G118" s="2574">
        <f t="shared" si="13"/>
        <v>0</v>
      </c>
      <c r="H118" s="2574">
        <f>SUM(H119:H120)</f>
        <v>0</v>
      </c>
      <c r="I118" s="2575" t="e">
        <f t="shared" si="15"/>
        <v>#DIV/0!</v>
      </c>
      <c r="J118" s="2574">
        <f>SUM(J119:J120)</f>
        <v>0</v>
      </c>
      <c r="K118" s="2574">
        <f t="shared" si="11"/>
        <v>0</v>
      </c>
      <c r="L118" s="2575">
        <f t="shared" si="12"/>
        <v>0</v>
      </c>
      <c r="M118" s="2576"/>
    </row>
    <row r="119" spans="1:13" ht="16.5">
      <c r="A119" s="2572">
        <f t="shared" si="10"/>
        <v>114</v>
      </c>
      <c r="B119" s="2822"/>
      <c r="C119" s="2582" t="s">
        <v>6217</v>
      </c>
      <c r="D119" s="2574"/>
      <c r="E119" s="2575" t="e">
        <f t="shared" si="14"/>
        <v>#DIV/0!</v>
      </c>
      <c r="F119" s="2574"/>
      <c r="G119" s="2574">
        <f t="shared" si="13"/>
        <v>0</v>
      </c>
      <c r="H119" s="2574"/>
      <c r="I119" s="2575" t="e">
        <f t="shared" si="15"/>
        <v>#DIV/0!</v>
      </c>
      <c r="J119" s="2574"/>
      <c r="K119" s="2574">
        <f t="shared" si="11"/>
        <v>0</v>
      </c>
      <c r="L119" s="2575">
        <f t="shared" si="12"/>
        <v>0</v>
      </c>
      <c r="M119" s="2576"/>
    </row>
    <row r="120" spans="1:13" ht="16.5">
      <c r="A120" s="2572">
        <f t="shared" si="10"/>
        <v>115</v>
      </c>
      <c r="B120" s="2822"/>
      <c r="C120" s="2582" t="s">
        <v>6218</v>
      </c>
      <c r="D120" s="2574"/>
      <c r="E120" s="2575" t="e">
        <f t="shared" si="14"/>
        <v>#DIV/0!</v>
      </c>
      <c r="F120" s="2574"/>
      <c r="G120" s="2574">
        <f t="shared" si="13"/>
        <v>0</v>
      </c>
      <c r="H120" s="2574"/>
      <c r="I120" s="2575" t="e">
        <f t="shared" si="15"/>
        <v>#DIV/0!</v>
      </c>
      <c r="J120" s="2574"/>
      <c r="K120" s="2574">
        <f t="shared" si="11"/>
        <v>0</v>
      </c>
      <c r="L120" s="2575">
        <f t="shared" si="12"/>
        <v>0</v>
      </c>
      <c r="M120" s="2576"/>
    </row>
    <row r="121" spans="1:13" ht="16.5">
      <c r="A121" s="2572">
        <f t="shared" si="10"/>
        <v>116</v>
      </c>
      <c r="B121" s="2822"/>
      <c r="C121" s="2579" t="s">
        <v>6219</v>
      </c>
      <c r="D121" s="2574">
        <f>SUM(D122:D123)</f>
        <v>0</v>
      </c>
      <c r="E121" s="2575" t="e">
        <f t="shared" si="14"/>
        <v>#DIV/0!</v>
      </c>
      <c r="F121" s="2574">
        <f>SUM(F122:F123)</f>
        <v>0</v>
      </c>
      <c r="G121" s="2574">
        <f t="shared" si="13"/>
        <v>0</v>
      </c>
      <c r="H121" s="2574">
        <f>SUM(H122:H123)</f>
        <v>0</v>
      </c>
      <c r="I121" s="2575" t="e">
        <f t="shared" si="15"/>
        <v>#DIV/0!</v>
      </c>
      <c r="J121" s="2574">
        <f>SUM(J122:J123)</f>
        <v>0</v>
      </c>
      <c r="K121" s="2574">
        <f t="shared" si="11"/>
        <v>0</v>
      </c>
      <c r="L121" s="2575">
        <f t="shared" si="12"/>
        <v>0</v>
      </c>
      <c r="M121" s="2576"/>
    </row>
    <row r="122" spans="1:13" ht="16.5">
      <c r="A122" s="2572">
        <f t="shared" si="10"/>
        <v>117</v>
      </c>
      <c r="B122" s="2822"/>
      <c r="C122" s="2581" t="s">
        <v>6155</v>
      </c>
      <c r="D122" s="2574"/>
      <c r="E122" s="2575" t="e">
        <f t="shared" si="14"/>
        <v>#DIV/0!</v>
      </c>
      <c r="F122" s="2574"/>
      <c r="G122" s="2574">
        <f t="shared" si="13"/>
        <v>0</v>
      </c>
      <c r="H122" s="2574"/>
      <c r="I122" s="2575" t="e">
        <f t="shared" si="15"/>
        <v>#DIV/0!</v>
      </c>
      <c r="J122" s="2574"/>
      <c r="K122" s="2574">
        <f t="shared" si="11"/>
        <v>0</v>
      </c>
      <c r="L122" s="2575">
        <f t="shared" si="12"/>
        <v>0</v>
      </c>
      <c r="M122" s="2576"/>
    </row>
    <row r="123" spans="1:13" ht="16.5">
      <c r="A123" s="2572">
        <f t="shared" si="10"/>
        <v>118</v>
      </c>
      <c r="B123" s="2822"/>
      <c r="C123" s="2581" t="s">
        <v>6156</v>
      </c>
      <c r="D123" s="2574">
        <f>SUM(D124:D125)</f>
        <v>0</v>
      </c>
      <c r="E123" s="2575" t="e">
        <f t="shared" si="14"/>
        <v>#DIV/0!</v>
      </c>
      <c r="F123" s="2574">
        <f>SUM(F124:F125)</f>
        <v>0</v>
      </c>
      <c r="G123" s="2574">
        <f t="shared" si="13"/>
        <v>0</v>
      </c>
      <c r="H123" s="2574">
        <f>SUM(H124:H125)</f>
        <v>0</v>
      </c>
      <c r="I123" s="2575" t="e">
        <f t="shared" si="15"/>
        <v>#DIV/0!</v>
      </c>
      <c r="J123" s="2574">
        <f>SUM(J124:J125)</f>
        <v>0</v>
      </c>
      <c r="K123" s="2574">
        <f t="shared" si="11"/>
        <v>0</v>
      </c>
      <c r="L123" s="2575">
        <f t="shared" si="12"/>
        <v>0</v>
      </c>
      <c r="M123" s="2576"/>
    </row>
    <row r="124" spans="1:13" ht="16.5">
      <c r="A124" s="2572">
        <f t="shared" si="10"/>
        <v>119</v>
      </c>
      <c r="B124" s="2822"/>
      <c r="C124" s="2582" t="s">
        <v>6220</v>
      </c>
      <c r="D124" s="2574"/>
      <c r="E124" s="2575" t="e">
        <f t="shared" si="14"/>
        <v>#DIV/0!</v>
      </c>
      <c r="F124" s="2574"/>
      <c r="G124" s="2574">
        <f t="shared" si="13"/>
        <v>0</v>
      </c>
      <c r="H124" s="2574"/>
      <c r="I124" s="2575" t="e">
        <f t="shared" si="15"/>
        <v>#DIV/0!</v>
      </c>
      <c r="J124" s="2574"/>
      <c r="K124" s="2574">
        <f t="shared" si="11"/>
        <v>0</v>
      </c>
      <c r="L124" s="2575">
        <f t="shared" si="12"/>
        <v>0</v>
      </c>
      <c r="M124" s="2576"/>
    </row>
    <row r="125" spans="1:13" ht="16.5">
      <c r="A125" s="2572">
        <f t="shared" si="10"/>
        <v>120</v>
      </c>
      <c r="B125" s="2822"/>
      <c r="C125" s="2582" t="s">
        <v>6221</v>
      </c>
      <c r="D125" s="2574"/>
      <c r="E125" s="2575" t="e">
        <f t="shared" si="14"/>
        <v>#DIV/0!</v>
      </c>
      <c r="F125" s="2574"/>
      <c r="G125" s="2574">
        <f t="shared" si="13"/>
        <v>0</v>
      </c>
      <c r="H125" s="2574"/>
      <c r="I125" s="2575" t="e">
        <f t="shared" si="15"/>
        <v>#DIV/0!</v>
      </c>
      <c r="J125" s="2574"/>
      <c r="K125" s="2574">
        <f t="shared" si="11"/>
        <v>0</v>
      </c>
      <c r="L125" s="2575">
        <f t="shared" si="12"/>
        <v>0</v>
      </c>
      <c r="M125" s="2576"/>
    </row>
    <row r="126" spans="1:13" ht="16.5">
      <c r="A126" s="2572">
        <f t="shared" si="10"/>
        <v>121</v>
      </c>
      <c r="B126" s="2822"/>
      <c r="C126" s="2579" t="s">
        <v>6222</v>
      </c>
      <c r="D126" s="2574"/>
      <c r="E126" s="2575" t="e">
        <f t="shared" si="14"/>
        <v>#DIV/0!</v>
      </c>
      <c r="F126" s="2574"/>
      <c r="G126" s="2574">
        <f t="shared" si="13"/>
        <v>0</v>
      </c>
      <c r="H126" s="2574"/>
      <c r="I126" s="2575" t="e">
        <f t="shared" si="15"/>
        <v>#DIV/0!</v>
      </c>
      <c r="J126" s="2574"/>
      <c r="K126" s="2574">
        <f t="shared" si="11"/>
        <v>0</v>
      </c>
      <c r="L126" s="2575">
        <f t="shared" si="12"/>
        <v>0</v>
      </c>
      <c r="M126" s="2580"/>
    </row>
    <row r="127" spans="1:13" ht="16.5">
      <c r="A127" s="2572">
        <f t="shared" si="10"/>
        <v>122</v>
      </c>
      <c r="B127" s="2822"/>
      <c r="C127" s="2579" t="s">
        <v>6223</v>
      </c>
      <c r="D127" s="2574">
        <f>SUM(D128:D129)</f>
        <v>0</v>
      </c>
      <c r="E127" s="2575" t="e">
        <f t="shared" si="14"/>
        <v>#DIV/0!</v>
      </c>
      <c r="F127" s="2574">
        <f>SUM(F128:F129)</f>
        <v>0</v>
      </c>
      <c r="G127" s="2574">
        <f t="shared" si="13"/>
        <v>0</v>
      </c>
      <c r="H127" s="2574">
        <f>SUM(H128:H129)</f>
        <v>0</v>
      </c>
      <c r="I127" s="2575" t="e">
        <f t="shared" si="15"/>
        <v>#DIV/0!</v>
      </c>
      <c r="J127" s="2574">
        <f>SUM(J128:J129)</f>
        <v>0</v>
      </c>
      <c r="K127" s="2574">
        <f t="shared" si="11"/>
        <v>0</v>
      </c>
      <c r="L127" s="2575">
        <f t="shared" si="12"/>
        <v>0</v>
      </c>
      <c r="M127" s="2576"/>
    </row>
    <row r="128" spans="1:13" ht="16.5">
      <c r="A128" s="2572">
        <f t="shared" si="10"/>
        <v>123</v>
      </c>
      <c r="B128" s="2822"/>
      <c r="C128" s="2581" t="s">
        <v>6224</v>
      </c>
      <c r="D128" s="2574"/>
      <c r="E128" s="2575" t="e">
        <f t="shared" si="14"/>
        <v>#DIV/0!</v>
      </c>
      <c r="F128" s="2574"/>
      <c r="G128" s="2574">
        <f t="shared" si="13"/>
        <v>0</v>
      </c>
      <c r="H128" s="2574"/>
      <c r="I128" s="2575" t="e">
        <f t="shared" si="15"/>
        <v>#DIV/0!</v>
      </c>
      <c r="J128" s="2574"/>
      <c r="K128" s="2574">
        <f t="shared" si="11"/>
        <v>0</v>
      </c>
      <c r="L128" s="2575">
        <f t="shared" si="12"/>
        <v>0</v>
      </c>
      <c r="M128" s="2576"/>
    </row>
    <row r="129" spans="1:13" ht="16.5">
      <c r="A129" s="2572">
        <f t="shared" si="10"/>
        <v>124</v>
      </c>
      <c r="B129" s="2822"/>
      <c r="C129" s="2581" t="s">
        <v>6225</v>
      </c>
      <c r="D129" s="2574"/>
      <c r="E129" s="2575" t="e">
        <f t="shared" si="14"/>
        <v>#DIV/0!</v>
      </c>
      <c r="F129" s="2574"/>
      <c r="G129" s="2574">
        <f t="shared" si="13"/>
        <v>0</v>
      </c>
      <c r="H129" s="2574"/>
      <c r="I129" s="2575" t="e">
        <f t="shared" si="15"/>
        <v>#DIV/0!</v>
      </c>
      <c r="J129" s="2574"/>
      <c r="K129" s="2574">
        <f t="shared" si="11"/>
        <v>0</v>
      </c>
      <c r="L129" s="2575">
        <f t="shared" si="12"/>
        <v>0</v>
      </c>
      <c r="M129" s="2576"/>
    </row>
    <row r="130" spans="1:13" ht="16.5">
      <c r="A130" s="2572">
        <f t="shared" si="10"/>
        <v>125</v>
      </c>
      <c r="B130" s="2822"/>
      <c r="C130" s="2579" t="s">
        <v>6226</v>
      </c>
      <c r="D130" s="2574"/>
      <c r="E130" s="2575" t="e">
        <f t="shared" si="14"/>
        <v>#DIV/0!</v>
      </c>
      <c r="F130" s="2574"/>
      <c r="G130" s="2574">
        <f t="shared" si="13"/>
        <v>0</v>
      </c>
      <c r="H130" s="2574"/>
      <c r="I130" s="2575" t="e">
        <f t="shared" si="15"/>
        <v>#DIV/0!</v>
      </c>
      <c r="J130" s="2574"/>
      <c r="K130" s="2574">
        <f t="shared" si="11"/>
        <v>0</v>
      </c>
      <c r="L130" s="2575">
        <f t="shared" si="12"/>
        <v>0</v>
      </c>
      <c r="M130" s="2576"/>
    </row>
    <row r="131" spans="1:13" ht="16.5">
      <c r="A131" s="2572">
        <f t="shared" si="10"/>
        <v>126</v>
      </c>
      <c r="B131" s="2822"/>
      <c r="C131" s="2579" t="s">
        <v>6227</v>
      </c>
      <c r="D131" s="2574"/>
      <c r="E131" s="2575" t="e">
        <f t="shared" si="14"/>
        <v>#DIV/0!</v>
      </c>
      <c r="F131" s="2574"/>
      <c r="G131" s="2574">
        <f t="shared" si="13"/>
        <v>0</v>
      </c>
      <c r="H131" s="2574"/>
      <c r="I131" s="2575" t="e">
        <f t="shared" si="15"/>
        <v>#DIV/0!</v>
      </c>
      <c r="J131" s="2574"/>
      <c r="K131" s="2574">
        <f t="shared" si="11"/>
        <v>0</v>
      </c>
      <c r="L131" s="2575">
        <f t="shared" si="12"/>
        <v>0</v>
      </c>
      <c r="M131" s="2576"/>
    </row>
    <row r="132" spans="1:13" ht="16.5">
      <c r="A132" s="2572">
        <f t="shared" si="10"/>
        <v>127</v>
      </c>
      <c r="B132" s="2822"/>
      <c r="C132" s="2579" t="s">
        <v>6228</v>
      </c>
      <c r="D132" s="2574"/>
      <c r="E132" s="2575" t="e">
        <f t="shared" si="14"/>
        <v>#DIV/0!</v>
      </c>
      <c r="F132" s="2574"/>
      <c r="G132" s="2574">
        <f t="shared" si="13"/>
        <v>0</v>
      </c>
      <c r="H132" s="2574"/>
      <c r="I132" s="2575" t="e">
        <f t="shared" si="15"/>
        <v>#DIV/0!</v>
      </c>
      <c r="J132" s="2574"/>
      <c r="K132" s="2574">
        <f t="shared" si="11"/>
        <v>0</v>
      </c>
      <c r="L132" s="2575">
        <f t="shared" si="12"/>
        <v>0</v>
      </c>
      <c r="M132" s="2580"/>
    </row>
    <row r="133" spans="1:13" ht="16.5">
      <c r="A133" s="2572">
        <f t="shared" si="10"/>
        <v>128</v>
      </c>
      <c r="B133" s="2822"/>
      <c r="C133" s="2579" t="s">
        <v>6229</v>
      </c>
      <c r="D133" s="2574"/>
      <c r="E133" s="2575" t="e">
        <f t="shared" si="14"/>
        <v>#DIV/0!</v>
      </c>
      <c r="F133" s="2574"/>
      <c r="G133" s="2574">
        <f t="shared" si="13"/>
        <v>0</v>
      </c>
      <c r="H133" s="2574"/>
      <c r="I133" s="2575" t="e">
        <f t="shared" si="15"/>
        <v>#DIV/0!</v>
      </c>
      <c r="J133" s="2574"/>
      <c r="K133" s="2574">
        <f t="shared" si="11"/>
        <v>0</v>
      </c>
      <c r="L133" s="2575">
        <f t="shared" si="12"/>
        <v>0</v>
      </c>
      <c r="M133" s="2576"/>
    </row>
    <row r="134" spans="1:13" ht="16.5">
      <c r="A134" s="2572">
        <f t="shared" si="10"/>
        <v>129</v>
      </c>
      <c r="B134" s="2822"/>
      <c r="C134" s="2579" t="s">
        <v>6230</v>
      </c>
      <c r="D134" s="2574"/>
      <c r="E134" s="2575" t="e">
        <f t="shared" ref="E134:E165" si="16">D134/$D$269</f>
        <v>#DIV/0!</v>
      </c>
      <c r="F134" s="2574"/>
      <c r="G134" s="2574">
        <f t="shared" si="13"/>
        <v>0</v>
      </c>
      <c r="H134" s="2574"/>
      <c r="I134" s="2575" t="e">
        <f t="shared" ref="I134:I165" si="17">H134/H$269</f>
        <v>#DIV/0!</v>
      </c>
      <c r="J134" s="2574"/>
      <c r="K134" s="2574">
        <f t="shared" si="11"/>
        <v>0</v>
      </c>
      <c r="L134" s="2575">
        <f t="shared" si="12"/>
        <v>0</v>
      </c>
      <c r="M134" s="2576"/>
    </row>
    <row r="135" spans="1:13" ht="16.5">
      <c r="A135" s="2572">
        <f t="shared" ref="A135:A198" si="18">A134+1</f>
        <v>130</v>
      </c>
      <c r="B135" s="2822"/>
      <c r="C135" s="2579" t="s">
        <v>6231</v>
      </c>
      <c r="D135" s="2574">
        <f>SUM(D136:D140)</f>
        <v>0</v>
      </c>
      <c r="E135" s="2575" t="e">
        <f t="shared" si="16"/>
        <v>#DIV/0!</v>
      </c>
      <c r="F135" s="2574">
        <f>SUM(F136:F140)</f>
        <v>0</v>
      </c>
      <c r="G135" s="2574">
        <f t="shared" si="13"/>
        <v>0</v>
      </c>
      <c r="H135" s="2574">
        <f>SUM(H136:H140)</f>
        <v>0</v>
      </c>
      <c r="I135" s="2575" t="e">
        <f t="shared" si="17"/>
        <v>#DIV/0!</v>
      </c>
      <c r="J135" s="2574">
        <f>SUM(J136:J140)</f>
        <v>0</v>
      </c>
      <c r="K135" s="2574">
        <f t="shared" ref="K135:K198" si="19">D135-H135</f>
        <v>0</v>
      </c>
      <c r="L135" s="2575">
        <f t="shared" ref="L135:L198" si="20">IF(J135=0,0,K135/J135)</f>
        <v>0</v>
      </c>
      <c r="M135" s="2576"/>
    </row>
    <row r="136" spans="1:13" ht="16.5">
      <c r="A136" s="2572">
        <f t="shared" si="18"/>
        <v>131</v>
      </c>
      <c r="B136" s="2822"/>
      <c r="C136" s="2581" t="s">
        <v>6232</v>
      </c>
      <c r="D136" s="2574"/>
      <c r="E136" s="2575" t="e">
        <f t="shared" si="16"/>
        <v>#DIV/0!</v>
      </c>
      <c r="F136" s="2574"/>
      <c r="G136" s="2574">
        <f t="shared" si="13"/>
        <v>0</v>
      </c>
      <c r="H136" s="2574"/>
      <c r="I136" s="2575" t="e">
        <f t="shared" si="17"/>
        <v>#DIV/0!</v>
      </c>
      <c r="J136" s="2574"/>
      <c r="K136" s="2574">
        <f t="shared" si="19"/>
        <v>0</v>
      </c>
      <c r="L136" s="2575">
        <f t="shared" si="20"/>
        <v>0</v>
      </c>
      <c r="M136" s="2576"/>
    </row>
    <row r="137" spans="1:13" ht="16.5">
      <c r="A137" s="2572">
        <f t="shared" si="18"/>
        <v>132</v>
      </c>
      <c r="B137" s="2822"/>
      <c r="C137" s="2581" t="s">
        <v>6233</v>
      </c>
      <c r="D137" s="2574"/>
      <c r="E137" s="2575" t="e">
        <f t="shared" si="16"/>
        <v>#DIV/0!</v>
      </c>
      <c r="F137" s="2574"/>
      <c r="G137" s="2574">
        <f t="shared" si="13"/>
        <v>0</v>
      </c>
      <c r="H137" s="2574"/>
      <c r="I137" s="2575" t="e">
        <f t="shared" si="17"/>
        <v>#DIV/0!</v>
      </c>
      <c r="J137" s="2574"/>
      <c r="K137" s="2574">
        <f t="shared" si="19"/>
        <v>0</v>
      </c>
      <c r="L137" s="2575">
        <f t="shared" si="20"/>
        <v>0</v>
      </c>
      <c r="M137" s="2576"/>
    </row>
    <row r="138" spans="1:13" ht="16.5">
      <c r="A138" s="2572">
        <f t="shared" si="18"/>
        <v>133</v>
      </c>
      <c r="B138" s="2822"/>
      <c r="C138" s="2581" t="s">
        <v>6234</v>
      </c>
      <c r="D138" s="2574"/>
      <c r="E138" s="2575" t="e">
        <f t="shared" si="16"/>
        <v>#DIV/0!</v>
      </c>
      <c r="F138" s="2574"/>
      <c r="G138" s="2574">
        <f t="shared" si="13"/>
        <v>0</v>
      </c>
      <c r="H138" s="2574"/>
      <c r="I138" s="2575" t="e">
        <f t="shared" si="17"/>
        <v>#DIV/0!</v>
      </c>
      <c r="J138" s="2574"/>
      <c r="K138" s="2574">
        <f t="shared" si="19"/>
        <v>0</v>
      </c>
      <c r="L138" s="2575">
        <f t="shared" si="20"/>
        <v>0</v>
      </c>
      <c r="M138" s="2576"/>
    </row>
    <row r="139" spans="1:13" ht="16.5">
      <c r="A139" s="2572">
        <f t="shared" si="18"/>
        <v>134</v>
      </c>
      <c r="B139" s="2822"/>
      <c r="C139" s="2581" t="s">
        <v>6235</v>
      </c>
      <c r="D139" s="2574"/>
      <c r="E139" s="2575" t="e">
        <f t="shared" si="16"/>
        <v>#DIV/0!</v>
      </c>
      <c r="F139" s="2574"/>
      <c r="G139" s="2574">
        <f t="shared" si="13"/>
        <v>0</v>
      </c>
      <c r="H139" s="2574"/>
      <c r="I139" s="2575" t="e">
        <f t="shared" si="17"/>
        <v>#DIV/0!</v>
      </c>
      <c r="J139" s="2574"/>
      <c r="K139" s="2574">
        <f t="shared" si="19"/>
        <v>0</v>
      </c>
      <c r="L139" s="2575">
        <f t="shared" si="20"/>
        <v>0</v>
      </c>
      <c r="M139" s="2576"/>
    </row>
    <row r="140" spans="1:13" ht="16.5">
      <c r="A140" s="2572">
        <f t="shared" si="18"/>
        <v>135</v>
      </c>
      <c r="B140" s="2822"/>
      <c r="C140" s="2581" t="s">
        <v>6236</v>
      </c>
      <c r="D140" s="2574"/>
      <c r="E140" s="2575" t="e">
        <f t="shared" si="16"/>
        <v>#DIV/0!</v>
      </c>
      <c r="F140" s="2574"/>
      <c r="G140" s="2574">
        <f t="shared" si="13"/>
        <v>0</v>
      </c>
      <c r="H140" s="2574"/>
      <c r="I140" s="2575" t="e">
        <f t="shared" si="17"/>
        <v>#DIV/0!</v>
      </c>
      <c r="J140" s="2574"/>
      <c r="K140" s="2574">
        <f t="shared" si="19"/>
        <v>0</v>
      </c>
      <c r="L140" s="2575">
        <f t="shared" si="20"/>
        <v>0</v>
      </c>
      <c r="M140" s="2576"/>
    </row>
    <row r="141" spans="1:13" ht="16.5">
      <c r="A141" s="2572">
        <f t="shared" si="18"/>
        <v>136</v>
      </c>
      <c r="B141" s="2822"/>
      <c r="C141" s="2583" t="s">
        <v>6237</v>
      </c>
      <c r="D141" s="2574">
        <f>D142+D143+D151+D156+D157+D160+D161+D162+D163+D165+D164</f>
        <v>0</v>
      </c>
      <c r="E141" s="2575" t="e">
        <f t="shared" si="16"/>
        <v>#DIV/0!</v>
      </c>
      <c r="F141" s="2574">
        <f>F142+F143+F151+F156+F157+F160+F161+F162+F163+F165+F164</f>
        <v>0</v>
      </c>
      <c r="G141" s="2574">
        <f t="shared" si="13"/>
        <v>0</v>
      </c>
      <c r="H141" s="2574">
        <f>H142+H143+H151+H156+H157+H160+H161+H162+H163+H165+H164</f>
        <v>0</v>
      </c>
      <c r="I141" s="2575" t="e">
        <f t="shared" si="17"/>
        <v>#DIV/0!</v>
      </c>
      <c r="J141" s="2574">
        <f>J142+J143+J151+J156+J157+J160+J161+J162+J163+J165+J164</f>
        <v>0</v>
      </c>
      <c r="K141" s="2574">
        <f t="shared" si="19"/>
        <v>0</v>
      </c>
      <c r="L141" s="2575">
        <f t="shared" si="20"/>
        <v>0</v>
      </c>
      <c r="M141" s="2576"/>
    </row>
    <row r="142" spans="1:13" ht="16.5">
      <c r="A142" s="2572">
        <f t="shared" si="18"/>
        <v>137</v>
      </c>
      <c r="B142" s="2822"/>
      <c r="C142" s="2579" t="s">
        <v>6211</v>
      </c>
      <c r="D142" s="2574"/>
      <c r="E142" s="2575" t="e">
        <f t="shared" si="16"/>
        <v>#DIV/0!</v>
      </c>
      <c r="F142" s="2574"/>
      <c r="G142" s="2574">
        <f t="shared" si="13"/>
        <v>0</v>
      </c>
      <c r="H142" s="2574"/>
      <c r="I142" s="2575" t="e">
        <f t="shared" si="17"/>
        <v>#DIV/0!</v>
      </c>
      <c r="J142" s="2574"/>
      <c r="K142" s="2574">
        <f t="shared" si="19"/>
        <v>0</v>
      </c>
      <c r="L142" s="2575">
        <f t="shared" si="20"/>
        <v>0</v>
      </c>
      <c r="M142" s="2576"/>
    </row>
    <row r="143" spans="1:13" ht="16.5">
      <c r="A143" s="2572">
        <f t="shared" si="18"/>
        <v>138</v>
      </c>
      <c r="B143" s="2822"/>
      <c r="C143" s="2579" t="s">
        <v>6212</v>
      </c>
      <c r="D143" s="2574">
        <f>SUM(D144:D148)</f>
        <v>0</v>
      </c>
      <c r="E143" s="2575" t="e">
        <f t="shared" si="16"/>
        <v>#DIV/0!</v>
      </c>
      <c r="F143" s="2574">
        <f>SUM(F144:F148)</f>
        <v>0</v>
      </c>
      <c r="G143" s="2574">
        <f t="shared" si="13"/>
        <v>0</v>
      </c>
      <c r="H143" s="2574">
        <f>SUM(H144:H148)</f>
        <v>0</v>
      </c>
      <c r="I143" s="2575" t="e">
        <f t="shared" si="17"/>
        <v>#DIV/0!</v>
      </c>
      <c r="J143" s="2574">
        <f>SUM(J144:J148)</f>
        <v>0</v>
      </c>
      <c r="K143" s="2574">
        <f t="shared" si="19"/>
        <v>0</v>
      </c>
      <c r="L143" s="2575">
        <f t="shared" si="20"/>
        <v>0</v>
      </c>
      <c r="M143" s="2576"/>
    </row>
    <row r="144" spans="1:13" ht="16.5">
      <c r="A144" s="2572">
        <f t="shared" si="18"/>
        <v>139</v>
      </c>
      <c r="B144" s="2822"/>
      <c r="C144" s="2581" t="s">
        <v>6213</v>
      </c>
      <c r="D144" s="2574"/>
      <c r="E144" s="2575" t="e">
        <f t="shared" si="16"/>
        <v>#DIV/0!</v>
      </c>
      <c r="F144" s="2574"/>
      <c r="G144" s="2574">
        <f t="shared" si="13"/>
        <v>0</v>
      </c>
      <c r="H144" s="2574"/>
      <c r="I144" s="2575" t="e">
        <f t="shared" si="17"/>
        <v>#DIV/0!</v>
      </c>
      <c r="J144" s="2574"/>
      <c r="K144" s="2574">
        <f t="shared" si="19"/>
        <v>0</v>
      </c>
      <c r="L144" s="2575">
        <f t="shared" si="20"/>
        <v>0</v>
      </c>
      <c r="M144" s="2576"/>
    </row>
    <row r="145" spans="1:13" ht="16.5">
      <c r="A145" s="2572">
        <f t="shared" si="18"/>
        <v>140</v>
      </c>
      <c r="B145" s="2822"/>
      <c r="C145" s="2581" t="s">
        <v>6214</v>
      </c>
      <c r="D145" s="2574"/>
      <c r="E145" s="2575" t="e">
        <f t="shared" si="16"/>
        <v>#DIV/0!</v>
      </c>
      <c r="F145" s="2574"/>
      <c r="G145" s="2574">
        <f t="shared" si="13"/>
        <v>0</v>
      </c>
      <c r="H145" s="2574"/>
      <c r="I145" s="2575" t="e">
        <f t="shared" si="17"/>
        <v>#DIV/0!</v>
      </c>
      <c r="J145" s="2574"/>
      <c r="K145" s="2574">
        <f t="shared" si="19"/>
        <v>0</v>
      </c>
      <c r="L145" s="2575">
        <f t="shared" si="20"/>
        <v>0</v>
      </c>
      <c r="M145" s="2576"/>
    </row>
    <row r="146" spans="1:13" ht="16.5">
      <c r="A146" s="2572">
        <f t="shared" si="18"/>
        <v>141</v>
      </c>
      <c r="B146" s="2822"/>
      <c r="C146" s="2581" t="s">
        <v>6215</v>
      </c>
      <c r="D146" s="2574"/>
      <c r="E146" s="2575" t="e">
        <f t="shared" si="16"/>
        <v>#DIV/0!</v>
      </c>
      <c r="F146" s="2574"/>
      <c r="G146" s="2574">
        <f t="shared" ref="G146:G212" si="21">D146-F146</f>
        <v>0</v>
      </c>
      <c r="H146" s="2574"/>
      <c r="I146" s="2575" t="e">
        <f t="shared" si="17"/>
        <v>#DIV/0!</v>
      </c>
      <c r="J146" s="2574"/>
      <c r="K146" s="2574">
        <f t="shared" si="19"/>
        <v>0</v>
      </c>
      <c r="L146" s="2575">
        <f t="shared" si="20"/>
        <v>0</v>
      </c>
      <c r="M146" s="2576"/>
    </row>
    <row r="147" spans="1:13" ht="16.5">
      <c r="A147" s="2572">
        <f t="shared" si="18"/>
        <v>142</v>
      </c>
      <c r="B147" s="2822"/>
      <c r="C147" s="2581" t="s">
        <v>6216</v>
      </c>
      <c r="D147" s="2574"/>
      <c r="E147" s="2575" t="e">
        <f t="shared" si="16"/>
        <v>#DIV/0!</v>
      </c>
      <c r="F147" s="2574"/>
      <c r="G147" s="2574">
        <f t="shared" si="21"/>
        <v>0</v>
      </c>
      <c r="H147" s="2574"/>
      <c r="I147" s="2575" t="e">
        <f t="shared" si="17"/>
        <v>#DIV/0!</v>
      </c>
      <c r="J147" s="2574"/>
      <c r="K147" s="2574">
        <f t="shared" si="19"/>
        <v>0</v>
      </c>
      <c r="L147" s="2575">
        <f t="shared" si="20"/>
        <v>0</v>
      </c>
      <c r="M147" s="2576"/>
    </row>
    <row r="148" spans="1:13" ht="16.5">
      <c r="A148" s="2572">
        <f t="shared" si="18"/>
        <v>143</v>
      </c>
      <c r="B148" s="2822"/>
      <c r="C148" s="2581" t="s">
        <v>6151</v>
      </c>
      <c r="D148" s="2574">
        <f>D149+D150</f>
        <v>0</v>
      </c>
      <c r="E148" s="2575" t="e">
        <f t="shared" si="16"/>
        <v>#DIV/0!</v>
      </c>
      <c r="F148" s="2574">
        <f>F149+F150</f>
        <v>0</v>
      </c>
      <c r="G148" s="2574">
        <f t="shared" si="21"/>
        <v>0</v>
      </c>
      <c r="H148" s="2574">
        <f>H149+H150</f>
        <v>0</v>
      </c>
      <c r="I148" s="2575" t="e">
        <f t="shared" si="17"/>
        <v>#DIV/0!</v>
      </c>
      <c r="J148" s="2574">
        <f>J149+J150</f>
        <v>0</v>
      </c>
      <c r="K148" s="2574">
        <f t="shared" si="19"/>
        <v>0</v>
      </c>
      <c r="L148" s="2575">
        <f t="shared" si="20"/>
        <v>0</v>
      </c>
      <c r="M148" s="2576"/>
    </row>
    <row r="149" spans="1:13" ht="16.5">
      <c r="A149" s="2572">
        <f t="shared" si="18"/>
        <v>144</v>
      </c>
      <c r="B149" s="2822"/>
      <c r="C149" s="2582" t="s">
        <v>6217</v>
      </c>
      <c r="D149" s="2574"/>
      <c r="E149" s="2575" t="e">
        <f t="shared" si="16"/>
        <v>#DIV/0!</v>
      </c>
      <c r="F149" s="2574"/>
      <c r="G149" s="2574">
        <f t="shared" si="21"/>
        <v>0</v>
      </c>
      <c r="H149" s="2574"/>
      <c r="I149" s="2575" t="e">
        <f t="shared" si="17"/>
        <v>#DIV/0!</v>
      </c>
      <c r="J149" s="2574"/>
      <c r="K149" s="2574">
        <f t="shared" si="19"/>
        <v>0</v>
      </c>
      <c r="L149" s="2575">
        <f t="shared" si="20"/>
        <v>0</v>
      </c>
      <c r="M149" s="2576"/>
    </row>
    <row r="150" spans="1:13" ht="16.5">
      <c r="A150" s="2572">
        <f t="shared" si="18"/>
        <v>145</v>
      </c>
      <c r="B150" s="2822"/>
      <c r="C150" s="2582" t="s">
        <v>6218</v>
      </c>
      <c r="D150" s="2574"/>
      <c r="E150" s="2575" t="e">
        <f t="shared" si="16"/>
        <v>#DIV/0!</v>
      </c>
      <c r="F150" s="2574"/>
      <c r="G150" s="2574">
        <f t="shared" si="21"/>
        <v>0</v>
      </c>
      <c r="H150" s="2574"/>
      <c r="I150" s="2575" t="e">
        <f t="shared" si="17"/>
        <v>#DIV/0!</v>
      </c>
      <c r="J150" s="2574"/>
      <c r="K150" s="2574">
        <f t="shared" si="19"/>
        <v>0</v>
      </c>
      <c r="L150" s="2575">
        <f t="shared" si="20"/>
        <v>0</v>
      </c>
      <c r="M150" s="2576"/>
    </row>
    <row r="151" spans="1:13" ht="16.5">
      <c r="A151" s="2572">
        <f t="shared" si="18"/>
        <v>146</v>
      </c>
      <c r="B151" s="2822"/>
      <c r="C151" s="2579" t="s">
        <v>6219</v>
      </c>
      <c r="D151" s="2574">
        <f>D152+D153</f>
        <v>0</v>
      </c>
      <c r="E151" s="2575" t="e">
        <f t="shared" si="16"/>
        <v>#DIV/0!</v>
      </c>
      <c r="F151" s="2574">
        <f>F152+F153</f>
        <v>0</v>
      </c>
      <c r="G151" s="2574">
        <f t="shared" si="21"/>
        <v>0</v>
      </c>
      <c r="H151" s="2574">
        <f>H152+H153</f>
        <v>0</v>
      </c>
      <c r="I151" s="2575" t="e">
        <f t="shared" si="17"/>
        <v>#DIV/0!</v>
      </c>
      <c r="J151" s="2574">
        <f>J152+J153</f>
        <v>0</v>
      </c>
      <c r="K151" s="2574">
        <f t="shared" si="19"/>
        <v>0</v>
      </c>
      <c r="L151" s="2575">
        <f t="shared" si="20"/>
        <v>0</v>
      </c>
      <c r="M151" s="2576"/>
    </row>
    <row r="152" spans="1:13" ht="16.5">
      <c r="A152" s="2572">
        <f t="shared" si="18"/>
        <v>147</v>
      </c>
      <c r="B152" s="2822"/>
      <c r="C152" s="2581" t="s">
        <v>6238</v>
      </c>
      <c r="D152" s="2574"/>
      <c r="E152" s="2575" t="e">
        <f t="shared" si="16"/>
        <v>#DIV/0!</v>
      </c>
      <c r="F152" s="2574"/>
      <c r="G152" s="2574">
        <f t="shared" si="21"/>
        <v>0</v>
      </c>
      <c r="H152" s="2574"/>
      <c r="I152" s="2575" t="e">
        <f t="shared" si="17"/>
        <v>#DIV/0!</v>
      </c>
      <c r="J152" s="2574"/>
      <c r="K152" s="2574">
        <f t="shared" si="19"/>
        <v>0</v>
      </c>
      <c r="L152" s="2575">
        <f t="shared" si="20"/>
        <v>0</v>
      </c>
      <c r="M152" s="2576"/>
    </row>
    <row r="153" spans="1:13" ht="16.5">
      <c r="A153" s="2572">
        <f t="shared" si="18"/>
        <v>148</v>
      </c>
      <c r="B153" s="2822"/>
      <c r="C153" s="2581" t="s">
        <v>6239</v>
      </c>
      <c r="D153" s="2574">
        <f>SUM(D154:D155)</f>
        <v>0</v>
      </c>
      <c r="E153" s="2575" t="e">
        <f t="shared" si="16"/>
        <v>#DIV/0!</v>
      </c>
      <c r="F153" s="2574">
        <f>SUM(F154:F155)</f>
        <v>0</v>
      </c>
      <c r="G153" s="2574">
        <f t="shared" si="21"/>
        <v>0</v>
      </c>
      <c r="H153" s="2574">
        <f>SUM(H154:H155)</f>
        <v>0</v>
      </c>
      <c r="I153" s="2575" t="e">
        <f t="shared" si="17"/>
        <v>#DIV/0!</v>
      </c>
      <c r="J153" s="2574">
        <f>SUM(J154:J155)</f>
        <v>0</v>
      </c>
      <c r="K153" s="2574">
        <f t="shared" si="19"/>
        <v>0</v>
      </c>
      <c r="L153" s="2575">
        <f t="shared" si="20"/>
        <v>0</v>
      </c>
      <c r="M153" s="2576"/>
    </row>
    <row r="154" spans="1:13" ht="16.5">
      <c r="A154" s="2572">
        <f t="shared" si="18"/>
        <v>149</v>
      </c>
      <c r="B154" s="2822"/>
      <c r="C154" s="2582" t="s">
        <v>6220</v>
      </c>
      <c r="D154" s="2574"/>
      <c r="E154" s="2575" t="e">
        <f t="shared" si="16"/>
        <v>#DIV/0!</v>
      </c>
      <c r="F154" s="2574"/>
      <c r="G154" s="2574">
        <f t="shared" si="21"/>
        <v>0</v>
      </c>
      <c r="H154" s="2574"/>
      <c r="I154" s="2575" t="e">
        <f t="shared" si="17"/>
        <v>#DIV/0!</v>
      </c>
      <c r="J154" s="2574"/>
      <c r="K154" s="2574">
        <f t="shared" si="19"/>
        <v>0</v>
      </c>
      <c r="L154" s="2575">
        <f t="shared" si="20"/>
        <v>0</v>
      </c>
      <c r="M154" s="2576"/>
    </row>
    <row r="155" spans="1:13" ht="16.5">
      <c r="A155" s="2572">
        <f t="shared" si="18"/>
        <v>150</v>
      </c>
      <c r="B155" s="2822"/>
      <c r="C155" s="2582" t="s">
        <v>6221</v>
      </c>
      <c r="D155" s="2574"/>
      <c r="E155" s="2575" t="e">
        <f t="shared" si="16"/>
        <v>#DIV/0!</v>
      </c>
      <c r="F155" s="2574"/>
      <c r="G155" s="2574">
        <f t="shared" si="21"/>
        <v>0</v>
      </c>
      <c r="H155" s="2574"/>
      <c r="I155" s="2575" t="e">
        <f t="shared" si="17"/>
        <v>#DIV/0!</v>
      </c>
      <c r="J155" s="2574"/>
      <c r="K155" s="2574">
        <f t="shared" si="19"/>
        <v>0</v>
      </c>
      <c r="L155" s="2575">
        <f t="shared" si="20"/>
        <v>0</v>
      </c>
      <c r="M155" s="2576"/>
    </row>
    <row r="156" spans="1:13" ht="16.5">
      <c r="A156" s="2572">
        <f t="shared" si="18"/>
        <v>151</v>
      </c>
      <c r="B156" s="2822"/>
      <c r="C156" s="2579" t="s">
        <v>6222</v>
      </c>
      <c r="D156" s="2574"/>
      <c r="E156" s="2575" t="e">
        <f t="shared" si="16"/>
        <v>#DIV/0!</v>
      </c>
      <c r="F156" s="2574"/>
      <c r="G156" s="2574">
        <f t="shared" si="21"/>
        <v>0</v>
      </c>
      <c r="H156" s="2574"/>
      <c r="I156" s="2575" t="e">
        <f t="shared" si="17"/>
        <v>#DIV/0!</v>
      </c>
      <c r="J156" s="2574"/>
      <c r="K156" s="2574">
        <f t="shared" si="19"/>
        <v>0</v>
      </c>
      <c r="L156" s="2575">
        <f t="shared" si="20"/>
        <v>0</v>
      </c>
      <c r="M156" s="2580"/>
    </row>
    <row r="157" spans="1:13" ht="16.5">
      <c r="A157" s="2572">
        <f t="shared" si="18"/>
        <v>152</v>
      </c>
      <c r="B157" s="2822"/>
      <c r="C157" s="2579" t="s">
        <v>6223</v>
      </c>
      <c r="D157" s="2574">
        <f>SUM(D158:D159)</f>
        <v>0</v>
      </c>
      <c r="E157" s="2575" t="e">
        <f t="shared" si="16"/>
        <v>#DIV/0!</v>
      </c>
      <c r="F157" s="2574">
        <f>SUM(F158:F159)</f>
        <v>0</v>
      </c>
      <c r="G157" s="2574">
        <f t="shared" si="21"/>
        <v>0</v>
      </c>
      <c r="H157" s="2574">
        <f>SUM(H158:H159)</f>
        <v>0</v>
      </c>
      <c r="I157" s="2575" t="e">
        <f t="shared" si="17"/>
        <v>#DIV/0!</v>
      </c>
      <c r="J157" s="2574">
        <f>SUM(J158:J159)</f>
        <v>0</v>
      </c>
      <c r="K157" s="2574">
        <f t="shared" si="19"/>
        <v>0</v>
      </c>
      <c r="L157" s="2575">
        <f t="shared" si="20"/>
        <v>0</v>
      </c>
      <c r="M157" s="2576"/>
    </row>
    <row r="158" spans="1:13" ht="16.5">
      <c r="A158" s="2572">
        <f t="shared" si="18"/>
        <v>153</v>
      </c>
      <c r="B158" s="2822"/>
      <c r="C158" s="2581" t="s">
        <v>6240</v>
      </c>
      <c r="D158" s="2574"/>
      <c r="E158" s="2575" t="e">
        <f t="shared" si="16"/>
        <v>#DIV/0!</v>
      </c>
      <c r="F158" s="2574"/>
      <c r="G158" s="2574">
        <f t="shared" si="21"/>
        <v>0</v>
      </c>
      <c r="H158" s="2574"/>
      <c r="I158" s="2575" t="e">
        <f t="shared" si="17"/>
        <v>#DIV/0!</v>
      </c>
      <c r="J158" s="2574"/>
      <c r="K158" s="2574">
        <f t="shared" si="19"/>
        <v>0</v>
      </c>
      <c r="L158" s="2575">
        <f t="shared" si="20"/>
        <v>0</v>
      </c>
      <c r="M158" s="2576"/>
    </row>
    <row r="159" spans="1:13" ht="16.5">
      <c r="A159" s="2572">
        <f t="shared" si="18"/>
        <v>154</v>
      </c>
      <c r="B159" s="2822"/>
      <c r="C159" s="2581" t="s">
        <v>6241</v>
      </c>
      <c r="D159" s="2574"/>
      <c r="E159" s="2575" t="e">
        <f t="shared" si="16"/>
        <v>#DIV/0!</v>
      </c>
      <c r="F159" s="2574"/>
      <c r="G159" s="2574">
        <f t="shared" si="21"/>
        <v>0</v>
      </c>
      <c r="H159" s="2574"/>
      <c r="I159" s="2575" t="e">
        <f t="shared" si="17"/>
        <v>#DIV/0!</v>
      </c>
      <c r="J159" s="2574"/>
      <c r="K159" s="2574">
        <f t="shared" si="19"/>
        <v>0</v>
      </c>
      <c r="L159" s="2575">
        <f t="shared" si="20"/>
        <v>0</v>
      </c>
      <c r="M159" s="2576"/>
    </row>
    <row r="160" spans="1:13" ht="16.5">
      <c r="A160" s="2572">
        <f t="shared" si="18"/>
        <v>155</v>
      </c>
      <c r="B160" s="2822"/>
      <c r="C160" s="2579" t="s">
        <v>6226</v>
      </c>
      <c r="D160" s="2574"/>
      <c r="E160" s="2575" t="e">
        <f t="shared" si="16"/>
        <v>#DIV/0!</v>
      </c>
      <c r="F160" s="2574"/>
      <c r="G160" s="2574">
        <f t="shared" si="21"/>
        <v>0</v>
      </c>
      <c r="H160" s="2574"/>
      <c r="I160" s="2575" t="e">
        <f t="shared" si="17"/>
        <v>#DIV/0!</v>
      </c>
      <c r="J160" s="2574"/>
      <c r="K160" s="2574">
        <f t="shared" si="19"/>
        <v>0</v>
      </c>
      <c r="L160" s="2575">
        <f t="shared" si="20"/>
        <v>0</v>
      </c>
      <c r="M160" s="2576"/>
    </row>
    <row r="161" spans="1:13" ht="16.5">
      <c r="A161" s="2572">
        <f t="shared" si="18"/>
        <v>156</v>
      </c>
      <c r="B161" s="2822"/>
      <c r="C161" s="2579" t="s">
        <v>6227</v>
      </c>
      <c r="D161" s="2574"/>
      <c r="E161" s="2575" t="e">
        <f t="shared" si="16"/>
        <v>#DIV/0!</v>
      </c>
      <c r="F161" s="2574"/>
      <c r="G161" s="2574">
        <f t="shared" si="21"/>
        <v>0</v>
      </c>
      <c r="H161" s="2574"/>
      <c r="I161" s="2575" t="e">
        <f t="shared" si="17"/>
        <v>#DIV/0!</v>
      </c>
      <c r="J161" s="2574"/>
      <c r="K161" s="2574">
        <f t="shared" si="19"/>
        <v>0</v>
      </c>
      <c r="L161" s="2575">
        <f t="shared" si="20"/>
        <v>0</v>
      </c>
      <c r="M161" s="2576"/>
    </row>
    <row r="162" spans="1:13" ht="16.5">
      <c r="A162" s="2572">
        <f t="shared" si="18"/>
        <v>157</v>
      </c>
      <c r="B162" s="2822"/>
      <c r="C162" s="2579" t="s">
        <v>6228</v>
      </c>
      <c r="D162" s="2574"/>
      <c r="E162" s="2575" t="e">
        <f t="shared" si="16"/>
        <v>#DIV/0!</v>
      </c>
      <c r="F162" s="2574"/>
      <c r="G162" s="2574">
        <f t="shared" si="21"/>
        <v>0</v>
      </c>
      <c r="H162" s="2574"/>
      <c r="I162" s="2575" t="e">
        <f t="shared" si="17"/>
        <v>#DIV/0!</v>
      </c>
      <c r="J162" s="2574"/>
      <c r="K162" s="2574">
        <f t="shared" si="19"/>
        <v>0</v>
      </c>
      <c r="L162" s="2575">
        <f t="shared" si="20"/>
        <v>0</v>
      </c>
      <c r="M162" s="2580"/>
    </row>
    <row r="163" spans="1:13" ht="16.5">
      <c r="A163" s="2572">
        <f t="shared" si="18"/>
        <v>158</v>
      </c>
      <c r="B163" s="2822"/>
      <c r="C163" s="2579" t="s">
        <v>6229</v>
      </c>
      <c r="D163" s="2574"/>
      <c r="E163" s="2575" t="e">
        <f t="shared" si="16"/>
        <v>#DIV/0!</v>
      </c>
      <c r="F163" s="2574"/>
      <c r="G163" s="2574">
        <f t="shared" si="21"/>
        <v>0</v>
      </c>
      <c r="H163" s="2574"/>
      <c r="I163" s="2575" t="e">
        <f t="shared" si="17"/>
        <v>#DIV/0!</v>
      </c>
      <c r="J163" s="2574"/>
      <c r="K163" s="2574">
        <f t="shared" si="19"/>
        <v>0</v>
      </c>
      <c r="L163" s="2575">
        <f t="shared" si="20"/>
        <v>0</v>
      </c>
      <c r="M163" s="2576"/>
    </row>
    <row r="164" spans="1:13" ht="16.5">
      <c r="A164" s="2572">
        <f t="shared" si="18"/>
        <v>159</v>
      </c>
      <c r="B164" s="2822"/>
      <c r="C164" s="2579" t="s">
        <v>6230</v>
      </c>
      <c r="D164" s="2574"/>
      <c r="E164" s="2575" t="e">
        <f t="shared" si="16"/>
        <v>#DIV/0!</v>
      </c>
      <c r="F164" s="2574"/>
      <c r="G164" s="2574">
        <f t="shared" si="21"/>
        <v>0</v>
      </c>
      <c r="H164" s="2574"/>
      <c r="I164" s="2575" t="e">
        <f t="shared" si="17"/>
        <v>#DIV/0!</v>
      </c>
      <c r="J164" s="2574"/>
      <c r="K164" s="2574">
        <f t="shared" si="19"/>
        <v>0</v>
      </c>
      <c r="L164" s="2575">
        <f t="shared" si="20"/>
        <v>0</v>
      </c>
      <c r="M164" s="2576"/>
    </row>
    <row r="165" spans="1:13" ht="16.5">
      <c r="A165" s="2572">
        <f t="shared" si="18"/>
        <v>160</v>
      </c>
      <c r="B165" s="2822"/>
      <c r="C165" s="2579" t="s">
        <v>6231</v>
      </c>
      <c r="D165" s="2574">
        <f>SUM(D166:D170)</f>
        <v>0</v>
      </c>
      <c r="E165" s="2575" t="e">
        <f t="shared" si="16"/>
        <v>#DIV/0!</v>
      </c>
      <c r="F165" s="2574">
        <f>SUM(F166:F170)</f>
        <v>0</v>
      </c>
      <c r="G165" s="2574">
        <f t="shared" si="21"/>
        <v>0</v>
      </c>
      <c r="H165" s="2574">
        <f>SUM(H166:H170)</f>
        <v>0</v>
      </c>
      <c r="I165" s="2575" t="e">
        <f t="shared" si="17"/>
        <v>#DIV/0!</v>
      </c>
      <c r="J165" s="2574">
        <f>SUM(J166:J170)</f>
        <v>0</v>
      </c>
      <c r="K165" s="2574">
        <f t="shared" si="19"/>
        <v>0</v>
      </c>
      <c r="L165" s="2575">
        <f t="shared" si="20"/>
        <v>0</v>
      </c>
      <c r="M165" s="2576"/>
    </row>
    <row r="166" spans="1:13" ht="16.5">
      <c r="A166" s="2572">
        <f t="shared" si="18"/>
        <v>161</v>
      </c>
      <c r="B166" s="2822"/>
      <c r="C166" s="2581" t="s">
        <v>6232</v>
      </c>
      <c r="D166" s="2574"/>
      <c r="E166" s="2575" t="e">
        <f t="shared" ref="E166:E197" si="22">D166/$D$269</f>
        <v>#DIV/0!</v>
      </c>
      <c r="F166" s="2574"/>
      <c r="G166" s="2574">
        <f t="shared" si="21"/>
        <v>0</v>
      </c>
      <c r="H166" s="2574"/>
      <c r="I166" s="2575" t="e">
        <f t="shared" ref="I166:I197" si="23">H166/H$269</f>
        <v>#DIV/0!</v>
      </c>
      <c r="J166" s="2574"/>
      <c r="K166" s="2574">
        <f t="shared" si="19"/>
        <v>0</v>
      </c>
      <c r="L166" s="2575">
        <f t="shared" si="20"/>
        <v>0</v>
      </c>
      <c r="M166" s="2576"/>
    </row>
    <row r="167" spans="1:13" ht="16.5">
      <c r="A167" s="2572">
        <f t="shared" si="18"/>
        <v>162</v>
      </c>
      <c r="B167" s="2822"/>
      <c r="C167" s="2581" t="s">
        <v>6233</v>
      </c>
      <c r="D167" s="2574"/>
      <c r="E167" s="2575" t="e">
        <f t="shared" si="22"/>
        <v>#DIV/0!</v>
      </c>
      <c r="F167" s="2574"/>
      <c r="G167" s="2574">
        <f t="shared" si="21"/>
        <v>0</v>
      </c>
      <c r="H167" s="2574"/>
      <c r="I167" s="2575" t="e">
        <f t="shared" si="23"/>
        <v>#DIV/0!</v>
      </c>
      <c r="J167" s="2574"/>
      <c r="K167" s="2574">
        <f t="shared" si="19"/>
        <v>0</v>
      </c>
      <c r="L167" s="2575">
        <f t="shared" si="20"/>
        <v>0</v>
      </c>
      <c r="M167" s="2576"/>
    </row>
    <row r="168" spans="1:13" ht="16.5">
      <c r="A168" s="2572">
        <f t="shared" si="18"/>
        <v>163</v>
      </c>
      <c r="B168" s="2822"/>
      <c r="C168" s="2581" t="s">
        <v>6234</v>
      </c>
      <c r="D168" s="2574"/>
      <c r="E168" s="2575" t="e">
        <f t="shared" si="22"/>
        <v>#DIV/0!</v>
      </c>
      <c r="F168" s="2574"/>
      <c r="G168" s="2574">
        <f t="shared" si="21"/>
        <v>0</v>
      </c>
      <c r="H168" s="2574"/>
      <c r="I168" s="2575" t="e">
        <f t="shared" si="23"/>
        <v>#DIV/0!</v>
      </c>
      <c r="J168" s="2574"/>
      <c r="K168" s="2574">
        <f t="shared" si="19"/>
        <v>0</v>
      </c>
      <c r="L168" s="2575">
        <f t="shared" si="20"/>
        <v>0</v>
      </c>
      <c r="M168" s="2576"/>
    </row>
    <row r="169" spans="1:13" ht="16.5">
      <c r="A169" s="2572">
        <f t="shared" si="18"/>
        <v>164</v>
      </c>
      <c r="B169" s="2822"/>
      <c r="C169" s="2581" t="s">
        <v>6235</v>
      </c>
      <c r="D169" s="2574"/>
      <c r="E169" s="2575" t="e">
        <f t="shared" si="22"/>
        <v>#DIV/0!</v>
      </c>
      <c r="F169" s="2574"/>
      <c r="G169" s="2574">
        <f t="shared" si="21"/>
        <v>0</v>
      </c>
      <c r="H169" s="2574"/>
      <c r="I169" s="2575" t="e">
        <f t="shared" si="23"/>
        <v>#DIV/0!</v>
      </c>
      <c r="J169" s="2574"/>
      <c r="K169" s="2574">
        <f t="shared" si="19"/>
        <v>0</v>
      </c>
      <c r="L169" s="2575">
        <f t="shared" si="20"/>
        <v>0</v>
      </c>
      <c r="M169" s="2576"/>
    </row>
    <row r="170" spans="1:13" ht="16.5">
      <c r="A170" s="2572">
        <f t="shared" si="18"/>
        <v>165</v>
      </c>
      <c r="B170" s="2822"/>
      <c r="C170" s="2581" t="s">
        <v>6236</v>
      </c>
      <c r="D170" s="2574"/>
      <c r="E170" s="2575" t="e">
        <f t="shared" si="22"/>
        <v>#DIV/0!</v>
      </c>
      <c r="F170" s="2574"/>
      <c r="G170" s="2574">
        <f t="shared" si="21"/>
        <v>0</v>
      </c>
      <c r="H170" s="2574"/>
      <c r="I170" s="2575" t="e">
        <f t="shared" si="23"/>
        <v>#DIV/0!</v>
      </c>
      <c r="J170" s="2574"/>
      <c r="K170" s="2574">
        <f t="shared" si="19"/>
        <v>0</v>
      </c>
      <c r="L170" s="2575">
        <f t="shared" si="20"/>
        <v>0</v>
      </c>
      <c r="M170" s="2576"/>
    </row>
    <row r="171" spans="1:13" ht="16.5">
      <c r="A171" s="2572">
        <f t="shared" si="18"/>
        <v>166</v>
      </c>
      <c r="B171" s="2822"/>
      <c r="C171" s="2573" t="s">
        <v>6242</v>
      </c>
      <c r="D171" s="2574">
        <f>D172+D187</f>
        <v>0</v>
      </c>
      <c r="E171" s="2575" t="e">
        <f t="shared" si="22"/>
        <v>#DIV/0!</v>
      </c>
      <c r="F171" s="2574">
        <f>F172+F187</f>
        <v>0</v>
      </c>
      <c r="G171" s="2574">
        <f t="shared" si="21"/>
        <v>0</v>
      </c>
      <c r="H171" s="2574">
        <f>H172+H187</f>
        <v>0</v>
      </c>
      <c r="I171" s="2575" t="e">
        <f t="shared" si="23"/>
        <v>#DIV/0!</v>
      </c>
      <c r="J171" s="2574">
        <f>J172+J187</f>
        <v>0</v>
      </c>
      <c r="K171" s="2574">
        <f t="shared" si="19"/>
        <v>0</v>
      </c>
      <c r="L171" s="2575">
        <f t="shared" si="20"/>
        <v>0</v>
      </c>
      <c r="M171" s="2576"/>
    </row>
    <row r="172" spans="1:13" ht="16.5">
      <c r="A172" s="2572">
        <f t="shared" si="18"/>
        <v>167</v>
      </c>
      <c r="B172" s="2822"/>
      <c r="C172" s="2578" t="s">
        <v>6206</v>
      </c>
      <c r="D172" s="2574">
        <f>SUM(D173:D179)</f>
        <v>0</v>
      </c>
      <c r="E172" s="2575" t="e">
        <f t="shared" si="22"/>
        <v>#DIV/0!</v>
      </c>
      <c r="F172" s="2574">
        <f>SUM(F173:F179)</f>
        <v>0</v>
      </c>
      <c r="G172" s="2574">
        <f t="shared" si="21"/>
        <v>0</v>
      </c>
      <c r="H172" s="2574">
        <f>SUM(H173:H179)</f>
        <v>0</v>
      </c>
      <c r="I172" s="2575" t="e">
        <f t="shared" si="23"/>
        <v>#DIV/0!</v>
      </c>
      <c r="J172" s="2574">
        <f>SUM(J173:J179)</f>
        <v>0</v>
      </c>
      <c r="K172" s="2574">
        <f t="shared" si="19"/>
        <v>0</v>
      </c>
      <c r="L172" s="2575">
        <f t="shared" si="20"/>
        <v>0</v>
      </c>
      <c r="M172" s="2576"/>
    </row>
    <row r="173" spans="1:13" ht="16.5">
      <c r="A173" s="2572">
        <f t="shared" si="18"/>
        <v>168</v>
      </c>
      <c r="B173" s="2822"/>
      <c r="C173" s="2579" t="s">
        <v>6243</v>
      </c>
      <c r="D173" s="2574"/>
      <c r="E173" s="2575" t="e">
        <f t="shared" si="22"/>
        <v>#DIV/0!</v>
      </c>
      <c r="F173" s="2574"/>
      <c r="G173" s="2574">
        <f t="shared" si="21"/>
        <v>0</v>
      </c>
      <c r="H173" s="2574"/>
      <c r="I173" s="2575" t="e">
        <f t="shared" si="23"/>
        <v>#DIV/0!</v>
      </c>
      <c r="J173" s="2574"/>
      <c r="K173" s="2574">
        <f t="shared" si="19"/>
        <v>0</v>
      </c>
      <c r="L173" s="2575">
        <f t="shared" si="20"/>
        <v>0</v>
      </c>
      <c r="M173" s="2576"/>
    </row>
    <row r="174" spans="1:13" ht="16.5">
      <c r="A174" s="2572">
        <f t="shared" si="18"/>
        <v>169</v>
      </c>
      <c r="B174" s="2822"/>
      <c r="C174" s="2579" t="s">
        <v>6244</v>
      </c>
      <c r="D174" s="2574"/>
      <c r="E174" s="2575" t="e">
        <f t="shared" si="22"/>
        <v>#DIV/0!</v>
      </c>
      <c r="F174" s="2574"/>
      <c r="G174" s="2574">
        <f t="shared" si="21"/>
        <v>0</v>
      </c>
      <c r="H174" s="2574"/>
      <c r="I174" s="2575" t="e">
        <f t="shared" si="23"/>
        <v>#DIV/0!</v>
      </c>
      <c r="J174" s="2574"/>
      <c r="K174" s="2574">
        <f t="shared" si="19"/>
        <v>0</v>
      </c>
      <c r="L174" s="2575">
        <f t="shared" si="20"/>
        <v>0</v>
      </c>
      <c r="M174" s="2576"/>
    </row>
    <row r="175" spans="1:13" ht="33">
      <c r="A175" s="2572">
        <f t="shared" si="18"/>
        <v>170</v>
      </c>
      <c r="B175" s="2822"/>
      <c r="C175" s="2579" t="s">
        <v>6245</v>
      </c>
      <c r="D175" s="2574"/>
      <c r="E175" s="2575" t="e">
        <f t="shared" si="22"/>
        <v>#DIV/0!</v>
      </c>
      <c r="F175" s="2574"/>
      <c r="G175" s="2574">
        <f t="shared" si="21"/>
        <v>0</v>
      </c>
      <c r="H175" s="2574"/>
      <c r="I175" s="2575" t="e">
        <f t="shared" si="23"/>
        <v>#DIV/0!</v>
      </c>
      <c r="J175" s="2574"/>
      <c r="K175" s="2574">
        <f t="shared" si="19"/>
        <v>0</v>
      </c>
      <c r="L175" s="2575">
        <f t="shared" si="20"/>
        <v>0</v>
      </c>
      <c r="M175" s="2580"/>
    </row>
    <row r="176" spans="1:13" ht="16.5">
      <c r="A176" s="2572">
        <f t="shared" si="18"/>
        <v>171</v>
      </c>
      <c r="B176" s="2822"/>
      <c r="C176" s="2579" t="s">
        <v>6246</v>
      </c>
      <c r="D176" s="2574"/>
      <c r="E176" s="2575" t="e">
        <f t="shared" si="22"/>
        <v>#DIV/0!</v>
      </c>
      <c r="F176" s="2574"/>
      <c r="G176" s="2574">
        <f t="shared" si="21"/>
        <v>0</v>
      </c>
      <c r="H176" s="2574"/>
      <c r="I176" s="2575" t="e">
        <f t="shared" si="23"/>
        <v>#DIV/0!</v>
      </c>
      <c r="J176" s="2574"/>
      <c r="K176" s="2574">
        <f t="shared" si="19"/>
        <v>0</v>
      </c>
      <c r="L176" s="2575">
        <f t="shared" si="20"/>
        <v>0</v>
      </c>
      <c r="M176" s="2576"/>
    </row>
    <row r="177" spans="1:13" ht="16.5">
      <c r="A177" s="2572">
        <f t="shared" si="18"/>
        <v>172</v>
      </c>
      <c r="B177" s="2822"/>
      <c r="C177" s="2579" t="s">
        <v>6247</v>
      </c>
      <c r="D177" s="2574"/>
      <c r="E177" s="2575" t="e">
        <f t="shared" si="22"/>
        <v>#DIV/0!</v>
      </c>
      <c r="F177" s="2574"/>
      <c r="G177" s="2574">
        <f t="shared" si="21"/>
        <v>0</v>
      </c>
      <c r="H177" s="2574"/>
      <c r="I177" s="2575" t="e">
        <f t="shared" si="23"/>
        <v>#DIV/0!</v>
      </c>
      <c r="J177" s="2574"/>
      <c r="K177" s="2574">
        <f t="shared" si="19"/>
        <v>0</v>
      </c>
      <c r="L177" s="2575">
        <f t="shared" si="20"/>
        <v>0</v>
      </c>
      <c r="M177" s="2576"/>
    </row>
    <row r="178" spans="1:13" ht="16.5">
      <c r="A178" s="2572">
        <f t="shared" si="18"/>
        <v>173</v>
      </c>
      <c r="B178" s="2822"/>
      <c r="C178" s="2579" t="s">
        <v>6248</v>
      </c>
      <c r="D178" s="2574"/>
      <c r="E178" s="2575" t="e">
        <f t="shared" si="22"/>
        <v>#DIV/0!</v>
      </c>
      <c r="F178" s="2574"/>
      <c r="G178" s="2574">
        <f t="shared" si="21"/>
        <v>0</v>
      </c>
      <c r="H178" s="2574"/>
      <c r="I178" s="2575" t="e">
        <f t="shared" si="23"/>
        <v>#DIV/0!</v>
      </c>
      <c r="J178" s="2574"/>
      <c r="K178" s="2574">
        <f t="shared" si="19"/>
        <v>0</v>
      </c>
      <c r="L178" s="2575">
        <f t="shared" si="20"/>
        <v>0</v>
      </c>
      <c r="M178" s="2580"/>
    </row>
    <row r="179" spans="1:13" ht="16.5">
      <c r="A179" s="2572">
        <f t="shared" si="18"/>
        <v>174</v>
      </c>
      <c r="B179" s="2822"/>
      <c r="C179" s="2579" t="s">
        <v>6249</v>
      </c>
      <c r="D179" s="2574">
        <f>SUM(D180:D186)</f>
        <v>0</v>
      </c>
      <c r="E179" s="2575" t="e">
        <f t="shared" si="22"/>
        <v>#DIV/0!</v>
      </c>
      <c r="F179" s="2574">
        <f>SUM(F180:F186)</f>
        <v>0</v>
      </c>
      <c r="G179" s="2574">
        <f t="shared" si="21"/>
        <v>0</v>
      </c>
      <c r="H179" s="2574">
        <f>SUM(H180:H186)</f>
        <v>0</v>
      </c>
      <c r="I179" s="2575" t="e">
        <f t="shared" si="23"/>
        <v>#DIV/0!</v>
      </c>
      <c r="J179" s="2574">
        <f>SUM(J180:J186)</f>
        <v>0</v>
      </c>
      <c r="K179" s="2574">
        <f t="shared" si="19"/>
        <v>0</v>
      </c>
      <c r="L179" s="2575">
        <f t="shared" si="20"/>
        <v>0</v>
      </c>
      <c r="M179" s="2576"/>
    </row>
    <row r="180" spans="1:13" ht="16.5">
      <c r="A180" s="2572">
        <f t="shared" si="18"/>
        <v>175</v>
      </c>
      <c r="B180" s="2822"/>
      <c r="C180" s="2581" t="s">
        <v>6250</v>
      </c>
      <c r="D180" s="2574"/>
      <c r="E180" s="2575" t="e">
        <f t="shared" si="22"/>
        <v>#DIV/0!</v>
      </c>
      <c r="F180" s="2574"/>
      <c r="G180" s="2574">
        <f t="shared" si="21"/>
        <v>0</v>
      </c>
      <c r="H180" s="2574"/>
      <c r="I180" s="2575" t="e">
        <f t="shared" si="23"/>
        <v>#DIV/0!</v>
      </c>
      <c r="J180" s="2574"/>
      <c r="K180" s="2574">
        <f t="shared" si="19"/>
        <v>0</v>
      </c>
      <c r="L180" s="2575">
        <f t="shared" si="20"/>
        <v>0</v>
      </c>
      <c r="M180" s="2576"/>
    </row>
    <row r="181" spans="1:13" ht="16.5">
      <c r="A181" s="2572">
        <f t="shared" si="18"/>
        <v>176</v>
      </c>
      <c r="B181" s="2822"/>
      <c r="C181" s="2581" t="s">
        <v>6251</v>
      </c>
      <c r="D181" s="2574"/>
      <c r="E181" s="2575" t="e">
        <f t="shared" si="22"/>
        <v>#DIV/0!</v>
      </c>
      <c r="F181" s="2574"/>
      <c r="G181" s="2574">
        <f t="shared" si="21"/>
        <v>0</v>
      </c>
      <c r="H181" s="2574"/>
      <c r="I181" s="2575" t="e">
        <f t="shared" si="23"/>
        <v>#DIV/0!</v>
      </c>
      <c r="J181" s="2574"/>
      <c r="K181" s="2574">
        <f t="shared" si="19"/>
        <v>0</v>
      </c>
      <c r="L181" s="2575">
        <f t="shared" si="20"/>
        <v>0</v>
      </c>
      <c r="M181" s="2576"/>
    </row>
    <row r="182" spans="1:13" ht="16.5">
      <c r="A182" s="2572">
        <f t="shared" si="18"/>
        <v>177</v>
      </c>
      <c r="B182" s="2822"/>
      <c r="C182" s="2581" t="s">
        <v>6252</v>
      </c>
      <c r="D182" s="2574"/>
      <c r="E182" s="2575" t="e">
        <f t="shared" si="22"/>
        <v>#DIV/0!</v>
      </c>
      <c r="F182" s="2574"/>
      <c r="G182" s="2574">
        <f t="shared" si="21"/>
        <v>0</v>
      </c>
      <c r="H182" s="2574"/>
      <c r="I182" s="2575" t="e">
        <f t="shared" si="23"/>
        <v>#DIV/0!</v>
      </c>
      <c r="J182" s="2574"/>
      <c r="K182" s="2574">
        <f t="shared" si="19"/>
        <v>0</v>
      </c>
      <c r="L182" s="2575">
        <f t="shared" si="20"/>
        <v>0</v>
      </c>
      <c r="M182" s="2576"/>
    </row>
    <row r="183" spans="1:13" ht="16.5">
      <c r="A183" s="2572">
        <f t="shared" si="18"/>
        <v>178</v>
      </c>
      <c r="B183" s="2822"/>
      <c r="C183" s="2581" t="s">
        <v>6253</v>
      </c>
      <c r="D183" s="2574"/>
      <c r="E183" s="2575" t="e">
        <f t="shared" si="22"/>
        <v>#DIV/0!</v>
      </c>
      <c r="F183" s="2574"/>
      <c r="G183" s="2574">
        <f t="shared" si="21"/>
        <v>0</v>
      </c>
      <c r="H183" s="2574"/>
      <c r="I183" s="2575" t="e">
        <f t="shared" si="23"/>
        <v>#DIV/0!</v>
      </c>
      <c r="J183" s="2574"/>
      <c r="K183" s="2574">
        <f t="shared" si="19"/>
        <v>0</v>
      </c>
      <c r="L183" s="2575">
        <f t="shared" si="20"/>
        <v>0</v>
      </c>
      <c r="M183" s="2580"/>
    </row>
    <row r="184" spans="1:13" ht="16.5">
      <c r="A184" s="2572">
        <f t="shared" si="18"/>
        <v>179</v>
      </c>
      <c r="B184" s="2822"/>
      <c r="C184" s="2581" t="s">
        <v>6254</v>
      </c>
      <c r="D184" s="2574"/>
      <c r="E184" s="2575" t="e">
        <f t="shared" si="22"/>
        <v>#DIV/0!</v>
      </c>
      <c r="F184" s="2574"/>
      <c r="G184" s="2574">
        <f t="shared" si="21"/>
        <v>0</v>
      </c>
      <c r="H184" s="2574"/>
      <c r="I184" s="2575" t="e">
        <f t="shared" si="23"/>
        <v>#DIV/0!</v>
      </c>
      <c r="J184" s="2574"/>
      <c r="K184" s="2574">
        <f t="shared" si="19"/>
        <v>0</v>
      </c>
      <c r="L184" s="2575">
        <f t="shared" si="20"/>
        <v>0</v>
      </c>
      <c r="M184" s="2576"/>
    </row>
    <row r="185" spans="1:13" ht="16.5">
      <c r="A185" s="2572">
        <f t="shared" si="18"/>
        <v>180</v>
      </c>
      <c r="B185" s="2822"/>
      <c r="C185" s="2581" t="s">
        <v>6255</v>
      </c>
      <c r="D185" s="2574"/>
      <c r="E185" s="2575" t="e">
        <f t="shared" si="22"/>
        <v>#DIV/0!</v>
      </c>
      <c r="F185" s="2574"/>
      <c r="G185" s="2574">
        <f t="shared" si="21"/>
        <v>0</v>
      </c>
      <c r="H185" s="2574"/>
      <c r="I185" s="2575" t="e">
        <f t="shared" si="23"/>
        <v>#DIV/0!</v>
      </c>
      <c r="J185" s="2574"/>
      <c r="K185" s="2574">
        <f t="shared" si="19"/>
        <v>0</v>
      </c>
      <c r="L185" s="2575">
        <f t="shared" si="20"/>
        <v>0</v>
      </c>
      <c r="M185" s="2576"/>
    </row>
    <row r="186" spans="1:13" ht="16.5">
      <c r="A186" s="2572">
        <f t="shared" si="18"/>
        <v>181</v>
      </c>
      <c r="B186" s="2822"/>
      <c r="C186" s="2581" t="s">
        <v>6180</v>
      </c>
      <c r="D186" s="2574"/>
      <c r="E186" s="2575" t="e">
        <f t="shared" si="22"/>
        <v>#DIV/0!</v>
      </c>
      <c r="F186" s="2574"/>
      <c r="G186" s="2574">
        <f t="shared" si="21"/>
        <v>0</v>
      </c>
      <c r="H186" s="2574"/>
      <c r="I186" s="2575" t="e">
        <f t="shared" si="23"/>
        <v>#DIV/0!</v>
      </c>
      <c r="J186" s="2574"/>
      <c r="K186" s="2574">
        <f t="shared" si="19"/>
        <v>0</v>
      </c>
      <c r="L186" s="2575">
        <f t="shared" si="20"/>
        <v>0</v>
      </c>
      <c r="M186" s="2576"/>
    </row>
    <row r="187" spans="1:13" ht="16.5">
      <c r="A187" s="2572">
        <f t="shared" si="18"/>
        <v>182</v>
      </c>
      <c r="B187" s="2822"/>
      <c r="C187" s="2578" t="s">
        <v>6128</v>
      </c>
      <c r="D187" s="2574">
        <f>SUM(D188:D194)</f>
        <v>0</v>
      </c>
      <c r="E187" s="2575" t="e">
        <f t="shared" si="22"/>
        <v>#DIV/0!</v>
      </c>
      <c r="F187" s="2574">
        <f>SUM(F188:F194)</f>
        <v>0</v>
      </c>
      <c r="G187" s="2574">
        <f t="shared" si="21"/>
        <v>0</v>
      </c>
      <c r="H187" s="2574">
        <f>SUM(H188:H194)</f>
        <v>0</v>
      </c>
      <c r="I187" s="2575" t="e">
        <f t="shared" si="23"/>
        <v>#DIV/0!</v>
      </c>
      <c r="J187" s="2574">
        <f>SUM(J188:J194)</f>
        <v>0</v>
      </c>
      <c r="K187" s="2574">
        <f t="shared" si="19"/>
        <v>0</v>
      </c>
      <c r="L187" s="2575">
        <f t="shared" si="20"/>
        <v>0</v>
      </c>
      <c r="M187" s="2576"/>
    </row>
    <row r="188" spans="1:13" ht="16.5">
      <c r="A188" s="2572">
        <f t="shared" si="18"/>
        <v>183</v>
      </c>
      <c r="B188" s="2822"/>
      <c r="C188" s="2579" t="s">
        <v>6243</v>
      </c>
      <c r="D188" s="2574"/>
      <c r="E188" s="2575" t="e">
        <f t="shared" si="22"/>
        <v>#DIV/0!</v>
      </c>
      <c r="F188" s="2574"/>
      <c r="G188" s="2574">
        <f t="shared" si="21"/>
        <v>0</v>
      </c>
      <c r="H188" s="2574"/>
      <c r="I188" s="2575" t="e">
        <f t="shared" si="23"/>
        <v>#DIV/0!</v>
      </c>
      <c r="J188" s="2574"/>
      <c r="K188" s="2574">
        <f t="shared" si="19"/>
        <v>0</v>
      </c>
      <c r="L188" s="2575">
        <f t="shared" si="20"/>
        <v>0</v>
      </c>
      <c r="M188" s="2576"/>
    </row>
    <row r="189" spans="1:13" ht="16.5">
      <c r="A189" s="2572">
        <f t="shared" si="18"/>
        <v>184</v>
      </c>
      <c r="B189" s="2822"/>
      <c r="C189" s="2579" t="s">
        <v>6244</v>
      </c>
      <c r="D189" s="2574"/>
      <c r="E189" s="2575" t="e">
        <f t="shared" si="22"/>
        <v>#DIV/0!</v>
      </c>
      <c r="F189" s="2574"/>
      <c r="G189" s="2574">
        <f t="shared" si="21"/>
        <v>0</v>
      </c>
      <c r="H189" s="2574"/>
      <c r="I189" s="2575" t="e">
        <f t="shared" si="23"/>
        <v>#DIV/0!</v>
      </c>
      <c r="J189" s="2574"/>
      <c r="K189" s="2574">
        <f t="shared" si="19"/>
        <v>0</v>
      </c>
      <c r="L189" s="2575">
        <f t="shared" si="20"/>
        <v>0</v>
      </c>
      <c r="M189" s="2576"/>
    </row>
    <row r="190" spans="1:13" ht="33">
      <c r="A190" s="2572">
        <f t="shared" si="18"/>
        <v>185</v>
      </c>
      <c r="B190" s="2822"/>
      <c r="C190" s="2579" t="s">
        <v>6245</v>
      </c>
      <c r="D190" s="2574"/>
      <c r="E190" s="2575" t="e">
        <f t="shared" si="22"/>
        <v>#DIV/0!</v>
      </c>
      <c r="F190" s="2574"/>
      <c r="G190" s="2574">
        <f t="shared" si="21"/>
        <v>0</v>
      </c>
      <c r="H190" s="2574"/>
      <c r="I190" s="2575" t="e">
        <f t="shared" si="23"/>
        <v>#DIV/0!</v>
      </c>
      <c r="J190" s="2574"/>
      <c r="K190" s="2574">
        <f t="shared" si="19"/>
        <v>0</v>
      </c>
      <c r="L190" s="2575">
        <f t="shared" si="20"/>
        <v>0</v>
      </c>
      <c r="M190" s="2580"/>
    </row>
    <row r="191" spans="1:13" ht="16.5">
      <c r="A191" s="2572">
        <f t="shared" si="18"/>
        <v>186</v>
      </c>
      <c r="B191" s="2822"/>
      <c r="C191" s="2579" t="s">
        <v>6246</v>
      </c>
      <c r="D191" s="2574"/>
      <c r="E191" s="2575" t="e">
        <f t="shared" si="22"/>
        <v>#DIV/0!</v>
      </c>
      <c r="F191" s="2574"/>
      <c r="G191" s="2574">
        <f t="shared" si="21"/>
        <v>0</v>
      </c>
      <c r="H191" s="2574"/>
      <c r="I191" s="2575" t="e">
        <f t="shared" si="23"/>
        <v>#DIV/0!</v>
      </c>
      <c r="J191" s="2574"/>
      <c r="K191" s="2574">
        <f t="shared" si="19"/>
        <v>0</v>
      </c>
      <c r="L191" s="2575">
        <f t="shared" si="20"/>
        <v>0</v>
      </c>
      <c r="M191" s="2576"/>
    </row>
    <row r="192" spans="1:13" ht="16.5">
      <c r="A192" s="2572">
        <f t="shared" si="18"/>
        <v>187</v>
      </c>
      <c r="B192" s="2822"/>
      <c r="C192" s="2579" t="s">
        <v>6247</v>
      </c>
      <c r="D192" s="2574"/>
      <c r="E192" s="2575" t="e">
        <f t="shared" si="22"/>
        <v>#DIV/0!</v>
      </c>
      <c r="F192" s="2574"/>
      <c r="G192" s="2574">
        <f t="shared" si="21"/>
        <v>0</v>
      </c>
      <c r="H192" s="2574"/>
      <c r="I192" s="2575" t="e">
        <f t="shared" si="23"/>
        <v>#DIV/0!</v>
      </c>
      <c r="J192" s="2574"/>
      <c r="K192" s="2574">
        <f t="shared" si="19"/>
        <v>0</v>
      </c>
      <c r="L192" s="2575">
        <f t="shared" si="20"/>
        <v>0</v>
      </c>
      <c r="M192" s="2576"/>
    </row>
    <row r="193" spans="1:13" ht="16.5">
      <c r="A193" s="2572">
        <f t="shared" si="18"/>
        <v>188</v>
      </c>
      <c r="B193" s="2822"/>
      <c r="C193" s="2579" t="s">
        <v>6248</v>
      </c>
      <c r="D193" s="2574"/>
      <c r="E193" s="2575" t="e">
        <f t="shared" si="22"/>
        <v>#DIV/0!</v>
      </c>
      <c r="F193" s="2574"/>
      <c r="G193" s="2574">
        <f t="shared" si="21"/>
        <v>0</v>
      </c>
      <c r="H193" s="2574"/>
      <c r="I193" s="2575" t="e">
        <f t="shared" si="23"/>
        <v>#DIV/0!</v>
      </c>
      <c r="J193" s="2574"/>
      <c r="K193" s="2574">
        <f t="shared" si="19"/>
        <v>0</v>
      </c>
      <c r="L193" s="2575">
        <f t="shared" si="20"/>
        <v>0</v>
      </c>
      <c r="M193" s="2580"/>
    </row>
    <row r="194" spans="1:13" ht="16.5">
      <c r="A194" s="2572">
        <f t="shared" si="18"/>
        <v>189</v>
      </c>
      <c r="B194" s="2822"/>
      <c r="C194" s="2579" t="s">
        <v>6249</v>
      </c>
      <c r="D194" s="2574">
        <f>SUM(D195:D201)</f>
        <v>0</v>
      </c>
      <c r="E194" s="2575" t="e">
        <f t="shared" si="22"/>
        <v>#DIV/0!</v>
      </c>
      <c r="F194" s="2574">
        <f>SUM(F195:F201)</f>
        <v>0</v>
      </c>
      <c r="G194" s="2574">
        <f t="shared" si="21"/>
        <v>0</v>
      </c>
      <c r="H194" s="2574">
        <f>SUM(H195:H201)</f>
        <v>0</v>
      </c>
      <c r="I194" s="2575" t="e">
        <f t="shared" si="23"/>
        <v>#DIV/0!</v>
      </c>
      <c r="J194" s="2574">
        <f>SUM(J195:J201)</f>
        <v>0</v>
      </c>
      <c r="K194" s="2574">
        <f t="shared" si="19"/>
        <v>0</v>
      </c>
      <c r="L194" s="2575">
        <f t="shared" si="20"/>
        <v>0</v>
      </c>
      <c r="M194" s="2576"/>
    </row>
    <row r="195" spans="1:13" ht="16.5">
      <c r="A195" s="2572">
        <f t="shared" si="18"/>
        <v>190</v>
      </c>
      <c r="B195" s="2822"/>
      <c r="C195" s="2581" t="s">
        <v>6250</v>
      </c>
      <c r="D195" s="2574"/>
      <c r="E195" s="2575" t="e">
        <f t="shared" si="22"/>
        <v>#DIV/0!</v>
      </c>
      <c r="F195" s="2574"/>
      <c r="G195" s="2574">
        <f t="shared" si="21"/>
        <v>0</v>
      </c>
      <c r="H195" s="2574"/>
      <c r="I195" s="2575" t="e">
        <f t="shared" si="23"/>
        <v>#DIV/0!</v>
      </c>
      <c r="J195" s="2574"/>
      <c r="K195" s="2574">
        <f t="shared" si="19"/>
        <v>0</v>
      </c>
      <c r="L195" s="2575">
        <f t="shared" si="20"/>
        <v>0</v>
      </c>
      <c r="M195" s="2576"/>
    </row>
    <row r="196" spans="1:13" ht="16.5">
      <c r="A196" s="2572">
        <f t="shared" si="18"/>
        <v>191</v>
      </c>
      <c r="B196" s="2822"/>
      <c r="C196" s="2581" t="s">
        <v>6251</v>
      </c>
      <c r="D196" s="2574"/>
      <c r="E196" s="2575" t="e">
        <f t="shared" si="22"/>
        <v>#DIV/0!</v>
      </c>
      <c r="F196" s="2574"/>
      <c r="G196" s="2574">
        <f t="shared" si="21"/>
        <v>0</v>
      </c>
      <c r="H196" s="2574"/>
      <c r="I196" s="2575" t="e">
        <f t="shared" si="23"/>
        <v>#DIV/0!</v>
      </c>
      <c r="J196" s="2574"/>
      <c r="K196" s="2574">
        <f t="shared" si="19"/>
        <v>0</v>
      </c>
      <c r="L196" s="2575">
        <f t="shared" si="20"/>
        <v>0</v>
      </c>
      <c r="M196" s="2576"/>
    </row>
    <row r="197" spans="1:13" ht="16.5">
      <c r="A197" s="2572">
        <f t="shared" si="18"/>
        <v>192</v>
      </c>
      <c r="B197" s="2822"/>
      <c r="C197" s="2581" t="s">
        <v>6252</v>
      </c>
      <c r="D197" s="2574"/>
      <c r="E197" s="2575" t="e">
        <f t="shared" si="22"/>
        <v>#DIV/0!</v>
      </c>
      <c r="F197" s="2574"/>
      <c r="G197" s="2574">
        <f t="shared" si="21"/>
        <v>0</v>
      </c>
      <c r="H197" s="2574"/>
      <c r="I197" s="2575" t="e">
        <f t="shared" si="23"/>
        <v>#DIV/0!</v>
      </c>
      <c r="J197" s="2574"/>
      <c r="K197" s="2574">
        <f t="shared" si="19"/>
        <v>0</v>
      </c>
      <c r="L197" s="2575">
        <f t="shared" si="20"/>
        <v>0</v>
      </c>
      <c r="M197" s="2576"/>
    </row>
    <row r="198" spans="1:13" ht="16.5">
      <c r="A198" s="2572">
        <f t="shared" si="18"/>
        <v>193</v>
      </c>
      <c r="B198" s="2822"/>
      <c r="C198" s="2581" t="s">
        <v>6253</v>
      </c>
      <c r="D198" s="2574"/>
      <c r="E198" s="2575" t="e">
        <f t="shared" ref="E198" si="24">D198/$D$269</f>
        <v>#DIV/0!</v>
      </c>
      <c r="F198" s="2574"/>
      <c r="G198" s="2574">
        <f t="shared" si="21"/>
        <v>0</v>
      </c>
      <c r="H198" s="2574"/>
      <c r="I198" s="2575" t="e">
        <f t="shared" ref="I198" si="25">H198/H$269</f>
        <v>#DIV/0!</v>
      </c>
      <c r="J198" s="2574"/>
      <c r="K198" s="2574">
        <f t="shared" si="19"/>
        <v>0</v>
      </c>
      <c r="L198" s="2575">
        <f t="shared" si="20"/>
        <v>0</v>
      </c>
      <c r="M198" s="2580"/>
    </row>
    <row r="199" spans="1:13" ht="16.5">
      <c r="A199" s="2572">
        <f t="shared" ref="A199:A269" si="26">A198+1</f>
        <v>194</v>
      </c>
      <c r="B199" s="2822"/>
      <c r="C199" s="2581" t="s">
        <v>6254</v>
      </c>
      <c r="D199" s="2574"/>
      <c r="E199" s="2575" t="e">
        <f t="shared" ref="E199:E269" si="27">D199/$D$269</f>
        <v>#DIV/0!</v>
      </c>
      <c r="F199" s="2574"/>
      <c r="G199" s="2574">
        <f t="shared" si="21"/>
        <v>0</v>
      </c>
      <c r="H199" s="2574"/>
      <c r="I199" s="2575" t="e">
        <f t="shared" ref="I199:I269" si="28">H199/H$269</f>
        <v>#DIV/0!</v>
      </c>
      <c r="J199" s="2574"/>
      <c r="K199" s="2574">
        <f t="shared" ref="K199:K269" si="29">D199-H199</f>
        <v>0</v>
      </c>
      <c r="L199" s="2575">
        <f t="shared" ref="L199:L269" si="30">IF(J199=0,0,K199/J199)</f>
        <v>0</v>
      </c>
      <c r="M199" s="2576"/>
    </row>
    <row r="200" spans="1:13" ht="16.5">
      <c r="A200" s="2572">
        <f t="shared" si="26"/>
        <v>195</v>
      </c>
      <c r="B200" s="2822"/>
      <c r="C200" s="2581" t="s">
        <v>6255</v>
      </c>
      <c r="D200" s="2574"/>
      <c r="E200" s="2575" t="e">
        <f t="shared" si="27"/>
        <v>#DIV/0!</v>
      </c>
      <c r="F200" s="2574"/>
      <c r="G200" s="2574">
        <f t="shared" si="21"/>
        <v>0</v>
      </c>
      <c r="H200" s="2574"/>
      <c r="I200" s="2575" t="e">
        <f t="shared" si="28"/>
        <v>#DIV/0!</v>
      </c>
      <c r="J200" s="2574"/>
      <c r="K200" s="2574">
        <f t="shared" si="29"/>
        <v>0</v>
      </c>
      <c r="L200" s="2575">
        <f t="shared" si="30"/>
        <v>0</v>
      </c>
      <c r="M200" s="2576"/>
    </row>
    <row r="201" spans="1:13" ht="16.5">
      <c r="A201" s="2572">
        <f t="shared" si="26"/>
        <v>196</v>
      </c>
      <c r="B201" s="2822"/>
      <c r="C201" s="2581" t="s">
        <v>6180</v>
      </c>
      <c r="D201" s="2574"/>
      <c r="E201" s="2575" t="e">
        <f t="shared" si="27"/>
        <v>#DIV/0!</v>
      </c>
      <c r="F201" s="2574"/>
      <c r="G201" s="2574">
        <f t="shared" si="21"/>
        <v>0</v>
      </c>
      <c r="H201" s="2574"/>
      <c r="I201" s="2575" t="e">
        <f t="shared" si="28"/>
        <v>#DIV/0!</v>
      </c>
      <c r="J201" s="2574"/>
      <c r="K201" s="2574">
        <f t="shared" si="29"/>
        <v>0</v>
      </c>
      <c r="L201" s="2575">
        <f t="shared" si="30"/>
        <v>0</v>
      </c>
      <c r="M201" s="2576"/>
    </row>
    <row r="202" spans="1:13" ht="16.5">
      <c r="A202" s="2572">
        <f t="shared" si="26"/>
        <v>197</v>
      </c>
      <c r="B202" s="2822"/>
      <c r="C202" s="2577" t="s">
        <v>6256</v>
      </c>
      <c r="D202" s="2574">
        <f>D110+D171</f>
        <v>0</v>
      </c>
      <c r="E202" s="2575" t="e">
        <f t="shared" si="27"/>
        <v>#DIV/0!</v>
      </c>
      <c r="F202" s="2574">
        <f>F110+F171</f>
        <v>0</v>
      </c>
      <c r="G202" s="2574">
        <f t="shared" si="21"/>
        <v>0</v>
      </c>
      <c r="H202" s="2574">
        <f>H110+H171</f>
        <v>0</v>
      </c>
      <c r="I202" s="2575" t="e">
        <f t="shared" si="28"/>
        <v>#DIV/0!</v>
      </c>
      <c r="J202" s="2574">
        <f>J110+J171</f>
        <v>0</v>
      </c>
      <c r="K202" s="2574">
        <f t="shared" si="29"/>
        <v>0</v>
      </c>
      <c r="L202" s="2575">
        <f t="shared" si="30"/>
        <v>0</v>
      </c>
      <c r="M202" s="2576"/>
    </row>
    <row r="203" spans="1:13" ht="16.5" customHeight="1">
      <c r="A203" s="2572">
        <f t="shared" si="26"/>
        <v>198</v>
      </c>
      <c r="B203" s="2822" t="s">
        <v>6257</v>
      </c>
      <c r="C203" s="2573" t="s">
        <v>6209</v>
      </c>
      <c r="D203" s="2574">
        <f>D204+D205+D209+D210+D218</f>
        <v>0</v>
      </c>
      <c r="E203" s="2575" t="e">
        <f t="shared" si="27"/>
        <v>#DIV/0!</v>
      </c>
      <c r="F203" s="2574">
        <f>F204+F205+F209+F210+F218</f>
        <v>0</v>
      </c>
      <c r="G203" s="2574">
        <f t="shared" si="21"/>
        <v>0</v>
      </c>
      <c r="H203" s="2574">
        <f>H204+H205+H209+H210+H218</f>
        <v>0</v>
      </c>
      <c r="I203" s="2575" t="e">
        <f t="shared" si="28"/>
        <v>#DIV/0!</v>
      </c>
      <c r="J203" s="2574">
        <f>J204+J205+J209+J210+J218</f>
        <v>0</v>
      </c>
      <c r="K203" s="2574">
        <f t="shared" si="29"/>
        <v>0</v>
      </c>
      <c r="L203" s="2575">
        <f t="shared" si="30"/>
        <v>0</v>
      </c>
      <c r="M203" s="2576"/>
    </row>
    <row r="204" spans="1:13" ht="16.5">
      <c r="A204" s="2572">
        <f t="shared" si="26"/>
        <v>199</v>
      </c>
      <c r="B204" s="2822"/>
      <c r="C204" s="2578" t="s">
        <v>6258</v>
      </c>
      <c r="D204" s="2574"/>
      <c r="E204" s="2575" t="e">
        <f t="shared" si="27"/>
        <v>#DIV/0!</v>
      </c>
      <c r="F204" s="2574"/>
      <c r="G204" s="2574">
        <f t="shared" si="21"/>
        <v>0</v>
      </c>
      <c r="H204" s="2574"/>
      <c r="I204" s="2575" t="e">
        <f t="shared" si="28"/>
        <v>#DIV/0!</v>
      </c>
      <c r="J204" s="2574"/>
      <c r="K204" s="2574">
        <f t="shared" si="29"/>
        <v>0</v>
      </c>
      <c r="L204" s="2575">
        <f t="shared" si="30"/>
        <v>0</v>
      </c>
      <c r="M204" s="2576"/>
    </row>
    <row r="205" spans="1:13" ht="16.5">
      <c r="A205" s="2572">
        <f t="shared" si="26"/>
        <v>200</v>
      </c>
      <c r="B205" s="2822"/>
      <c r="C205" s="2578" t="s">
        <v>6259</v>
      </c>
      <c r="D205" s="2574"/>
      <c r="E205" s="2575" t="e">
        <f t="shared" si="27"/>
        <v>#DIV/0!</v>
      </c>
      <c r="F205" s="2574"/>
      <c r="G205" s="2574">
        <f t="shared" si="21"/>
        <v>0</v>
      </c>
      <c r="H205" s="2574"/>
      <c r="I205" s="2575" t="e">
        <f t="shared" si="28"/>
        <v>#DIV/0!</v>
      </c>
      <c r="J205" s="2574"/>
      <c r="K205" s="2574">
        <f t="shared" si="29"/>
        <v>0</v>
      </c>
      <c r="L205" s="2575">
        <f t="shared" si="30"/>
        <v>0</v>
      </c>
      <c r="M205" s="2576"/>
    </row>
    <row r="206" spans="1:13" ht="16.5">
      <c r="A206" s="2584" t="s">
        <v>5669</v>
      </c>
      <c r="B206" s="2822"/>
      <c r="C206" s="2579" t="s">
        <v>6260</v>
      </c>
      <c r="D206" s="2574"/>
      <c r="E206" s="2575"/>
      <c r="F206" s="2574"/>
      <c r="G206" s="2574"/>
      <c r="H206" s="2574"/>
      <c r="I206" s="2575"/>
      <c r="J206" s="2574"/>
      <c r="K206" s="2574"/>
      <c r="L206" s="2575"/>
      <c r="M206" s="2576"/>
    </row>
    <row r="207" spans="1:13" ht="16.5">
      <c r="A207" s="2584" t="s">
        <v>5670</v>
      </c>
      <c r="B207" s="2822"/>
      <c r="C207" s="2579" t="s">
        <v>6261</v>
      </c>
      <c r="D207" s="2574"/>
      <c r="E207" s="2575"/>
      <c r="F207" s="2574"/>
      <c r="G207" s="2574"/>
      <c r="H207" s="2574"/>
      <c r="I207" s="2575"/>
      <c r="J207" s="2574"/>
      <c r="K207" s="2574"/>
      <c r="L207" s="2575"/>
      <c r="M207" s="2576"/>
    </row>
    <row r="208" spans="1:13" ht="16.5">
      <c r="A208" s="2584" t="s">
        <v>5671</v>
      </c>
      <c r="B208" s="2822"/>
      <c r="C208" s="2579" t="s">
        <v>6262</v>
      </c>
      <c r="D208" s="2574"/>
      <c r="E208" s="2575"/>
      <c r="F208" s="2574"/>
      <c r="G208" s="2574"/>
      <c r="H208" s="2574"/>
      <c r="I208" s="2575"/>
      <c r="J208" s="2574"/>
      <c r="K208" s="2574"/>
      <c r="L208" s="2575"/>
      <c r="M208" s="2576"/>
    </row>
    <row r="209" spans="1:13" ht="33">
      <c r="A209" s="2572">
        <f>A205+1</f>
        <v>201</v>
      </c>
      <c r="B209" s="2822"/>
      <c r="C209" s="2578" t="s">
        <v>6263</v>
      </c>
      <c r="D209" s="2574"/>
      <c r="E209" s="2575" t="e">
        <f t="shared" si="27"/>
        <v>#DIV/0!</v>
      </c>
      <c r="F209" s="2574"/>
      <c r="G209" s="2574">
        <f t="shared" si="21"/>
        <v>0</v>
      </c>
      <c r="H209" s="2574"/>
      <c r="I209" s="2575" t="e">
        <f t="shared" si="28"/>
        <v>#DIV/0!</v>
      </c>
      <c r="J209" s="2574"/>
      <c r="K209" s="2574">
        <f t="shared" si="29"/>
        <v>0</v>
      </c>
      <c r="L209" s="2575">
        <f t="shared" si="30"/>
        <v>0</v>
      </c>
      <c r="M209" s="2576"/>
    </row>
    <row r="210" spans="1:13" ht="16.5">
      <c r="A210" s="2572">
        <f t="shared" si="26"/>
        <v>202</v>
      </c>
      <c r="B210" s="2822"/>
      <c r="C210" s="2578" t="s">
        <v>6264</v>
      </c>
      <c r="D210" s="2574">
        <f>SUM(D211:D214)</f>
        <v>0</v>
      </c>
      <c r="E210" s="2575" t="e">
        <f t="shared" si="27"/>
        <v>#DIV/0!</v>
      </c>
      <c r="F210" s="2574">
        <f>SUM(F211:F214)</f>
        <v>0</v>
      </c>
      <c r="G210" s="2574">
        <f t="shared" si="21"/>
        <v>0</v>
      </c>
      <c r="H210" s="2574">
        <f>SUM(H211:H214)</f>
        <v>0</v>
      </c>
      <c r="I210" s="2575" t="e">
        <f t="shared" si="28"/>
        <v>#DIV/0!</v>
      </c>
      <c r="J210" s="2574">
        <f>SUM(J211:J214)</f>
        <v>0</v>
      </c>
      <c r="K210" s="2574">
        <f t="shared" si="29"/>
        <v>0</v>
      </c>
      <c r="L210" s="2575">
        <f t="shared" si="30"/>
        <v>0</v>
      </c>
      <c r="M210" s="2576"/>
    </row>
    <row r="211" spans="1:13" ht="16.5">
      <c r="A211" s="2572">
        <f t="shared" si="26"/>
        <v>203</v>
      </c>
      <c r="B211" s="2822"/>
      <c r="C211" s="2579" t="s">
        <v>6265</v>
      </c>
      <c r="D211" s="2574"/>
      <c r="E211" s="2575" t="e">
        <f t="shared" si="27"/>
        <v>#DIV/0!</v>
      </c>
      <c r="F211" s="2574"/>
      <c r="G211" s="2574">
        <f t="shared" si="21"/>
        <v>0</v>
      </c>
      <c r="H211" s="2574"/>
      <c r="I211" s="2575" t="e">
        <f t="shared" si="28"/>
        <v>#DIV/0!</v>
      </c>
      <c r="J211" s="2574"/>
      <c r="K211" s="2574">
        <f t="shared" si="29"/>
        <v>0</v>
      </c>
      <c r="L211" s="2575">
        <f t="shared" si="30"/>
        <v>0</v>
      </c>
      <c r="M211" s="2576"/>
    </row>
    <row r="212" spans="1:13" ht="16.5">
      <c r="A212" s="2572">
        <f t="shared" si="26"/>
        <v>204</v>
      </c>
      <c r="B212" s="2822"/>
      <c r="C212" s="2579" t="s">
        <v>6266</v>
      </c>
      <c r="D212" s="2574"/>
      <c r="E212" s="2575" t="e">
        <f t="shared" si="27"/>
        <v>#DIV/0!</v>
      </c>
      <c r="F212" s="2574"/>
      <c r="G212" s="2574">
        <f t="shared" si="21"/>
        <v>0</v>
      </c>
      <c r="H212" s="2574"/>
      <c r="I212" s="2575" t="e">
        <f t="shared" si="28"/>
        <v>#DIV/0!</v>
      </c>
      <c r="J212" s="2574"/>
      <c r="K212" s="2574">
        <f t="shared" si="29"/>
        <v>0</v>
      </c>
      <c r="L212" s="2575">
        <f t="shared" si="30"/>
        <v>0</v>
      </c>
      <c r="M212" s="2576"/>
    </row>
    <row r="213" spans="1:13" ht="16.5">
      <c r="A213" s="2572">
        <f t="shared" si="26"/>
        <v>205</v>
      </c>
      <c r="B213" s="2822"/>
      <c r="C213" s="2579" t="s">
        <v>6267</v>
      </c>
      <c r="D213" s="2574"/>
      <c r="E213" s="2575" t="e">
        <f t="shared" si="27"/>
        <v>#DIV/0!</v>
      </c>
      <c r="F213" s="2574"/>
      <c r="G213" s="2574">
        <f t="shared" ref="G213:G269" si="31">D213-F213</f>
        <v>0</v>
      </c>
      <c r="H213" s="2574"/>
      <c r="I213" s="2575" t="e">
        <f t="shared" si="28"/>
        <v>#DIV/0!</v>
      </c>
      <c r="J213" s="2574"/>
      <c r="K213" s="2574">
        <f t="shared" si="29"/>
        <v>0</v>
      </c>
      <c r="L213" s="2575">
        <f t="shared" si="30"/>
        <v>0</v>
      </c>
      <c r="M213" s="2576"/>
    </row>
    <row r="214" spans="1:13" ht="16.5">
      <c r="A214" s="2572">
        <f t="shared" si="26"/>
        <v>206</v>
      </c>
      <c r="B214" s="2822"/>
      <c r="C214" s="2579" t="s">
        <v>6268</v>
      </c>
      <c r="D214" s="2574"/>
      <c r="E214" s="2575" t="e">
        <f t="shared" si="27"/>
        <v>#DIV/0!</v>
      </c>
      <c r="F214" s="2574"/>
      <c r="G214" s="2574">
        <f t="shared" si="31"/>
        <v>0</v>
      </c>
      <c r="H214" s="2574"/>
      <c r="I214" s="2575" t="e">
        <f t="shared" si="28"/>
        <v>#DIV/0!</v>
      </c>
      <c r="J214" s="2574"/>
      <c r="K214" s="2574">
        <f t="shared" si="29"/>
        <v>0</v>
      </c>
      <c r="L214" s="2575">
        <f t="shared" si="30"/>
        <v>0</v>
      </c>
      <c r="M214" s="2576"/>
    </row>
    <row r="215" spans="1:13" ht="16.5">
      <c r="A215" s="2572">
        <f t="shared" si="26"/>
        <v>207</v>
      </c>
      <c r="B215" s="2822"/>
      <c r="C215" s="2578" t="s">
        <v>6269</v>
      </c>
      <c r="D215" s="2574"/>
      <c r="E215" s="2575" t="e">
        <f t="shared" si="27"/>
        <v>#DIV/0!</v>
      </c>
      <c r="F215" s="2574"/>
      <c r="G215" s="2574">
        <f t="shared" si="31"/>
        <v>0</v>
      </c>
      <c r="H215" s="2574"/>
      <c r="I215" s="2575" t="e">
        <f t="shared" si="28"/>
        <v>#DIV/0!</v>
      </c>
      <c r="J215" s="2574"/>
      <c r="K215" s="2574">
        <f t="shared" si="29"/>
        <v>0</v>
      </c>
      <c r="L215" s="2575">
        <f t="shared" si="30"/>
        <v>0</v>
      </c>
      <c r="M215" s="2576"/>
    </row>
    <row r="216" spans="1:13" ht="16.5">
      <c r="A216" s="2584" t="s">
        <v>5672</v>
      </c>
      <c r="B216" s="2822"/>
      <c r="C216" s="2579" t="s">
        <v>6260</v>
      </c>
      <c r="D216" s="2574"/>
      <c r="E216" s="2575"/>
      <c r="F216" s="2574"/>
      <c r="G216" s="2574"/>
      <c r="H216" s="2574"/>
      <c r="I216" s="2575"/>
      <c r="J216" s="2574"/>
      <c r="K216" s="2574"/>
      <c r="L216" s="2575"/>
      <c r="M216" s="2576"/>
    </row>
    <row r="217" spans="1:13" ht="16.5">
      <c r="A217" s="2584" t="s">
        <v>5673</v>
      </c>
      <c r="B217" s="2822"/>
      <c r="C217" s="2579" t="s">
        <v>6261</v>
      </c>
      <c r="D217" s="2574"/>
      <c r="E217" s="2575"/>
      <c r="F217" s="2574"/>
      <c r="G217" s="2574"/>
      <c r="H217" s="2574"/>
      <c r="I217" s="2575"/>
      <c r="J217" s="2574"/>
      <c r="K217" s="2574"/>
      <c r="L217" s="2575"/>
      <c r="M217" s="2576"/>
    </row>
    <row r="218" spans="1:13" ht="16.5">
      <c r="A218" s="2572">
        <f>A215+1</f>
        <v>208</v>
      </c>
      <c r="B218" s="2822"/>
      <c r="C218" s="2578" t="s">
        <v>6270</v>
      </c>
      <c r="D218" s="2574"/>
      <c r="E218" s="2575" t="e">
        <f t="shared" si="27"/>
        <v>#DIV/0!</v>
      </c>
      <c r="F218" s="2574"/>
      <c r="G218" s="2574">
        <f t="shared" si="31"/>
        <v>0</v>
      </c>
      <c r="H218" s="2574"/>
      <c r="I218" s="2575" t="e">
        <f t="shared" si="28"/>
        <v>#DIV/0!</v>
      </c>
      <c r="J218" s="2574"/>
      <c r="K218" s="2574">
        <f t="shared" si="29"/>
        <v>0</v>
      </c>
      <c r="L218" s="2575">
        <f t="shared" si="30"/>
        <v>0</v>
      </c>
      <c r="M218" s="2576"/>
    </row>
    <row r="219" spans="1:13" ht="16.5">
      <c r="A219" s="2572">
        <f t="shared" si="26"/>
        <v>209</v>
      </c>
      <c r="B219" s="2822"/>
      <c r="C219" s="2573" t="s">
        <v>6242</v>
      </c>
      <c r="D219" s="2574">
        <f>D220+D223+D227+D228+D238</f>
        <v>0</v>
      </c>
      <c r="E219" s="2575" t="e">
        <f t="shared" si="27"/>
        <v>#DIV/0!</v>
      </c>
      <c r="F219" s="2574">
        <f>F220+F223+F227+F228+F238</f>
        <v>0</v>
      </c>
      <c r="G219" s="2574">
        <f t="shared" si="31"/>
        <v>0</v>
      </c>
      <c r="H219" s="2574">
        <f>H220+H223+H227+H228+H238</f>
        <v>0</v>
      </c>
      <c r="I219" s="2575" t="e">
        <f t="shared" si="28"/>
        <v>#DIV/0!</v>
      </c>
      <c r="J219" s="2574">
        <f>J220+J223+J227+J228+J238</f>
        <v>0</v>
      </c>
      <c r="K219" s="2574">
        <f t="shared" si="29"/>
        <v>0</v>
      </c>
      <c r="L219" s="2575">
        <f t="shared" si="30"/>
        <v>0</v>
      </c>
      <c r="M219" s="2576"/>
    </row>
    <row r="220" spans="1:13" ht="16.5">
      <c r="A220" s="2572">
        <f t="shared" si="26"/>
        <v>210</v>
      </c>
      <c r="B220" s="2822"/>
      <c r="C220" s="2578" t="s">
        <v>6258</v>
      </c>
      <c r="D220" s="2574">
        <f>SUM(D221:D222)</f>
        <v>0</v>
      </c>
      <c r="E220" s="2575" t="e">
        <f t="shared" si="27"/>
        <v>#DIV/0!</v>
      </c>
      <c r="F220" s="2574">
        <f>SUM(F221:F222)</f>
        <v>0</v>
      </c>
      <c r="G220" s="2574">
        <f t="shared" si="31"/>
        <v>0</v>
      </c>
      <c r="H220" s="2574">
        <f>SUM(H221:H222)</f>
        <v>0</v>
      </c>
      <c r="I220" s="2575" t="e">
        <f t="shared" si="28"/>
        <v>#DIV/0!</v>
      </c>
      <c r="J220" s="2574">
        <f>SUM(J221:J222)</f>
        <v>0</v>
      </c>
      <c r="K220" s="2574">
        <f t="shared" si="29"/>
        <v>0</v>
      </c>
      <c r="L220" s="2575">
        <f t="shared" si="30"/>
        <v>0</v>
      </c>
      <c r="M220" s="2576"/>
    </row>
    <row r="221" spans="1:13" ht="16.5">
      <c r="A221" s="2572">
        <f t="shared" si="26"/>
        <v>211</v>
      </c>
      <c r="B221" s="2822"/>
      <c r="C221" s="2579" t="s">
        <v>6147</v>
      </c>
      <c r="D221" s="2574"/>
      <c r="E221" s="2575" t="e">
        <f t="shared" si="27"/>
        <v>#DIV/0!</v>
      </c>
      <c r="F221" s="2574"/>
      <c r="G221" s="2574">
        <f t="shared" si="31"/>
        <v>0</v>
      </c>
      <c r="H221" s="2574"/>
      <c r="I221" s="2575" t="e">
        <f t="shared" si="28"/>
        <v>#DIV/0!</v>
      </c>
      <c r="J221" s="2574"/>
      <c r="K221" s="2574">
        <f t="shared" si="29"/>
        <v>0</v>
      </c>
      <c r="L221" s="2575">
        <f t="shared" si="30"/>
        <v>0</v>
      </c>
      <c r="M221" s="2576"/>
    </row>
    <row r="222" spans="1:13" ht="16.5">
      <c r="A222" s="2572">
        <f t="shared" si="26"/>
        <v>212</v>
      </c>
      <c r="B222" s="2822"/>
      <c r="C222" s="2579" t="s">
        <v>6152</v>
      </c>
      <c r="D222" s="2574"/>
      <c r="E222" s="2575" t="e">
        <f t="shared" si="27"/>
        <v>#DIV/0!</v>
      </c>
      <c r="F222" s="2574"/>
      <c r="G222" s="2574">
        <f t="shared" si="31"/>
        <v>0</v>
      </c>
      <c r="H222" s="2574"/>
      <c r="I222" s="2575" t="e">
        <f t="shared" si="28"/>
        <v>#DIV/0!</v>
      </c>
      <c r="J222" s="2574"/>
      <c r="K222" s="2574">
        <f t="shared" si="29"/>
        <v>0</v>
      </c>
      <c r="L222" s="2575">
        <f t="shared" si="30"/>
        <v>0</v>
      </c>
      <c r="M222" s="2576"/>
    </row>
    <row r="223" spans="1:13" ht="16.5">
      <c r="A223" s="2572">
        <f t="shared" si="26"/>
        <v>213</v>
      </c>
      <c r="B223" s="2822"/>
      <c r="C223" s="2578" t="s">
        <v>6259</v>
      </c>
      <c r="D223" s="2574"/>
      <c r="E223" s="2575" t="e">
        <f t="shared" si="27"/>
        <v>#DIV/0!</v>
      </c>
      <c r="F223" s="2574"/>
      <c r="G223" s="2574">
        <f t="shared" si="31"/>
        <v>0</v>
      </c>
      <c r="H223" s="2574"/>
      <c r="I223" s="2575" t="e">
        <f t="shared" si="28"/>
        <v>#DIV/0!</v>
      </c>
      <c r="J223" s="2574"/>
      <c r="K223" s="2574">
        <f t="shared" si="29"/>
        <v>0</v>
      </c>
      <c r="L223" s="2575">
        <f t="shared" si="30"/>
        <v>0</v>
      </c>
      <c r="M223" s="2576"/>
    </row>
    <row r="224" spans="1:13" ht="16.5">
      <c r="A224" s="2584" t="s">
        <v>5674</v>
      </c>
      <c r="B224" s="2822"/>
      <c r="C224" s="2579" t="s">
        <v>6260</v>
      </c>
      <c r="D224" s="2574"/>
      <c r="E224" s="2575"/>
      <c r="F224" s="2574"/>
      <c r="G224" s="2574"/>
      <c r="H224" s="2574"/>
      <c r="I224" s="2575"/>
      <c r="J224" s="2574"/>
      <c r="K224" s="2574"/>
      <c r="L224" s="2575"/>
      <c r="M224" s="2576"/>
    </row>
    <row r="225" spans="1:13" ht="16.5">
      <c r="A225" s="2584" t="s">
        <v>5675</v>
      </c>
      <c r="B225" s="2822"/>
      <c r="C225" s="2579" t="s">
        <v>6261</v>
      </c>
      <c r="D225" s="2574"/>
      <c r="E225" s="2575"/>
      <c r="F225" s="2574"/>
      <c r="G225" s="2574"/>
      <c r="H225" s="2574"/>
      <c r="I225" s="2575"/>
      <c r="J225" s="2574"/>
      <c r="K225" s="2574"/>
      <c r="L225" s="2575"/>
      <c r="M225" s="2576"/>
    </row>
    <row r="226" spans="1:13" ht="16.5">
      <c r="A226" s="2584" t="s">
        <v>5676</v>
      </c>
      <c r="B226" s="2822"/>
      <c r="C226" s="2579" t="s">
        <v>6262</v>
      </c>
      <c r="D226" s="2574"/>
      <c r="E226" s="2575"/>
      <c r="F226" s="2574"/>
      <c r="G226" s="2574"/>
      <c r="H226" s="2574"/>
      <c r="I226" s="2575"/>
      <c r="J226" s="2574"/>
      <c r="K226" s="2574"/>
      <c r="L226" s="2575"/>
      <c r="M226" s="2576"/>
    </row>
    <row r="227" spans="1:13" ht="33">
      <c r="A227" s="2572">
        <f>A223+1</f>
        <v>214</v>
      </c>
      <c r="B227" s="2822"/>
      <c r="C227" s="2578" t="s">
        <v>6271</v>
      </c>
      <c r="D227" s="2574"/>
      <c r="E227" s="2575" t="e">
        <f t="shared" si="27"/>
        <v>#DIV/0!</v>
      </c>
      <c r="F227" s="2574"/>
      <c r="G227" s="2574">
        <f t="shared" si="31"/>
        <v>0</v>
      </c>
      <c r="H227" s="2574"/>
      <c r="I227" s="2575" t="e">
        <f t="shared" si="28"/>
        <v>#DIV/0!</v>
      </c>
      <c r="J227" s="2574"/>
      <c r="K227" s="2574">
        <f t="shared" si="29"/>
        <v>0</v>
      </c>
      <c r="L227" s="2575">
        <f t="shared" si="30"/>
        <v>0</v>
      </c>
      <c r="M227" s="2576"/>
    </row>
    <row r="228" spans="1:13" ht="16.5">
      <c r="A228" s="2572">
        <f t="shared" si="26"/>
        <v>215</v>
      </c>
      <c r="B228" s="2822"/>
      <c r="C228" s="2578" t="s">
        <v>6272</v>
      </c>
      <c r="D228" s="2574">
        <f>SUM(D229:D230)</f>
        <v>0</v>
      </c>
      <c r="E228" s="2575" t="e">
        <f t="shared" si="27"/>
        <v>#DIV/0!</v>
      </c>
      <c r="F228" s="2574">
        <f>SUM(F229:F230)</f>
        <v>0</v>
      </c>
      <c r="G228" s="2574">
        <f t="shared" si="31"/>
        <v>0</v>
      </c>
      <c r="H228" s="2574">
        <f>SUM(H229:H230)</f>
        <v>0</v>
      </c>
      <c r="I228" s="2575" t="e">
        <f t="shared" si="28"/>
        <v>#DIV/0!</v>
      </c>
      <c r="J228" s="2574">
        <f>SUM(J229:J230)</f>
        <v>0</v>
      </c>
      <c r="K228" s="2574">
        <f t="shared" si="29"/>
        <v>0</v>
      </c>
      <c r="L228" s="2575">
        <f t="shared" si="30"/>
        <v>0</v>
      </c>
      <c r="M228" s="2576"/>
    </row>
    <row r="229" spans="1:13" ht="16.5">
      <c r="A229" s="2572">
        <f t="shared" si="26"/>
        <v>216</v>
      </c>
      <c r="B229" s="2822"/>
      <c r="C229" s="2579" t="s">
        <v>6147</v>
      </c>
      <c r="D229" s="2574"/>
      <c r="E229" s="2575" t="e">
        <f t="shared" si="27"/>
        <v>#DIV/0!</v>
      </c>
      <c r="F229" s="2574"/>
      <c r="G229" s="2574">
        <f t="shared" si="31"/>
        <v>0</v>
      </c>
      <c r="H229" s="2574"/>
      <c r="I229" s="2575" t="e">
        <f t="shared" si="28"/>
        <v>#DIV/0!</v>
      </c>
      <c r="J229" s="2574"/>
      <c r="K229" s="2574">
        <f t="shared" si="29"/>
        <v>0</v>
      </c>
      <c r="L229" s="2575">
        <f t="shared" si="30"/>
        <v>0</v>
      </c>
      <c r="M229" s="2576"/>
    </row>
    <row r="230" spans="1:13" ht="16.5">
      <c r="A230" s="2572">
        <f t="shared" si="26"/>
        <v>217</v>
      </c>
      <c r="B230" s="2822"/>
      <c r="C230" s="2579" t="s">
        <v>6152</v>
      </c>
      <c r="D230" s="2574"/>
      <c r="E230" s="2575" t="e">
        <f t="shared" si="27"/>
        <v>#DIV/0!</v>
      </c>
      <c r="F230" s="2574"/>
      <c r="G230" s="2574">
        <f t="shared" si="31"/>
        <v>0</v>
      </c>
      <c r="H230" s="2574"/>
      <c r="I230" s="2575" t="e">
        <f t="shared" si="28"/>
        <v>#DIV/0!</v>
      </c>
      <c r="J230" s="2574"/>
      <c r="K230" s="2574">
        <f t="shared" si="29"/>
        <v>0</v>
      </c>
      <c r="L230" s="2575">
        <f t="shared" si="30"/>
        <v>0</v>
      </c>
      <c r="M230" s="2576"/>
    </row>
    <row r="231" spans="1:13" ht="16.5">
      <c r="A231" s="2572">
        <f t="shared" si="26"/>
        <v>218</v>
      </c>
      <c r="B231" s="2822"/>
      <c r="C231" s="2578" t="s">
        <v>6273</v>
      </c>
      <c r="D231" s="2574"/>
      <c r="E231" s="2575" t="e">
        <f t="shared" si="27"/>
        <v>#DIV/0!</v>
      </c>
      <c r="F231" s="2574"/>
      <c r="G231" s="2574">
        <f t="shared" si="31"/>
        <v>0</v>
      </c>
      <c r="H231" s="2574"/>
      <c r="I231" s="2575" t="e">
        <f t="shared" si="28"/>
        <v>#DIV/0!</v>
      </c>
      <c r="J231" s="2574"/>
      <c r="K231" s="2574">
        <f t="shared" si="29"/>
        <v>0</v>
      </c>
      <c r="L231" s="2575">
        <f t="shared" si="30"/>
        <v>0</v>
      </c>
      <c r="M231" s="2576"/>
    </row>
    <row r="232" spans="1:13" ht="16.5">
      <c r="A232" s="2572">
        <f t="shared" si="26"/>
        <v>219</v>
      </c>
      <c r="B232" s="2822"/>
      <c r="C232" s="2579" t="s">
        <v>6147</v>
      </c>
      <c r="D232" s="2574"/>
      <c r="E232" s="2575" t="e">
        <f t="shared" si="27"/>
        <v>#DIV/0!</v>
      </c>
      <c r="F232" s="2574"/>
      <c r="G232" s="2574">
        <f t="shared" si="31"/>
        <v>0</v>
      </c>
      <c r="H232" s="2574"/>
      <c r="I232" s="2575" t="e">
        <f t="shared" si="28"/>
        <v>#DIV/0!</v>
      </c>
      <c r="J232" s="2574"/>
      <c r="K232" s="2574">
        <f t="shared" si="29"/>
        <v>0</v>
      </c>
      <c r="L232" s="2575">
        <f t="shared" si="30"/>
        <v>0</v>
      </c>
      <c r="M232" s="2576"/>
    </row>
    <row r="233" spans="1:13" ht="16.5">
      <c r="A233" s="2584" t="s">
        <v>5677</v>
      </c>
      <c r="B233" s="2822"/>
      <c r="C233" s="2579" t="s">
        <v>6274</v>
      </c>
      <c r="D233" s="2574"/>
      <c r="E233" s="2575"/>
      <c r="F233" s="2574"/>
      <c r="G233" s="2574"/>
      <c r="H233" s="2574"/>
      <c r="I233" s="2575"/>
      <c r="J233" s="2574"/>
      <c r="K233" s="2574"/>
      <c r="L233" s="2575"/>
      <c r="M233" s="2576"/>
    </row>
    <row r="234" spans="1:13" ht="16.5">
      <c r="A234" s="2584" t="s">
        <v>5678</v>
      </c>
      <c r="B234" s="2822"/>
      <c r="C234" s="2579" t="s">
        <v>6275</v>
      </c>
      <c r="D234" s="2574"/>
      <c r="E234" s="2575"/>
      <c r="F234" s="2574"/>
      <c r="G234" s="2574"/>
      <c r="H234" s="2574"/>
      <c r="I234" s="2575"/>
      <c r="J234" s="2574"/>
      <c r="K234" s="2574"/>
      <c r="L234" s="2575"/>
      <c r="M234" s="2576"/>
    </row>
    <row r="235" spans="1:13" ht="16.5">
      <c r="A235" s="2572">
        <f>A232+1</f>
        <v>220</v>
      </c>
      <c r="B235" s="2822"/>
      <c r="C235" s="2579" t="s">
        <v>6152</v>
      </c>
      <c r="D235" s="2574"/>
      <c r="E235" s="2575" t="e">
        <f t="shared" si="27"/>
        <v>#DIV/0!</v>
      </c>
      <c r="F235" s="2574"/>
      <c r="G235" s="2574">
        <f t="shared" si="31"/>
        <v>0</v>
      </c>
      <c r="H235" s="2574"/>
      <c r="I235" s="2575" t="e">
        <f t="shared" si="28"/>
        <v>#DIV/0!</v>
      </c>
      <c r="J235" s="2574"/>
      <c r="K235" s="2574">
        <f t="shared" si="29"/>
        <v>0</v>
      </c>
      <c r="L235" s="2575">
        <f t="shared" si="30"/>
        <v>0</v>
      </c>
      <c r="M235" s="2576"/>
    </row>
    <row r="236" spans="1:13" ht="16.5">
      <c r="A236" s="2584" t="s">
        <v>5679</v>
      </c>
      <c r="B236" s="2822"/>
      <c r="C236" s="2579" t="s">
        <v>6274</v>
      </c>
      <c r="D236" s="2574"/>
      <c r="E236" s="2575"/>
      <c r="F236" s="2574"/>
      <c r="G236" s="2574"/>
      <c r="H236" s="2574"/>
      <c r="I236" s="2575"/>
      <c r="J236" s="2574"/>
      <c r="K236" s="2574"/>
      <c r="L236" s="2575"/>
      <c r="M236" s="2576"/>
    </row>
    <row r="237" spans="1:13" ht="16.5">
      <c r="A237" s="2584" t="s">
        <v>5680</v>
      </c>
      <c r="B237" s="2822"/>
      <c r="C237" s="2579" t="s">
        <v>6275</v>
      </c>
      <c r="D237" s="2574"/>
      <c r="E237" s="2575"/>
      <c r="F237" s="2574"/>
      <c r="G237" s="2574"/>
      <c r="H237" s="2574"/>
      <c r="I237" s="2575"/>
      <c r="J237" s="2574"/>
      <c r="K237" s="2574"/>
      <c r="L237" s="2575"/>
      <c r="M237" s="2576"/>
    </row>
    <row r="238" spans="1:13" ht="16.5">
      <c r="A238" s="2572">
        <f>A235+1</f>
        <v>221</v>
      </c>
      <c r="B238" s="2822"/>
      <c r="C238" s="2578" t="s">
        <v>6270</v>
      </c>
      <c r="D238" s="2574">
        <f>SUM(D239:D240)</f>
        <v>0</v>
      </c>
      <c r="E238" s="2575" t="e">
        <f t="shared" si="27"/>
        <v>#DIV/0!</v>
      </c>
      <c r="F238" s="2574">
        <f>SUM(F239:F240)</f>
        <v>0</v>
      </c>
      <c r="G238" s="2574">
        <f t="shared" si="31"/>
        <v>0</v>
      </c>
      <c r="H238" s="2574">
        <f>SUM(H239:H240)</f>
        <v>0</v>
      </c>
      <c r="I238" s="2575" t="e">
        <f t="shared" si="28"/>
        <v>#DIV/0!</v>
      </c>
      <c r="J238" s="2574">
        <f>SUM(J239:J240)</f>
        <v>0</v>
      </c>
      <c r="K238" s="2574">
        <f t="shared" si="29"/>
        <v>0</v>
      </c>
      <c r="L238" s="2575">
        <f t="shared" si="30"/>
        <v>0</v>
      </c>
      <c r="M238" s="2576"/>
    </row>
    <row r="239" spans="1:13" ht="16.5">
      <c r="A239" s="2572">
        <f t="shared" si="26"/>
        <v>222</v>
      </c>
      <c r="B239" s="2822"/>
      <c r="C239" s="2579" t="s">
        <v>6147</v>
      </c>
      <c r="D239" s="2574"/>
      <c r="E239" s="2575" t="e">
        <f t="shared" si="27"/>
        <v>#DIV/0!</v>
      </c>
      <c r="F239" s="2574"/>
      <c r="G239" s="2574">
        <f t="shared" si="31"/>
        <v>0</v>
      </c>
      <c r="H239" s="2574"/>
      <c r="I239" s="2575" t="e">
        <f t="shared" si="28"/>
        <v>#DIV/0!</v>
      </c>
      <c r="J239" s="2574"/>
      <c r="K239" s="2574">
        <f t="shared" si="29"/>
        <v>0</v>
      </c>
      <c r="L239" s="2575">
        <f t="shared" si="30"/>
        <v>0</v>
      </c>
      <c r="M239" s="2576"/>
    </row>
    <row r="240" spans="1:13" ht="16.5">
      <c r="A240" s="2572">
        <f t="shared" si="26"/>
        <v>223</v>
      </c>
      <c r="B240" s="2822"/>
      <c r="C240" s="2579" t="s">
        <v>6152</v>
      </c>
      <c r="D240" s="2574"/>
      <c r="E240" s="2575" t="e">
        <f t="shared" si="27"/>
        <v>#DIV/0!</v>
      </c>
      <c r="F240" s="2574"/>
      <c r="G240" s="2574">
        <f t="shared" si="31"/>
        <v>0</v>
      </c>
      <c r="H240" s="2574"/>
      <c r="I240" s="2575" t="e">
        <f t="shared" si="28"/>
        <v>#DIV/0!</v>
      </c>
      <c r="J240" s="2574"/>
      <c r="K240" s="2574">
        <f t="shared" si="29"/>
        <v>0</v>
      </c>
      <c r="L240" s="2575">
        <f t="shared" si="30"/>
        <v>0</v>
      </c>
      <c r="M240" s="2576"/>
    </row>
    <row r="241" spans="1:13" ht="16.5">
      <c r="A241" s="2572">
        <f t="shared" si="26"/>
        <v>224</v>
      </c>
      <c r="B241" s="2822"/>
      <c r="C241" s="2577" t="s">
        <v>6276</v>
      </c>
      <c r="D241" s="2574">
        <f>D203+D219</f>
        <v>0</v>
      </c>
      <c r="E241" s="2575" t="e">
        <f t="shared" si="27"/>
        <v>#DIV/0!</v>
      </c>
      <c r="F241" s="2574">
        <f>F203+F219</f>
        <v>0</v>
      </c>
      <c r="G241" s="2574">
        <f t="shared" si="31"/>
        <v>0</v>
      </c>
      <c r="H241" s="2574">
        <f>H203+H219</f>
        <v>0</v>
      </c>
      <c r="I241" s="2575" t="e">
        <f t="shared" si="28"/>
        <v>#DIV/0!</v>
      </c>
      <c r="J241" s="2574">
        <f>J203+J219</f>
        <v>0</v>
      </c>
      <c r="K241" s="2574">
        <f t="shared" si="29"/>
        <v>0</v>
      </c>
      <c r="L241" s="2575">
        <f t="shared" si="30"/>
        <v>0</v>
      </c>
      <c r="M241" s="2576"/>
    </row>
    <row r="242" spans="1:13" ht="16.5" customHeight="1">
      <c r="A242" s="2572">
        <f t="shared" si="26"/>
        <v>225</v>
      </c>
      <c r="B242" s="2822" t="s">
        <v>6277</v>
      </c>
      <c r="C242" s="2577" t="s">
        <v>6278</v>
      </c>
      <c r="D242" s="2574">
        <f>D243+D247</f>
        <v>0</v>
      </c>
      <c r="E242" s="2575" t="e">
        <f t="shared" si="27"/>
        <v>#DIV/0!</v>
      </c>
      <c r="F242" s="2574">
        <f>F243+F247</f>
        <v>0</v>
      </c>
      <c r="G242" s="2574">
        <f t="shared" si="31"/>
        <v>0</v>
      </c>
      <c r="H242" s="2574">
        <f>H243+H247</f>
        <v>0</v>
      </c>
      <c r="I242" s="2575" t="e">
        <f t="shared" si="28"/>
        <v>#DIV/0!</v>
      </c>
      <c r="J242" s="2574">
        <f>J243+J247</f>
        <v>0</v>
      </c>
      <c r="K242" s="2574">
        <f t="shared" si="29"/>
        <v>0</v>
      </c>
      <c r="L242" s="2575">
        <f t="shared" si="30"/>
        <v>0</v>
      </c>
      <c r="M242" s="2576"/>
    </row>
    <row r="243" spans="1:13" ht="16.5">
      <c r="A243" s="2572">
        <f t="shared" si="26"/>
        <v>226</v>
      </c>
      <c r="B243" s="2822"/>
      <c r="C243" s="2578" t="s">
        <v>6206</v>
      </c>
      <c r="D243" s="2574">
        <f>SUM(D244:D246)</f>
        <v>0</v>
      </c>
      <c r="E243" s="2575" t="e">
        <f t="shared" si="27"/>
        <v>#DIV/0!</v>
      </c>
      <c r="F243" s="2574">
        <f>SUM(F244:F246)</f>
        <v>0</v>
      </c>
      <c r="G243" s="2574">
        <f t="shared" si="31"/>
        <v>0</v>
      </c>
      <c r="H243" s="2574">
        <f>SUM(H244:H246)</f>
        <v>0</v>
      </c>
      <c r="I243" s="2575" t="e">
        <f t="shared" si="28"/>
        <v>#DIV/0!</v>
      </c>
      <c r="J243" s="2574">
        <f>SUM(J244:J246)</f>
        <v>0</v>
      </c>
      <c r="K243" s="2574">
        <f t="shared" si="29"/>
        <v>0</v>
      </c>
      <c r="L243" s="2575">
        <f t="shared" si="30"/>
        <v>0</v>
      </c>
      <c r="M243" s="2576"/>
    </row>
    <row r="244" spans="1:13" ht="16.5">
      <c r="A244" s="2572">
        <f t="shared" si="26"/>
        <v>227</v>
      </c>
      <c r="B244" s="2822"/>
      <c r="C244" s="2585" t="s">
        <v>4685</v>
      </c>
      <c r="D244" s="2574"/>
      <c r="E244" s="2575" t="e">
        <f t="shared" si="27"/>
        <v>#DIV/0!</v>
      </c>
      <c r="F244" s="2574"/>
      <c r="G244" s="2574">
        <f t="shared" si="31"/>
        <v>0</v>
      </c>
      <c r="H244" s="2574"/>
      <c r="I244" s="2575" t="e">
        <f t="shared" si="28"/>
        <v>#DIV/0!</v>
      </c>
      <c r="J244" s="2574"/>
      <c r="K244" s="2574">
        <f t="shared" si="29"/>
        <v>0</v>
      </c>
      <c r="L244" s="2575">
        <f t="shared" si="30"/>
        <v>0</v>
      </c>
      <c r="M244" s="2576"/>
    </row>
    <row r="245" spans="1:13" ht="16.5">
      <c r="A245" s="2572">
        <f t="shared" si="26"/>
        <v>228</v>
      </c>
      <c r="B245" s="2822"/>
      <c r="C245" s="2585" t="s">
        <v>6279</v>
      </c>
      <c r="D245" s="2574"/>
      <c r="E245" s="2575" t="e">
        <f t="shared" si="27"/>
        <v>#DIV/0!</v>
      </c>
      <c r="F245" s="2574"/>
      <c r="G245" s="2574">
        <f t="shared" si="31"/>
        <v>0</v>
      </c>
      <c r="H245" s="2574"/>
      <c r="I245" s="2575" t="e">
        <f t="shared" si="28"/>
        <v>#DIV/0!</v>
      </c>
      <c r="J245" s="2574"/>
      <c r="K245" s="2574">
        <f t="shared" si="29"/>
        <v>0</v>
      </c>
      <c r="L245" s="2575">
        <f t="shared" si="30"/>
        <v>0</v>
      </c>
      <c r="M245" s="2576"/>
    </row>
    <row r="246" spans="1:13" ht="16.5">
      <c r="A246" s="2572">
        <f t="shared" si="26"/>
        <v>229</v>
      </c>
      <c r="B246" s="2822"/>
      <c r="C246" s="2585" t="s">
        <v>4601</v>
      </c>
      <c r="D246" s="2574"/>
      <c r="E246" s="2575" t="e">
        <f t="shared" si="27"/>
        <v>#DIV/0!</v>
      </c>
      <c r="F246" s="2574"/>
      <c r="G246" s="2574">
        <f t="shared" si="31"/>
        <v>0</v>
      </c>
      <c r="H246" s="2574"/>
      <c r="I246" s="2575" t="e">
        <f t="shared" si="28"/>
        <v>#DIV/0!</v>
      </c>
      <c r="J246" s="2574"/>
      <c r="K246" s="2574">
        <f t="shared" si="29"/>
        <v>0</v>
      </c>
      <c r="L246" s="2575">
        <f t="shared" si="30"/>
        <v>0</v>
      </c>
      <c r="M246" s="2576"/>
    </row>
    <row r="247" spans="1:13" ht="16.5">
      <c r="A247" s="2572">
        <f t="shared" si="26"/>
        <v>230</v>
      </c>
      <c r="B247" s="2822"/>
      <c r="C247" s="2578" t="s">
        <v>6128</v>
      </c>
      <c r="D247" s="2574">
        <f>SUM(D248:D250)</f>
        <v>0</v>
      </c>
      <c r="E247" s="2575" t="e">
        <f t="shared" si="27"/>
        <v>#DIV/0!</v>
      </c>
      <c r="F247" s="2574">
        <f>SUM(F248:F250)</f>
        <v>0</v>
      </c>
      <c r="G247" s="2574">
        <f t="shared" si="31"/>
        <v>0</v>
      </c>
      <c r="H247" s="2574">
        <f>SUM(H248:H250)</f>
        <v>0</v>
      </c>
      <c r="I247" s="2575" t="e">
        <f t="shared" si="28"/>
        <v>#DIV/0!</v>
      </c>
      <c r="J247" s="2574">
        <f>SUM(J248:J250)</f>
        <v>0</v>
      </c>
      <c r="K247" s="2574">
        <f t="shared" si="29"/>
        <v>0</v>
      </c>
      <c r="L247" s="2575">
        <f t="shared" si="30"/>
        <v>0</v>
      </c>
      <c r="M247" s="2576"/>
    </row>
    <row r="248" spans="1:13" ht="16.5">
      <c r="A248" s="2572">
        <f t="shared" si="26"/>
        <v>231</v>
      </c>
      <c r="B248" s="2822"/>
      <c r="C248" s="2585" t="s">
        <v>4685</v>
      </c>
      <c r="D248" s="2574"/>
      <c r="E248" s="2575" t="e">
        <f t="shared" si="27"/>
        <v>#DIV/0!</v>
      </c>
      <c r="F248" s="2574"/>
      <c r="G248" s="2574">
        <f t="shared" si="31"/>
        <v>0</v>
      </c>
      <c r="H248" s="2574"/>
      <c r="I248" s="2575" t="e">
        <f t="shared" si="28"/>
        <v>#DIV/0!</v>
      </c>
      <c r="J248" s="2574"/>
      <c r="K248" s="2574">
        <f t="shared" si="29"/>
        <v>0</v>
      </c>
      <c r="L248" s="2575">
        <f t="shared" si="30"/>
        <v>0</v>
      </c>
      <c r="M248" s="2576"/>
    </row>
    <row r="249" spans="1:13" ht="16.5">
      <c r="A249" s="2572">
        <f t="shared" si="26"/>
        <v>232</v>
      </c>
      <c r="B249" s="2822"/>
      <c r="C249" s="2585" t="s">
        <v>6279</v>
      </c>
      <c r="D249" s="2574"/>
      <c r="E249" s="2575" t="e">
        <f t="shared" si="27"/>
        <v>#DIV/0!</v>
      </c>
      <c r="F249" s="2574"/>
      <c r="G249" s="2574">
        <f t="shared" si="31"/>
        <v>0</v>
      </c>
      <c r="H249" s="2574"/>
      <c r="I249" s="2575" t="e">
        <f t="shared" si="28"/>
        <v>#DIV/0!</v>
      </c>
      <c r="J249" s="2574"/>
      <c r="K249" s="2574">
        <f t="shared" si="29"/>
        <v>0</v>
      </c>
      <c r="L249" s="2575">
        <f t="shared" si="30"/>
        <v>0</v>
      </c>
      <c r="M249" s="2576"/>
    </row>
    <row r="250" spans="1:13" ht="16.5">
      <c r="A250" s="2572">
        <f t="shared" si="26"/>
        <v>233</v>
      </c>
      <c r="B250" s="2822"/>
      <c r="C250" s="2585" t="s">
        <v>4601</v>
      </c>
      <c r="D250" s="2574"/>
      <c r="E250" s="2575" t="e">
        <f t="shared" si="27"/>
        <v>#DIV/0!</v>
      </c>
      <c r="F250" s="2574"/>
      <c r="G250" s="2574">
        <f t="shared" si="31"/>
        <v>0</v>
      </c>
      <c r="H250" s="2574"/>
      <c r="I250" s="2575" t="e">
        <f t="shared" si="28"/>
        <v>#DIV/0!</v>
      </c>
      <c r="J250" s="2574"/>
      <c r="K250" s="2574">
        <f t="shared" si="29"/>
        <v>0</v>
      </c>
      <c r="L250" s="2575">
        <f t="shared" si="30"/>
        <v>0</v>
      </c>
      <c r="M250" s="2576"/>
    </row>
    <row r="251" spans="1:13" ht="16.5">
      <c r="A251" s="2572">
        <f t="shared" si="26"/>
        <v>234</v>
      </c>
      <c r="B251" s="2822"/>
      <c r="C251" s="2577" t="s">
        <v>6280</v>
      </c>
      <c r="D251" s="2574">
        <f>SUM(D252:D254)</f>
        <v>0</v>
      </c>
      <c r="E251" s="2575" t="e">
        <f t="shared" si="27"/>
        <v>#DIV/0!</v>
      </c>
      <c r="F251" s="2574">
        <f>SUM(F252:F254)</f>
        <v>0</v>
      </c>
      <c r="G251" s="2574">
        <f t="shared" si="31"/>
        <v>0</v>
      </c>
      <c r="H251" s="2574">
        <f>SUM(H252:H254)</f>
        <v>0</v>
      </c>
      <c r="I251" s="2575" t="e">
        <f t="shared" si="28"/>
        <v>#DIV/0!</v>
      </c>
      <c r="J251" s="2574">
        <f>SUM(J252:J254)</f>
        <v>0</v>
      </c>
      <c r="K251" s="2574">
        <f t="shared" si="29"/>
        <v>0</v>
      </c>
      <c r="L251" s="2575">
        <f t="shared" si="30"/>
        <v>0</v>
      </c>
      <c r="M251" s="2576"/>
    </row>
    <row r="252" spans="1:13" ht="16.5">
      <c r="A252" s="2572">
        <f t="shared" si="26"/>
        <v>235</v>
      </c>
      <c r="B252" s="2822"/>
      <c r="C252" s="2583" t="s">
        <v>4685</v>
      </c>
      <c r="D252" s="2574"/>
      <c r="E252" s="2575" t="e">
        <f t="shared" si="27"/>
        <v>#DIV/0!</v>
      </c>
      <c r="F252" s="2574"/>
      <c r="G252" s="2574">
        <f t="shared" si="31"/>
        <v>0</v>
      </c>
      <c r="H252" s="2574"/>
      <c r="I252" s="2575" t="e">
        <f t="shared" si="28"/>
        <v>#DIV/0!</v>
      </c>
      <c r="J252" s="2574"/>
      <c r="K252" s="2574">
        <f t="shared" si="29"/>
        <v>0</v>
      </c>
      <c r="L252" s="2575">
        <f t="shared" si="30"/>
        <v>0</v>
      </c>
      <c r="M252" s="2576"/>
    </row>
    <row r="253" spans="1:13" ht="16.5">
      <c r="A253" s="2572">
        <f t="shared" si="26"/>
        <v>236</v>
      </c>
      <c r="B253" s="2822"/>
      <c r="C253" s="2578" t="s">
        <v>6279</v>
      </c>
      <c r="D253" s="2574"/>
      <c r="E253" s="2575" t="e">
        <f t="shared" si="27"/>
        <v>#DIV/0!</v>
      </c>
      <c r="F253" s="2574"/>
      <c r="G253" s="2574">
        <f t="shared" si="31"/>
        <v>0</v>
      </c>
      <c r="H253" s="2574"/>
      <c r="I253" s="2575" t="e">
        <f t="shared" si="28"/>
        <v>#DIV/0!</v>
      </c>
      <c r="J253" s="2574"/>
      <c r="K253" s="2574">
        <f t="shared" si="29"/>
        <v>0</v>
      </c>
      <c r="L253" s="2575">
        <f t="shared" si="30"/>
        <v>0</v>
      </c>
      <c r="M253" s="2576"/>
    </row>
    <row r="254" spans="1:13" ht="16.5">
      <c r="A254" s="2572">
        <f t="shared" si="26"/>
        <v>237</v>
      </c>
      <c r="B254" s="2822"/>
      <c r="C254" s="2583" t="s">
        <v>4601</v>
      </c>
      <c r="D254" s="2574"/>
      <c r="E254" s="2575" t="e">
        <f t="shared" si="27"/>
        <v>#DIV/0!</v>
      </c>
      <c r="F254" s="2574"/>
      <c r="G254" s="2574">
        <f t="shared" si="31"/>
        <v>0</v>
      </c>
      <c r="H254" s="2574"/>
      <c r="I254" s="2575" t="e">
        <f t="shared" si="28"/>
        <v>#DIV/0!</v>
      </c>
      <c r="J254" s="2574"/>
      <c r="K254" s="2574">
        <f t="shared" si="29"/>
        <v>0</v>
      </c>
      <c r="L254" s="2575">
        <f t="shared" si="30"/>
        <v>0</v>
      </c>
      <c r="M254" s="2576"/>
    </row>
    <row r="255" spans="1:13" ht="16.5">
      <c r="A255" s="2572">
        <f t="shared" si="26"/>
        <v>238</v>
      </c>
      <c r="B255" s="2822"/>
      <c r="C255" s="2577" t="s">
        <v>6281</v>
      </c>
      <c r="D255" s="2574">
        <f>D242+D251</f>
        <v>0</v>
      </c>
      <c r="E255" s="2575" t="e">
        <f t="shared" si="27"/>
        <v>#DIV/0!</v>
      </c>
      <c r="F255" s="2574">
        <f>F242+F251</f>
        <v>0</v>
      </c>
      <c r="G255" s="2574">
        <f t="shared" si="31"/>
        <v>0</v>
      </c>
      <c r="H255" s="2574">
        <f>H242+H251</f>
        <v>0</v>
      </c>
      <c r="I255" s="2575" t="e">
        <f t="shared" si="28"/>
        <v>#DIV/0!</v>
      </c>
      <c r="J255" s="2574">
        <f>J242+J251</f>
        <v>0</v>
      </c>
      <c r="K255" s="2574">
        <f t="shared" si="29"/>
        <v>0</v>
      </c>
      <c r="L255" s="2575">
        <f t="shared" si="30"/>
        <v>0</v>
      </c>
      <c r="M255" s="2576"/>
    </row>
    <row r="256" spans="1:13" ht="15.75" customHeight="1">
      <c r="A256" s="2572">
        <f t="shared" si="26"/>
        <v>239</v>
      </c>
      <c r="B256" s="2820" t="s">
        <v>6282</v>
      </c>
      <c r="C256" s="2821"/>
      <c r="D256" s="2574">
        <f>D11+D81+D98+D109+D202+D241+D255</f>
        <v>0</v>
      </c>
      <c r="E256" s="2575" t="e">
        <f t="shared" si="27"/>
        <v>#DIV/0!</v>
      </c>
      <c r="F256" s="2574">
        <f>F11+F81+F98+F109+F202+F241+F255</f>
        <v>0</v>
      </c>
      <c r="G256" s="2574">
        <f t="shared" si="31"/>
        <v>0</v>
      </c>
      <c r="H256" s="2574">
        <f>H11+H81+H98+H109+H202+H241+H255</f>
        <v>0</v>
      </c>
      <c r="I256" s="2575" t="e">
        <f t="shared" si="28"/>
        <v>#DIV/0!</v>
      </c>
      <c r="J256" s="2574">
        <f>J11+J81+J98+J109+J202+J241+J255</f>
        <v>0</v>
      </c>
      <c r="K256" s="2574">
        <f t="shared" si="29"/>
        <v>0</v>
      </c>
      <c r="L256" s="2575">
        <f t="shared" si="30"/>
        <v>0</v>
      </c>
      <c r="M256" s="2576"/>
    </row>
    <row r="257" spans="1:13" ht="15.75" customHeight="1">
      <c r="A257" s="2572">
        <f t="shared" si="26"/>
        <v>240</v>
      </c>
      <c r="B257" s="2823" t="s">
        <v>5668</v>
      </c>
      <c r="C257" s="2821"/>
      <c r="D257" s="2574"/>
      <c r="E257" s="2575" t="e">
        <f t="shared" si="27"/>
        <v>#DIV/0!</v>
      </c>
      <c r="F257" s="2574"/>
      <c r="G257" s="2574">
        <f t="shared" si="31"/>
        <v>0</v>
      </c>
      <c r="H257" s="2574"/>
      <c r="I257" s="2575" t="e">
        <f t="shared" si="28"/>
        <v>#DIV/0!</v>
      </c>
      <c r="J257" s="2574"/>
      <c r="K257" s="2574">
        <f t="shared" si="29"/>
        <v>0</v>
      </c>
      <c r="L257" s="2575">
        <f t="shared" si="30"/>
        <v>0</v>
      </c>
      <c r="M257" s="2576"/>
    </row>
    <row r="258" spans="1:13" ht="15.75" customHeight="1">
      <c r="A258" s="2572">
        <f t="shared" si="26"/>
        <v>241</v>
      </c>
      <c r="B258" s="2820" t="s">
        <v>6283</v>
      </c>
      <c r="C258" s="2821"/>
      <c r="D258" s="2574"/>
      <c r="E258" s="2575" t="e">
        <f t="shared" si="27"/>
        <v>#DIV/0!</v>
      </c>
      <c r="F258" s="2574"/>
      <c r="G258" s="2574">
        <f t="shared" si="31"/>
        <v>0</v>
      </c>
      <c r="H258" s="2574"/>
      <c r="I258" s="2575" t="e">
        <f t="shared" si="28"/>
        <v>#DIV/0!</v>
      </c>
      <c r="J258" s="2574"/>
      <c r="K258" s="2574">
        <f t="shared" si="29"/>
        <v>0</v>
      </c>
      <c r="L258" s="2575">
        <f t="shared" si="30"/>
        <v>0</v>
      </c>
      <c r="M258" s="2576"/>
    </row>
    <row r="259" spans="1:13" ht="16.5" customHeight="1">
      <c r="A259" s="2572">
        <f t="shared" si="26"/>
        <v>242</v>
      </c>
      <c r="B259" s="2822" t="s">
        <v>6284</v>
      </c>
      <c r="C259" s="2577" t="s">
        <v>6285</v>
      </c>
      <c r="D259" s="2574"/>
      <c r="E259" s="2575" t="e">
        <f t="shared" si="27"/>
        <v>#DIV/0!</v>
      </c>
      <c r="F259" s="2574"/>
      <c r="G259" s="2574">
        <f t="shared" si="31"/>
        <v>0</v>
      </c>
      <c r="H259" s="2574"/>
      <c r="I259" s="2575" t="e">
        <f t="shared" si="28"/>
        <v>#DIV/0!</v>
      </c>
      <c r="J259" s="2574"/>
      <c r="K259" s="2574">
        <f t="shared" si="29"/>
        <v>0</v>
      </c>
      <c r="L259" s="2575">
        <f t="shared" si="30"/>
        <v>0</v>
      </c>
      <c r="M259" s="2576"/>
    </row>
    <row r="260" spans="1:13" ht="16.5">
      <c r="A260" s="2572">
        <f t="shared" si="26"/>
        <v>243</v>
      </c>
      <c r="B260" s="2822"/>
      <c r="C260" s="2577" t="s">
        <v>6286</v>
      </c>
      <c r="D260" s="2574"/>
      <c r="E260" s="2575" t="e">
        <f t="shared" si="27"/>
        <v>#DIV/0!</v>
      </c>
      <c r="F260" s="2574"/>
      <c r="G260" s="2574">
        <f t="shared" si="31"/>
        <v>0</v>
      </c>
      <c r="H260" s="2574"/>
      <c r="I260" s="2575" t="e">
        <f t="shared" si="28"/>
        <v>#DIV/0!</v>
      </c>
      <c r="J260" s="2574"/>
      <c r="K260" s="2574">
        <f t="shared" si="29"/>
        <v>0</v>
      </c>
      <c r="L260" s="2575">
        <f t="shared" si="30"/>
        <v>0</v>
      </c>
      <c r="M260" s="2576"/>
    </row>
    <row r="261" spans="1:13" ht="16.5">
      <c r="A261" s="2572">
        <f t="shared" si="26"/>
        <v>244</v>
      </c>
      <c r="B261" s="2822"/>
      <c r="C261" s="2577" t="s">
        <v>6287</v>
      </c>
      <c r="D261" s="2574"/>
      <c r="E261" s="2575" t="e">
        <f t="shared" si="27"/>
        <v>#DIV/0!</v>
      </c>
      <c r="F261" s="2574"/>
      <c r="G261" s="2574">
        <f t="shared" si="31"/>
        <v>0</v>
      </c>
      <c r="H261" s="2574"/>
      <c r="I261" s="2575" t="e">
        <f t="shared" si="28"/>
        <v>#DIV/0!</v>
      </c>
      <c r="J261" s="2574"/>
      <c r="K261" s="2574">
        <f t="shared" si="29"/>
        <v>0</v>
      </c>
      <c r="L261" s="2575">
        <f t="shared" si="30"/>
        <v>0</v>
      </c>
      <c r="M261" s="2576"/>
    </row>
    <row r="262" spans="1:13" ht="16.5">
      <c r="A262" s="2572">
        <f t="shared" si="26"/>
        <v>245</v>
      </c>
      <c r="B262" s="2822"/>
      <c r="C262" s="2577" t="s">
        <v>6288</v>
      </c>
      <c r="D262" s="2574"/>
      <c r="E262" s="2575" t="e">
        <f t="shared" si="27"/>
        <v>#DIV/0!</v>
      </c>
      <c r="F262" s="2574"/>
      <c r="G262" s="2574">
        <f t="shared" si="31"/>
        <v>0</v>
      </c>
      <c r="H262" s="2574"/>
      <c r="I262" s="2575" t="e">
        <f t="shared" si="28"/>
        <v>#DIV/0!</v>
      </c>
      <c r="J262" s="2574"/>
      <c r="K262" s="2574">
        <f t="shared" si="29"/>
        <v>0</v>
      </c>
      <c r="L262" s="2575">
        <f t="shared" si="30"/>
        <v>0</v>
      </c>
      <c r="M262" s="2576"/>
    </row>
    <row r="263" spans="1:13" ht="16.5">
      <c r="A263" s="2572">
        <f t="shared" si="26"/>
        <v>246</v>
      </c>
      <c r="B263" s="2822"/>
      <c r="C263" s="2577" t="s">
        <v>6289</v>
      </c>
      <c r="D263" s="2574"/>
      <c r="E263" s="2575" t="e">
        <f t="shared" si="27"/>
        <v>#DIV/0!</v>
      </c>
      <c r="F263" s="2574"/>
      <c r="G263" s="2574">
        <f t="shared" si="31"/>
        <v>0</v>
      </c>
      <c r="H263" s="2574"/>
      <c r="I263" s="2575" t="e">
        <f t="shared" si="28"/>
        <v>#DIV/0!</v>
      </c>
      <c r="J263" s="2574"/>
      <c r="K263" s="2574">
        <f t="shared" si="29"/>
        <v>0</v>
      </c>
      <c r="L263" s="2575">
        <f t="shared" si="30"/>
        <v>0</v>
      </c>
      <c r="M263" s="2576"/>
    </row>
    <row r="264" spans="1:13" ht="16.5">
      <c r="A264" s="2572">
        <f t="shared" si="26"/>
        <v>247</v>
      </c>
      <c r="B264" s="2822"/>
      <c r="C264" s="2577" t="s">
        <v>6290</v>
      </c>
      <c r="D264" s="2574"/>
      <c r="E264" s="2575" t="e">
        <f t="shared" si="27"/>
        <v>#DIV/0!</v>
      </c>
      <c r="F264" s="2574"/>
      <c r="G264" s="2574">
        <f t="shared" si="31"/>
        <v>0</v>
      </c>
      <c r="H264" s="2574"/>
      <c r="I264" s="2575" t="e">
        <f t="shared" si="28"/>
        <v>#DIV/0!</v>
      </c>
      <c r="J264" s="2574"/>
      <c r="K264" s="2574">
        <f t="shared" si="29"/>
        <v>0</v>
      </c>
      <c r="L264" s="2575">
        <f t="shared" si="30"/>
        <v>0</v>
      </c>
      <c r="M264" s="2576"/>
    </row>
    <row r="265" spans="1:13" ht="16.5">
      <c r="A265" s="2572">
        <f t="shared" si="26"/>
        <v>248</v>
      </c>
      <c r="B265" s="2822"/>
      <c r="C265" s="2577" t="s">
        <v>6291</v>
      </c>
      <c r="D265" s="2574"/>
      <c r="E265" s="2575" t="e">
        <f t="shared" si="27"/>
        <v>#DIV/0!</v>
      </c>
      <c r="F265" s="2574"/>
      <c r="G265" s="2574">
        <f t="shared" si="31"/>
        <v>0</v>
      </c>
      <c r="H265" s="2574"/>
      <c r="I265" s="2575" t="e">
        <f t="shared" si="28"/>
        <v>#DIV/0!</v>
      </c>
      <c r="J265" s="2574"/>
      <c r="K265" s="2574">
        <f t="shared" si="29"/>
        <v>0</v>
      </c>
      <c r="L265" s="2575">
        <f t="shared" si="30"/>
        <v>0</v>
      </c>
      <c r="M265" s="2576"/>
    </row>
    <row r="266" spans="1:13" ht="16.5">
      <c r="A266" s="2572">
        <f t="shared" si="26"/>
        <v>249</v>
      </c>
      <c r="B266" s="2822"/>
      <c r="C266" s="2577" t="s">
        <v>6292</v>
      </c>
      <c r="D266" s="2574"/>
      <c r="E266" s="2575" t="e">
        <f t="shared" si="27"/>
        <v>#DIV/0!</v>
      </c>
      <c r="F266" s="2574"/>
      <c r="G266" s="2574">
        <f t="shared" si="31"/>
        <v>0</v>
      </c>
      <c r="H266" s="2574"/>
      <c r="I266" s="2575" t="e">
        <f t="shared" si="28"/>
        <v>#DIV/0!</v>
      </c>
      <c r="J266" s="2574"/>
      <c r="K266" s="2574">
        <f t="shared" si="29"/>
        <v>0</v>
      </c>
      <c r="L266" s="2575">
        <f t="shared" si="30"/>
        <v>0</v>
      </c>
      <c r="M266" s="2576"/>
    </row>
    <row r="267" spans="1:13" ht="16.5">
      <c r="A267" s="2572">
        <f t="shared" si="26"/>
        <v>250</v>
      </c>
      <c r="B267" s="2822"/>
      <c r="C267" s="2577" t="s">
        <v>6293</v>
      </c>
      <c r="D267" s="2574"/>
      <c r="E267" s="2575" t="e">
        <f t="shared" si="27"/>
        <v>#DIV/0!</v>
      </c>
      <c r="F267" s="2574"/>
      <c r="G267" s="2574">
        <f t="shared" si="31"/>
        <v>0</v>
      </c>
      <c r="H267" s="2574"/>
      <c r="I267" s="2575" t="e">
        <f t="shared" si="28"/>
        <v>#DIV/0!</v>
      </c>
      <c r="J267" s="2574"/>
      <c r="K267" s="2574">
        <f t="shared" si="29"/>
        <v>0</v>
      </c>
      <c r="L267" s="2575">
        <f t="shared" si="30"/>
        <v>0</v>
      </c>
      <c r="M267" s="2576"/>
    </row>
    <row r="268" spans="1:13" ht="16.5">
      <c r="A268" s="2572">
        <f t="shared" si="26"/>
        <v>251</v>
      </c>
      <c r="B268" s="2822"/>
      <c r="C268" s="2577" t="s">
        <v>6294</v>
      </c>
      <c r="D268" s="2574">
        <f>SUM(D259:D267)</f>
        <v>0</v>
      </c>
      <c r="E268" s="2575" t="e">
        <f t="shared" si="27"/>
        <v>#DIV/0!</v>
      </c>
      <c r="F268" s="2574">
        <f>SUM(F259:F267)</f>
        <v>0</v>
      </c>
      <c r="G268" s="2574">
        <f t="shared" si="31"/>
        <v>0</v>
      </c>
      <c r="H268" s="2574">
        <f>SUM(H259:H267)</f>
        <v>0</v>
      </c>
      <c r="I268" s="2575" t="e">
        <f t="shared" si="28"/>
        <v>#DIV/0!</v>
      </c>
      <c r="J268" s="2574">
        <f>SUM(J259:J267)</f>
        <v>0</v>
      </c>
      <c r="K268" s="2574">
        <f t="shared" si="29"/>
        <v>0</v>
      </c>
      <c r="L268" s="2575">
        <f t="shared" si="30"/>
        <v>0</v>
      </c>
      <c r="M268" s="2576"/>
    </row>
    <row r="269" spans="1:13" ht="15.75" customHeight="1">
      <c r="A269" s="2572">
        <f t="shared" si="26"/>
        <v>252</v>
      </c>
      <c r="B269" s="2818" t="s">
        <v>6295</v>
      </c>
      <c r="C269" s="2819"/>
      <c r="D269" s="2574">
        <f>D257+D268</f>
        <v>0</v>
      </c>
      <c r="E269" s="2575" t="e">
        <f t="shared" si="27"/>
        <v>#DIV/0!</v>
      </c>
      <c r="F269" s="2574">
        <f>F257+F268</f>
        <v>0</v>
      </c>
      <c r="G269" s="2574">
        <f t="shared" si="31"/>
        <v>0</v>
      </c>
      <c r="H269" s="2574">
        <f>H257+H268</f>
        <v>0</v>
      </c>
      <c r="I269" s="2575" t="e">
        <f t="shared" si="28"/>
        <v>#DIV/0!</v>
      </c>
      <c r="J269" s="2574">
        <f>J257+J268</f>
        <v>0</v>
      </c>
      <c r="K269" s="2574">
        <f t="shared" si="29"/>
        <v>0</v>
      </c>
      <c r="L269" s="2575">
        <f t="shared" si="30"/>
        <v>0</v>
      </c>
      <c r="M269" s="2576"/>
    </row>
    <row r="270" spans="1:13" ht="16.5">
      <c r="A270" s="2586" t="s">
        <v>6296</v>
      </c>
      <c r="B270" s="2587"/>
      <c r="C270" s="2587"/>
      <c r="D270" s="2588"/>
      <c r="E270" s="2588"/>
      <c r="F270" s="2588"/>
      <c r="G270" s="2589"/>
      <c r="H270" s="2589"/>
      <c r="I270" s="2589"/>
      <c r="J270" s="2589"/>
      <c r="K270" s="2589"/>
      <c r="L270" s="2589"/>
    </row>
    <row r="271" spans="1:13" ht="16.5">
      <c r="A271" s="2590">
        <v>1</v>
      </c>
      <c r="B271" s="2591" t="s">
        <v>6297</v>
      </c>
      <c r="C271" s="2591"/>
      <c r="D271" s="2592"/>
      <c r="E271" s="2592"/>
      <c r="F271" s="2592"/>
      <c r="G271" s="2589"/>
      <c r="H271" s="2589"/>
      <c r="I271" s="2589"/>
      <c r="J271" s="2589"/>
      <c r="K271" s="2589"/>
      <c r="L271" s="2589"/>
    </row>
    <row r="272" spans="1:13" ht="16.5">
      <c r="A272" s="2590">
        <v>2</v>
      </c>
      <c r="B272" s="2591" t="s">
        <v>6298</v>
      </c>
      <c r="C272" s="2593"/>
      <c r="D272" s="1561"/>
      <c r="E272" s="1561"/>
      <c r="F272" s="1561"/>
      <c r="G272" s="1561"/>
      <c r="H272" s="1561"/>
      <c r="I272" s="1561"/>
      <c r="J272" s="2589"/>
      <c r="K272" s="2589"/>
      <c r="L272" s="2589"/>
    </row>
    <row r="273" spans="1:12" ht="16.5">
      <c r="A273" s="2590">
        <v>3</v>
      </c>
      <c r="B273" s="426" t="s">
        <v>6299</v>
      </c>
      <c r="C273" s="2594"/>
      <c r="D273" s="1583"/>
      <c r="E273" s="1583"/>
      <c r="F273" s="1583"/>
      <c r="G273" s="1583"/>
      <c r="H273" s="1561"/>
      <c r="I273" s="1561"/>
      <c r="J273" s="2589"/>
      <c r="K273" s="2589"/>
      <c r="L273" s="2589"/>
    </row>
    <row r="274" spans="1:12" ht="16.5">
      <c r="A274" s="2590" t="s">
        <v>1398</v>
      </c>
      <c r="B274" s="2595" t="s">
        <v>6300</v>
      </c>
      <c r="C274" s="2595"/>
      <c r="D274" s="2589"/>
      <c r="E274" s="2589"/>
      <c r="F274" s="2589"/>
      <c r="G274" s="2589"/>
      <c r="H274" s="2589"/>
      <c r="I274" s="2589"/>
      <c r="J274" s="2589"/>
      <c r="K274" s="2589"/>
      <c r="L274" s="2589"/>
    </row>
    <row r="275" spans="1:12" ht="16.5">
      <c r="A275" s="2596">
        <v>5</v>
      </c>
      <c r="B275" s="2597" t="s">
        <v>6301</v>
      </c>
      <c r="C275" s="2597"/>
    </row>
    <row r="276" spans="1:12" ht="16.5">
      <c r="A276" s="2596">
        <v>6</v>
      </c>
      <c r="B276" s="2597" t="s">
        <v>6302</v>
      </c>
      <c r="C276" s="2597"/>
    </row>
    <row r="277" spans="1:12" ht="16.5">
      <c r="A277" s="2596">
        <v>7</v>
      </c>
      <c r="B277" s="2597" t="s">
        <v>6303</v>
      </c>
      <c r="C277" s="2597"/>
    </row>
    <row r="278" spans="1:12" ht="16.5">
      <c r="A278" s="2596">
        <v>8</v>
      </c>
      <c r="B278" s="2597" t="s">
        <v>4063</v>
      </c>
      <c r="C278" s="2597"/>
    </row>
    <row r="279" spans="1:12" ht="16.5">
      <c r="A279" s="2596">
        <v>9</v>
      </c>
      <c r="B279" s="2597" t="s">
        <v>6304</v>
      </c>
      <c r="C279" s="2597"/>
    </row>
    <row r="280" spans="1:12" ht="16.5">
      <c r="A280" s="2596">
        <v>10</v>
      </c>
      <c r="B280" s="2597" t="s">
        <v>6305</v>
      </c>
      <c r="C280" s="2597"/>
    </row>
    <row r="281" spans="1:12" ht="16.5">
      <c r="A281" s="2597"/>
      <c r="B281" s="2597" t="s">
        <v>6306</v>
      </c>
      <c r="C281" s="2597"/>
    </row>
    <row r="282" spans="1:12" ht="16.5">
      <c r="A282" s="2598">
        <v>11</v>
      </c>
      <c r="B282" s="2597" t="s">
        <v>6307</v>
      </c>
      <c r="C282" s="2597"/>
    </row>
    <row r="283" spans="1:12" ht="16.5">
      <c r="A283" s="2633">
        <v>12</v>
      </c>
      <c r="B283" s="2634" t="s">
        <v>8436</v>
      </c>
      <c r="C283" s="2597"/>
    </row>
    <row r="284" spans="1:12">
      <c r="A284" s="2597"/>
      <c r="B284" s="2597"/>
      <c r="C284" s="2597"/>
    </row>
    <row r="285" spans="1:12">
      <c r="A285" s="2597"/>
      <c r="B285" s="2597"/>
      <c r="C285" s="2597"/>
    </row>
    <row r="286" spans="1:12">
      <c r="A286" s="2597"/>
      <c r="B286" s="2597"/>
      <c r="C286" s="2597"/>
    </row>
    <row r="287" spans="1:12">
      <c r="A287" s="2597"/>
      <c r="B287" s="2597"/>
      <c r="C287" s="2597"/>
    </row>
  </sheetData>
  <mergeCells count="18">
    <mergeCell ref="A3:A5"/>
    <mergeCell ref="B3:C4"/>
    <mergeCell ref="D3:G3"/>
    <mergeCell ref="H3:J3"/>
    <mergeCell ref="K3:L3"/>
    <mergeCell ref="B5:C5"/>
    <mergeCell ref="B6:B11"/>
    <mergeCell ref="B12:B81"/>
    <mergeCell ref="B82:B98"/>
    <mergeCell ref="B100:B109"/>
    <mergeCell ref="B110:B202"/>
    <mergeCell ref="B269:C269"/>
    <mergeCell ref="B258:C258"/>
    <mergeCell ref="B203:B241"/>
    <mergeCell ref="B242:B255"/>
    <mergeCell ref="B256:C256"/>
    <mergeCell ref="B257:C257"/>
    <mergeCell ref="B259:B268"/>
  </mergeCells>
  <phoneticPr fontId="32"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27" activePane="bottomRight" state="frozen"/>
      <selection pane="topRight"/>
      <selection pane="bottomLeft"/>
      <selection pane="bottomRight"/>
    </sheetView>
  </sheetViews>
  <sheetFormatPr defaultColWidth="9" defaultRowHeight="14.25"/>
  <cols>
    <col min="1" max="1" width="5.125" style="46" customWidth="1"/>
    <col min="2" max="2" width="23.5" style="46" customWidth="1"/>
    <col min="3" max="3" width="12.625" style="46" customWidth="1"/>
    <col min="4" max="4" width="11.25" style="46" customWidth="1"/>
    <col min="5" max="5" width="12.375" style="46" customWidth="1"/>
    <col min="6" max="6" width="12.25" style="46" customWidth="1"/>
    <col min="7" max="7" width="11.25" style="46" customWidth="1"/>
    <col min="8" max="8" width="12.375" style="46" customWidth="1"/>
    <col min="9" max="9" width="12.75" style="46" customWidth="1"/>
    <col min="10" max="10" width="12.375" style="46" customWidth="1"/>
    <col min="11" max="11" width="12.125" style="46" customWidth="1"/>
    <col min="12" max="12" width="12.625" style="46" customWidth="1"/>
    <col min="13" max="13" width="12.25" style="46" customWidth="1"/>
    <col min="14" max="14" width="13.125" style="46" customWidth="1"/>
    <col min="15" max="16" width="9.25" style="46" customWidth="1"/>
    <col min="17" max="17" width="13.125" style="46" customWidth="1"/>
    <col min="18" max="19" width="9.25" style="46" customWidth="1"/>
    <col min="20" max="20" width="13.875" style="46" customWidth="1"/>
    <col min="21" max="21" width="10.5" style="46" customWidth="1"/>
    <col min="22" max="22" width="10.375" style="46" customWidth="1"/>
    <col min="23" max="23" width="14.625" style="46" customWidth="1"/>
    <col min="24" max="24" width="10.125" style="46" customWidth="1"/>
    <col min="25" max="25" width="10.5" style="46" customWidth="1"/>
    <col min="26" max="26" width="13.25" style="46" customWidth="1"/>
    <col min="27" max="27" width="21.125" style="46" customWidth="1"/>
    <col min="28" max="29" width="9.25" style="46" customWidth="1"/>
    <col min="30" max="16384" width="9" style="46"/>
  </cols>
  <sheetData>
    <row r="1" spans="1:52" ht="16.5">
      <c r="A1" s="2186" t="str">
        <f>+封面!A3&amp;" "&amp;封面!A2</f>
        <v xml:space="preserve"> 中央再保險股份有限公司 年度檢查報表</v>
      </c>
    </row>
    <row r="2" spans="1:52">
      <c r="A2" s="907" t="s">
        <v>324</v>
      </c>
      <c r="S2" s="921"/>
      <c r="T2" s="921"/>
      <c r="AA2" s="875" t="s">
        <v>325</v>
      </c>
    </row>
    <row r="3" spans="1:52" s="879" customFormat="1" ht="16.5" customHeight="1">
      <c r="A3" s="3163" t="s">
        <v>326</v>
      </c>
      <c r="B3" s="3163" t="s">
        <v>86</v>
      </c>
      <c r="C3" s="3181" t="s">
        <v>327</v>
      </c>
      <c r="D3" s="3181"/>
      <c r="E3" s="3181"/>
      <c r="F3" s="3181"/>
      <c r="G3" s="3181"/>
      <c r="H3" s="3181"/>
      <c r="I3" s="3181"/>
      <c r="J3" s="3181"/>
      <c r="K3" s="3181"/>
      <c r="L3" s="3181"/>
      <c r="M3" s="3181"/>
      <c r="N3" s="3182"/>
      <c r="O3" s="3150" t="s">
        <v>328</v>
      </c>
      <c r="P3" s="3181"/>
      <c r="Q3" s="3181"/>
      <c r="R3" s="3181"/>
      <c r="S3" s="3181"/>
      <c r="T3" s="3181"/>
      <c r="U3" s="3181"/>
      <c r="V3" s="3181"/>
      <c r="W3" s="3181"/>
      <c r="X3" s="3181"/>
      <c r="Y3" s="3181"/>
      <c r="Z3" s="3182"/>
      <c r="AA3" s="3186" t="s">
        <v>5605</v>
      </c>
    </row>
    <row r="4" spans="1:52" s="884" customFormat="1" ht="16.5">
      <c r="A4" s="3164"/>
      <c r="B4" s="3164"/>
      <c r="C4" s="3199" t="s">
        <v>2547</v>
      </c>
      <c r="D4" s="3199"/>
      <c r="E4" s="3199"/>
      <c r="F4" s="3199"/>
      <c r="G4" s="3199"/>
      <c r="H4" s="3199"/>
      <c r="I4" s="3179" t="s">
        <v>2548</v>
      </c>
      <c r="J4" s="3179"/>
      <c r="K4" s="3180"/>
      <c r="L4" s="3183" t="s">
        <v>1175</v>
      </c>
      <c r="M4" s="3179"/>
      <c r="N4" s="3180"/>
      <c r="O4" s="3183" t="s">
        <v>2547</v>
      </c>
      <c r="P4" s="3179"/>
      <c r="Q4" s="3179"/>
      <c r="R4" s="3179"/>
      <c r="S4" s="3179"/>
      <c r="T4" s="3180"/>
      <c r="U4" s="3183" t="s">
        <v>2548</v>
      </c>
      <c r="V4" s="3184"/>
      <c r="W4" s="3185"/>
      <c r="X4" s="3183" t="s">
        <v>1175</v>
      </c>
      <c r="Y4" s="3179"/>
      <c r="Z4" s="3180"/>
      <c r="AA4" s="3187"/>
    </row>
    <row r="5" spans="1:52" s="884" customFormat="1">
      <c r="A5" s="3164"/>
      <c r="B5" s="3164"/>
      <c r="C5" s="3196" t="s">
        <v>4102</v>
      </c>
      <c r="D5" s="3197"/>
      <c r="E5" s="3198"/>
      <c r="F5" s="3193" t="s">
        <v>4103</v>
      </c>
      <c r="G5" s="3194"/>
      <c r="H5" s="3195"/>
      <c r="I5" s="3186" t="s">
        <v>329</v>
      </c>
      <c r="J5" s="3186" t="s">
        <v>330</v>
      </c>
      <c r="K5" s="3186" t="s">
        <v>187</v>
      </c>
      <c r="L5" s="3186" t="s">
        <v>331</v>
      </c>
      <c r="M5" s="3186" t="s">
        <v>330</v>
      </c>
      <c r="N5" s="3186" t="s">
        <v>187</v>
      </c>
      <c r="O5" s="3196" t="s">
        <v>4102</v>
      </c>
      <c r="P5" s="3197"/>
      <c r="Q5" s="3198"/>
      <c r="R5" s="3193" t="s">
        <v>4103</v>
      </c>
      <c r="S5" s="3194"/>
      <c r="T5" s="3195"/>
      <c r="U5" s="3186" t="s">
        <v>331</v>
      </c>
      <c r="V5" s="3186" t="s">
        <v>330</v>
      </c>
      <c r="W5" s="3186" t="s">
        <v>187</v>
      </c>
      <c r="X5" s="3186" t="s">
        <v>331</v>
      </c>
      <c r="Y5" s="3186" t="s">
        <v>330</v>
      </c>
      <c r="Z5" s="3186" t="s">
        <v>187</v>
      </c>
      <c r="AA5" s="3191" t="s">
        <v>332</v>
      </c>
    </row>
    <row r="6" spans="1:52" s="923" customFormat="1" ht="28.5">
      <c r="A6" s="3164"/>
      <c r="B6" s="3164"/>
      <c r="C6" s="923" t="s">
        <v>333</v>
      </c>
      <c r="D6" s="887" t="s">
        <v>334</v>
      </c>
      <c r="E6" s="887" t="s">
        <v>343</v>
      </c>
      <c r="F6" s="924" t="s">
        <v>335</v>
      </c>
      <c r="G6" s="924" t="s">
        <v>334</v>
      </c>
      <c r="H6" s="924" t="s">
        <v>343</v>
      </c>
      <c r="I6" s="3187"/>
      <c r="J6" s="3187"/>
      <c r="K6" s="3187"/>
      <c r="L6" s="3187"/>
      <c r="M6" s="3187"/>
      <c r="N6" s="3187"/>
      <c r="O6" s="923" t="s">
        <v>335</v>
      </c>
      <c r="P6" s="887" t="s">
        <v>334</v>
      </c>
      <c r="Q6" s="887" t="s">
        <v>343</v>
      </c>
      <c r="R6" s="924" t="s">
        <v>335</v>
      </c>
      <c r="S6" s="924" t="s">
        <v>334</v>
      </c>
      <c r="T6" s="924" t="s">
        <v>343</v>
      </c>
      <c r="U6" s="3187"/>
      <c r="V6" s="3187"/>
      <c r="W6" s="3187"/>
      <c r="X6" s="3187"/>
      <c r="Y6" s="3187"/>
      <c r="Z6" s="3187"/>
      <c r="AA6" s="3191"/>
    </row>
    <row r="7" spans="1:52" s="929" customFormat="1">
      <c r="A7" s="3165"/>
      <c r="B7" s="3165"/>
      <c r="C7" s="925" t="s">
        <v>305</v>
      </c>
      <c r="D7" s="926" t="s">
        <v>370</v>
      </c>
      <c r="E7" s="926" t="s">
        <v>336</v>
      </c>
      <c r="F7" s="926" t="s">
        <v>307</v>
      </c>
      <c r="G7" s="926" t="s">
        <v>371</v>
      </c>
      <c r="H7" s="926" t="s">
        <v>337</v>
      </c>
      <c r="I7" s="926" t="s">
        <v>309</v>
      </c>
      <c r="J7" s="926" t="s">
        <v>372</v>
      </c>
      <c r="K7" s="927" t="s">
        <v>338</v>
      </c>
      <c r="L7" s="928" t="s">
        <v>339</v>
      </c>
      <c r="M7" s="928" t="s">
        <v>340</v>
      </c>
      <c r="N7" s="927" t="s">
        <v>341</v>
      </c>
      <c r="O7" s="925" t="s">
        <v>342</v>
      </c>
      <c r="P7" s="926" t="s">
        <v>193</v>
      </c>
      <c r="Q7" s="926" t="s">
        <v>194</v>
      </c>
      <c r="R7" s="926" t="s">
        <v>195</v>
      </c>
      <c r="S7" s="926" t="s">
        <v>196</v>
      </c>
      <c r="T7" s="926" t="s">
        <v>197</v>
      </c>
      <c r="U7" s="926" t="s">
        <v>198</v>
      </c>
      <c r="V7" s="926" t="s">
        <v>199</v>
      </c>
      <c r="W7" s="927" t="s">
        <v>200</v>
      </c>
      <c r="X7" s="928" t="s">
        <v>201</v>
      </c>
      <c r="Y7" s="928" t="s">
        <v>202</v>
      </c>
      <c r="Z7" s="927" t="s">
        <v>203</v>
      </c>
      <c r="AA7" s="3192"/>
    </row>
    <row r="8" spans="1:52" ht="15.75" customHeight="1">
      <c r="A8" s="937">
        <v>1</v>
      </c>
      <c r="B8" s="938" t="s">
        <v>4104</v>
      </c>
      <c r="C8" s="939">
        <f>SUM(C9:C39)</f>
        <v>0</v>
      </c>
      <c r="D8" s="939">
        <f>SUM(D9:D39)</f>
        <v>0</v>
      </c>
      <c r="E8" s="939">
        <f t="shared" ref="E8" si="0">SUM(E9:E38)</f>
        <v>0</v>
      </c>
      <c r="F8" s="939">
        <f t="shared" ref="F8:AA8" si="1">SUM(F9:F39)</f>
        <v>0</v>
      </c>
      <c r="G8" s="939">
        <f t="shared" si="1"/>
        <v>0</v>
      </c>
      <c r="H8" s="939">
        <f t="shared" si="1"/>
        <v>0</v>
      </c>
      <c r="I8" s="939">
        <f t="shared" si="1"/>
        <v>0</v>
      </c>
      <c r="J8" s="939">
        <f t="shared" si="1"/>
        <v>0</v>
      </c>
      <c r="K8" s="939">
        <f t="shared" si="1"/>
        <v>0</v>
      </c>
      <c r="L8" s="939">
        <f t="shared" si="1"/>
        <v>0</v>
      </c>
      <c r="M8" s="939">
        <f t="shared" si="1"/>
        <v>0</v>
      </c>
      <c r="N8" s="939">
        <f t="shared" si="1"/>
        <v>0</v>
      </c>
      <c r="O8" s="939">
        <f t="shared" si="1"/>
        <v>0</v>
      </c>
      <c r="P8" s="939">
        <f t="shared" si="1"/>
        <v>0</v>
      </c>
      <c r="Q8" s="939">
        <f t="shared" si="1"/>
        <v>0</v>
      </c>
      <c r="R8" s="939">
        <f t="shared" si="1"/>
        <v>0</v>
      </c>
      <c r="S8" s="939">
        <f t="shared" si="1"/>
        <v>0</v>
      </c>
      <c r="T8" s="939">
        <f t="shared" si="1"/>
        <v>0</v>
      </c>
      <c r="U8" s="939">
        <f t="shared" si="1"/>
        <v>0</v>
      </c>
      <c r="V8" s="939">
        <f t="shared" si="1"/>
        <v>0</v>
      </c>
      <c r="W8" s="939">
        <f t="shared" si="1"/>
        <v>0</v>
      </c>
      <c r="X8" s="939">
        <f t="shared" si="1"/>
        <v>0</v>
      </c>
      <c r="Y8" s="939">
        <f t="shared" si="1"/>
        <v>0</v>
      </c>
      <c r="Z8" s="939">
        <f t="shared" si="1"/>
        <v>0</v>
      </c>
      <c r="AA8" s="939">
        <f t="shared" si="1"/>
        <v>0</v>
      </c>
      <c r="AB8" s="48"/>
      <c r="AC8" s="48"/>
      <c r="AD8" s="48"/>
      <c r="AE8" s="48"/>
      <c r="AF8" s="48"/>
      <c r="AG8" s="48"/>
      <c r="AH8" s="48"/>
      <c r="AI8" s="48"/>
      <c r="AJ8" s="48"/>
      <c r="AK8" s="48"/>
      <c r="AL8" s="48"/>
      <c r="AM8" s="48"/>
      <c r="AN8" s="48"/>
      <c r="AO8" s="48"/>
      <c r="AP8" s="48"/>
      <c r="AQ8" s="48"/>
      <c r="AR8" s="48"/>
      <c r="AS8" s="48"/>
      <c r="AT8" s="48"/>
      <c r="AU8" s="48"/>
      <c r="AV8" s="48"/>
      <c r="AW8" s="48"/>
      <c r="AX8" s="48"/>
      <c r="AY8" s="48"/>
      <c r="AZ8" s="48"/>
    </row>
    <row r="9" spans="1:52" ht="15.75" customHeight="1">
      <c r="A9" s="937">
        <f>A8+1</f>
        <v>2</v>
      </c>
      <c r="B9" s="938" t="s">
        <v>4105</v>
      </c>
      <c r="C9" s="940"/>
      <c r="D9" s="940"/>
      <c r="E9" s="941">
        <f t="shared" ref="E9:E39" si="2">C9-D9</f>
        <v>0</v>
      </c>
      <c r="F9" s="940"/>
      <c r="G9" s="940"/>
      <c r="H9" s="942">
        <f t="shared" ref="H9:H39" si="3">F9-G9</f>
        <v>0</v>
      </c>
      <c r="I9" s="940"/>
      <c r="J9" s="940"/>
      <c r="K9" s="941">
        <f t="shared" ref="K9:K39" si="4">I9+J9</f>
        <v>0</v>
      </c>
      <c r="L9" s="940"/>
      <c r="M9" s="940"/>
      <c r="N9" s="941">
        <f t="shared" ref="N9:N39" si="5">L9+M9</f>
        <v>0</v>
      </c>
      <c r="O9" s="940"/>
      <c r="P9" s="940"/>
      <c r="Q9" s="939">
        <f t="shared" ref="Q9:Q39" si="6">O9-P9</f>
        <v>0</v>
      </c>
      <c r="R9" s="940"/>
      <c r="S9" s="940"/>
      <c r="T9" s="939">
        <f t="shared" ref="T9:T39" si="7">R9-S9</f>
        <v>0</v>
      </c>
      <c r="U9" s="940"/>
      <c r="V9" s="940"/>
      <c r="W9" s="939">
        <f t="shared" ref="W9:W39" si="8">U9+V9</f>
        <v>0</v>
      </c>
      <c r="X9" s="940"/>
      <c r="Y9" s="940"/>
      <c r="Z9" s="940">
        <f t="shared" ref="Z9:Z39" si="9">X9+Y9</f>
        <v>0</v>
      </c>
      <c r="AA9" s="940">
        <f>E9+K9-N9+Q9+W9-Z9</f>
        <v>0</v>
      </c>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15.75" customHeight="1">
      <c r="A10" s="937">
        <f t="shared" ref="A10:A49" si="10">A9+1</f>
        <v>3</v>
      </c>
      <c r="B10" s="943" t="s">
        <v>4106</v>
      </c>
      <c r="C10" s="940"/>
      <c r="D10" s="940"/>
      <c r="E10" s="941">
        <f t="shared" si="2"/>
        <v>0</v>
      </c>
      <c r="F10" s="940"/>
      <c r="G10" s="940"/>
      <c r="H10" s="942">
        <f t="shared" si="3"/>
        <v>0</v>
      </c>
      <c r="I10" s="940"/>
      <c r="J10" s="940"/>
      <c r="K10" s="941">
        <f t="shared" si="4"/>
        <v>0</v>
      </c>
      <c r="L10" s="940"/>
      <c r="M10" s="940"/>
      <c r="N10" s="941">
        <f t="shared" si="5"/>
        <v>0</v>
      </c>
      <c r="O10" s="940"/>
      <c r="P10" s="940"/>
      <c r="Q10" s="939">
        <f t="shared" si="6"/>
        <v>0</v>
      </c>
      <c r="R10" s="940"/>
      <c r="S10" s="940"/>
      <c r="T10" s="939">
        <f t="shared" si="7"/>
        <v>0</v>
      </c>
      <c r="U10" s="940"/>
      <c r="V10" s="940"/>
      <c r="W10" s="939">
        <f t="shared" si="8"/>
        <v>0</v>
      </c>
      <c r="X10" s="940"/>
      <c r="Y10" s="940"/>
      <c r="Z10" s="940">
        <f t="shared" si="9"/>
        <v>0</v>
      </c>
      <c r="AA10" s="940">
        <f t="shared" ref="AA10:AA48" si="11">E10+K10-N10+Q10+W10-Z10</f>
        <v>0</v>
      </c>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5.75" customHeight="1">
      <c r="A11" s="937">
        <f t="shared" si="10"/>
        <v>4</v>
      </c>
      <c r="B11" s="943" t="s">
        <v>4107</v>
      </c>
      <c r="C11" s="940"/>
      <c r="D11" s="940"/>
      <c r="E11" s="941">
        <f t="shared" si="2"/>
        <v>0</v>
      </c>
      <c r="F11" s="940"/>
      <c r="G11" s="940"/>
      <c r="H11" s="942">
        <f t="shared" si="3"/>
        <v>0</v>
      </c>
      <c r="I11" s="940"/>
      <c r="J11" s="940"/>
      <c r="K11" s="941">
        <f t="shared" si="4"/>
        <v>0</v>
      </c>
      <c r="L11" s="940"/>
      <c r="M11" s="940"/>
      <c r="N11" s="941">
        <f t="shared" si="5"/>
        <v>0</v>
      </c>
      <c r="O11" s="940"/>
      <c r="P11" s="940"/>
      <c r="Q11" s="939">
        <f t="shared" si="6"/>
        <v>0</v>
      </c>
      <c r="R11" s="940"/>
      <c r="S11" s="940"/>
      <c r="T11" s="939">
        <f t="shared" si="7"/>
        <v>0</v>
      </c>
      <c r="U11" s="940"/>
      <c r="V11" s="940"/>
      <c r="W11" s="939">
        <f t="shared" si="8"/>
        <v>0</v>
      </c>
      <c r="X11" s="940"/>
      <c r="Y11" s="940"/>
      <c r="Z11" s="940">
        <f t="shared" si="9"/>
        <v>0</v>
      </c>
      <c r="AA11" s="940">
        <f t="shared" si="11"/>
        <v>0</v>
      </c>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row>
    <row r="12" spans="1:52" ht="15.75" customHeight="1">
      <c r="A12" s="937">
        <f t="shared" si="10"/>
        <v>5</v>
      </c>
      <c r="B12" s="943" t="s">
        <v>4108</v>
      </c>
      <c r="C12" s="940"/>
      <c r="D12" s="940"/>
      <c r="E12" s="941">
        <f t="shared" si="2"/>
        <v>0</v>
      </c>
      <c r="F12" s="940"/>
      <c r="G12" s="940"/>
      <c r="H12" s="942">
        <f t="shared" si="3"/>
        <v>0</v>
      </c>
      <c r="I12" s="940"/>
      <c r="J12" s="940"/>
      <c r="K12" s="941">
        <f t="shared" si="4"/>
        <v>0</v>
      </c>
      <c r="L12" s="940"/>
      <c r="M12" s="940"/>
      <c r="N12" s="941">
        <f t="shared" si="5"/>
        <v>0</v>
      </c>
      <c r="O12" s="940"/>
      <c r="P12" s="940"/>
      <c r="Q12" s="939">
        <f t="shared" si="6"/>
        <v>0</v>
      </c>
      <c r="R12" s="940"/>
      <c r="S12" s="940"/>
      <c r="T12" s="939">
        <f t="shared" si="7"/>
        <v>0</v>
      </c>
      <c r="U12" s="940"/>
      <c r="V12" s="940"/>
      <c r="W12" s="939">
        <f t="shared" si="8"/>
        <v>0</v>
      </c>
      <c r="X12" s="940"/>
      <c r="Y12" s="940"/>
      <c r="Z12" s="940">
        <f t="shared" si="9"/>
        <v>0</v>
      </c>
      <c r="AA12" s="940">
        <f t="shared" si="11"/>
        <v>0</v>
      </c>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row>
    <row r="13" spans="1:52" ht="15.75" customHeight="1">
      <c r="A13" s="937">
        <f t="shared" si="10"/>
        <v>6</v>
      </c>
      <c r="B13" s="943" t="s">
        <v>4109</v>
      </c>
      <c r="C13" s="940"/>
      <c r="D13" s="940"/>
      <c r="E13" s="941">
        <f t="shared" si="2"/>
        <v>0</v>
      </c>
      <c r="F13" s="940"/>
      <c r="G13" s="940"/>
      <c r="H13" s="942">
        <f t="shared" si="3"/>
        <v>0</v>
      </c>
      <c r="I13" s="940"/>
      <c r="J13" s="940"/>
      <c r="K13" s="941">
        <f t="shared" si="4"/>
        <v>0</v>
      </c>
      <c r="L13" s="940"/>
      <c r="M13" s="940"/>
      <c r="N13" s="941">
        <f t="shared" si="5"/>
        <v>0</v>
      </c>
      <c r="O13" s="940"/>
      <c r="P13" s="940"/>
      <c r="Q13" s="939">
        <f t="shared" si="6"/>
        <v>0</v>
      </c>
      <c r="R13" s="940"/>
      <c r="S13" s="940"/>
      <c r="T13" s="939">
        <f t="shared" si="7"/>
        <v>0</v>
      </c>
      <c r="U13" s="940"/>
      <c r="V13" s="940"/>
      <c r="W13" s="939">
        <f t="shared" si="8"/>
        <v>0</v>
      </c>
      <c r="X13" s="940"/>
      <c r="Y13" s="940"/>
      <c r="Z13" s="940">
        <f t="shared" si="9"/>
        <v>0</v>
      </c>
      <c r="AA13" s="940">
        <f t="shared" si="11"/>
        <v>0</v>
      </c>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row>
    <row r="14" spans="1:52" ht="15.75" customHeight="1">
      <c r="A14" s="937">
        <f t="shared" si="10"/>
        <v>7</v>
      </c>
      <c r="B14" s="943" t="s">
        <v>4110</v>
      </c>
      <c r="C14" s="940"/>
      <c r="D14" s="940"/>
      <c r="E14" s="941">
        <f t="shared" si="2"/>
        <v>0</v>
      </c>
      <c r="F14" s="940"/>
      <c r="G14" s="940"/>
      <c r="H14" s="942">
        <f t="shared" si="3"/>
        <v>0</v>
      </c>
      <c r="I14" s="940"/>
      <c r="J14" s="940"/>
      <c r="K14" s="941">
        <f t="shared" si="4"/>
        <v>0</v>
      </c>
      <c r="L14" s="940"/>
      <c r="M14" s="940"/>
      <c r="N14" s="941">
        <f t="shared" si="5"/>
        <v>0</v>
      </c>
      <c r="O14" s="940"/>
      <c r="P14" s="940"/>
      <c r="Q14" s="939">
        <f t="shared" si="6"/>
        <v>0</v>
      </c>
      <c r="R14" s="940"/>
      <c r="S14" s="940"/>
      <c r="T14" s="939">
        <f t="shared" si="7"/>
        <v>0</v>
      </c>
      <c r="U14" s="940"/>
      <c r="V14" s="940"/>
      <c r="W14" s="939">
        <f t="shared" si="8"/>
        <v>0</v>
      </c>
      <c r="X14" s="940"/>
      <c r="Y14" s="940"/>
      <c r="Z14" s="940">
        <f t="shared" si="9"/>
        <v>0</v>
      </c>
      <c r="AA14" s="940">
        <f t="shared" si="11"/>
        <v>0</v>
      </c>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ht="15.75" customHeight="1">
      <c r="A15" s="937">
        <f t="shared" si="10"/>
        <v>8</v>
      </c>
      <c r="B15" s="943" t="s">
        <v>4111</v>
      </c>
      <c r="C15" s="940"/>
      <c r="D15" s="940"/>
      <c r="E15" s="941">
        <f t="shared" si="2"/>
        <v>0</v>
      </c>
      <c r="F15" s="940"/>
      <c r="G15" s="940"/>
      <c r="H15" s="942">
        <f t="shared" si="3"/>
        <v>0</v>
      </c>
      <c r="I15" s="940"/>
      <c r="J15" s="940"/>
      <c r="K15" s="941">
        <f t="shared" si="4"/>
        <v>0</v>
      </c>
      <c r="L15" s="940"/>
      <c r="M15" s="940"/>
      <c r="N15" s="941">
        <f t="shared" si="5"/>
        <v>0</v>
      </c>
      <c r="O15" s="940"/>
      <c r="P15" s="940"/>
      <c r="Q15" s="939">
        <f t="shared" si="6"/>
        <v>0</v>
      </c>
      <c r="R15" s="940"/>
      <c r="S15" s="940"/>
      <c r="T15" s="939">
        <f t="shared" si="7"/>
        <v>0</v>
      </c>
      <c r="U15" s="940"/>
      <c r="V15" s="940"/>
      <c r="W15" s="939">
        <f t="shared" si="8"/>
        <v>0</v>
      </c>
      <c r="X15" s="940"/>
      <c r="Y15" s="940"/>
      <c r="Z15" s="940">
        <f t="shared" si="9"/>
        <v>0</v>
      </c>
      <c r="AA15" s="940">
        <f t="shared" si="11"/>
        <v>0</v>
      </c>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ht="15.75" customHeight="1">
      <c r="A16" s="937">
        <f t="shared" si="10"/>
        <v>9</v>
      </c>
      <c r="B16" s="943" t="s">
        <v>4112</v>
      </c>
      <c r="C16" s="940"/>
      <c r="D16" s="940"/>
      <c r="E16" s="941">
        <f t="shared" si="2"/>
        <v>0</v>
      </c>
      <c r="F16" s="940"/>
      <c r="G16" s="940"/>
      <c r="H16" s="942">
        <f t="shared" si="3"/>
        <v>0</v>
      </c>
      <c r="I16" s="940"/>
      <c r="J16" s="940"/>
      <c r="K16" s="941">
        <f t="shared" si="4"/>
        <v>0</v>
      </c>
      <c r="L16" s="940"/>
      <c r="M16" s="940"/>
      <c r="N16" s="941">
        <f t="shared" si="5"/>
        <v>0</v>
      </c>
      <c r="O16" s="940"/>
      <c r="P16" s="940"/>
      <c r="Q16" s="939">
        <f t="shared" si="6"/>
        <v>0</v>
      </c>
      <c r="R16" s="940"/>
      <c r="S16" s="940"/>
      <c r="T16" s="939">
        <f t="shared" si="7"/>
        <v>0</v>
      </c>
      <c r="U16" s="940"/>
      <c r="V16" s="940"/>
      <c r="W16" s="939">
        <f t="shared" si="8"/>
        <v>0</v>
      </c>
      <c r="X16" s="940"/>
      <c r="Y16" s="940"/>
      <c r="Z16" s="940">
        <f t="shared" si="9"/>
        <v>0</v>
      </c>
      <c r="AA16" s="940">
        <f t="shared" si="11"/>
        <v>0</v>
      </c>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1:52" ht="15.75" customHeight="1">
      <c r="A17" s="937">
        <f t="shared" si="10"/>
        <v>10</v>
      </c>
      <c r="B17" s="943" t="s">
        <v>4113</v>
      </c>
      <c r="C17" s="940"/>
      <c r="D17" s="940"/>
      <c r="E17" s="941">
        <f t="shared" si="2"/>
        <v>0</v>
      </c>
      <c r="F17" s="940"/>
      <c r="G17" s="940"/>
      <c r="H17" s="942">
        <f t="shared" si="3"/>
        <v>0</v>
      </c>
      <c r="I17" s="940"/>
      <c r="J17" s="940"/>
      <c r="K17" s="941">
        <f t="shared" si="4"/>
        <v>0</v>
      </c>
      <c r="L17" s="940"/>
      <c r="M17" s="940"/>
      <c r="N17" s="941">
        <f t="shared" si="5"/>
        <v>0</v>
      </c>
      <c r="O17" s="940"/>
      <c r="P17" s="940"/>
      <c r="Q17" s="939">
        <f t="shared" si="6"/>
        <v>0</v>
      </c>
      <c r="R17" s="940"/>
      <c r="S17" s="940"/>
      <c r="T17" s="939">
        <f t="shared" si="7"/>
        <v>0</v>
      </c>
      <c r="U17" s="940"/>
      <c r="V17" s="940"/>
      <c r="W17" s="939">
        <f t="shared" si="8"/>
        <v>0</v>
      </c>
      <c r="X17" s="940"/>
      <c r="Y17" s="940"/>
      <c r="Z17" s="940">
        <f t="shared" si="9"/>
        <v>0</v>
      </c>
      <c r="AA17" s="940">
        <f t="shared" si="11"/>
        <v>0</v>
      </c>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1:52" ht="15.75" customHeight="1">
      <c r="A18" s="937">
        <f t="shared" si="10"/>
        <v>11</v>
      </c>
      <c r="B18" s="943" t="s">
        <v>4114</v>
      </c>
      <c r="C18" s="940"/>
      <c r="D18" s="940"/>
      <c r="E18" s="941">
        <f t="shared" si="2"/>
        <v>0</v>
      </c>
      <c r="F18" s="940"/>
      <c r="G18" s="940"/>
      <c r="H18" s="942">
        <f t="shared" si="3"/>
        <v>0</v>
      </c>
      <c r="I18" s="940"/>
      <c r="J18" s="940"/>
      <c r="K18" s="941">
        <f t="shared" si="4"/>
        <v>0</v>
      </c>
      <c r="L18" s="940"/>
      <c r="M18" s="940"/>
      <c r="N18" s="941">
        <f t="shared" si="5"/>
        <v>0</v>
      </c>
      <c r="O18" s="940"/>
      <c r="P18" s="940"/>
      <c r="Q18" s="939">
        <f t="shared" si="6"/>
        <v>0</v>
      </c>
      <c r="R18" s="940"/>
      <c r="S18" s="940"/>
      <c r="T18" s="939">
        <f t="shared" si="7"/>
        <v>0</v>
      </c>
      <c r="U18" s="940"/>
      <c r="V18" s="940"/>
      <c r="W18" s="939">
        <f t="shared" si="8"/>
        <v>0</v>
      </c>
      <c r="X18" s="940"/>
      <c r="Y18" s="940"/>
      <c r="Z18" s="940">
        <f t="shared" si="9"/>
        <v>0</v>
      </c>
      <c r="AA18" s="940">
        <f t="shared" si="11"/>
        <v>0</v>
      </c>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1:52" ht="15.75" customHeight="1">
      <c r="A19" s="937">
        <f t="shared" si="10"/>
        <v>12</v>
      </c>
      <c r="B19" s="943" t="s">
        <v>4115</v>
      </c>
      <c r="C19" s="940"/>
      <c r="D19" s="940"/>
      <c r="E19" s="941">
        <f t="shared" si="2"/>
        <v>0</v>
      </c>
      <c r="F19" s="940"/>
      <c r="G19" s="940"/>
      <c r="H19" s="942">
        <f t="shared" si="3"/>
        <v>0</v>
      </c>
      <c r="I19" s="940"/>
      <c r="J19" s="940"/>
      <c r="K19" s="941">
        <f t="shared" si="4"/>
        <v>0</v>
      </c>
      <c r="L19" s="940"/>
      <c r="M19" s="940"/>
      <c r="N19" s="941">
        <f t="shared" si="5"/>
        <v>0</v>
      </c>
      <c r="O19" s="940"/>
      <c r="P19" s="940"/>
      <c r="Q19" s="939">
        <f t="shared" si="6"/>
        <v>0</v>
      </c>
      <c r="R19" s="940"/>
      <c r="S19" s="940"/>
      <c r="T19" s="939">
        <f t="shared" si="7"/>
        <v>0</v>
      </c>
      <c r="U19" s="940"/>
      <c r="V19" s="940"/>
      <c r="W19" s="939">
        <f t="shared" si="8"/>
        <v>0</v>
      </c>
      <c r="X19" s="940"/>
      <c r="Y19" s="940"/>
      <c r="Z19" s="940">
        <f t="shared" si="9"/>
        <v>0</v>
      </c>
      <c r="AA19" s="940">
        <f t="shared" si="11"/>
        <v>0</v>
      </c>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1:52" ht="15.75" customHeight="1">
      <c r="A20" s="937">
        <f t="shared" si="10"/>
        <v>13</v>
      </c>
      <c r="B20" s="943" t="s">
        <v>4116</v>
      </c>
      <c r="C20" s="940"/>
      <c r="D20" s="940"/>
      <c r="E20" s="941">
        <f t="shared" si="2"/>
        <v>0</v>
      </c>
      <c r="F20" s="940"/>
      <c r="G20" s="940"/>
      <c r="H20" s="942">
        <f t="shared" si="3"/>
        <v>0</v>
      </c>
      <c r="I20" s="940"/>
      <c r="J20" s="940"/>
      <c r="K20" s="941">
        <f t="shared" si="4"/>
        <v>0</v>
      </c>
      <c r="L20" s="940"/>
      <c r="M20" s="940"/>
      <c r="N20" s="941">
        <f t="shared" si="5"/>
        <v>0</v>
      </c>
      <c r="O20" s="940"/>
      <c r="P20" s="940"/>
      <c r="Q20" s="939">
        <f t="shared" si="6"/>
        <v>0</v>
      </c>
      <c r="R20" s="940"/>
      <c r="S20" s="940"/>
      <c r="T20" s="939">
        <f t="shared" si="7"/>
        <v>0</v>
      </c>
      <c r="U20" s="940"/>
      <c r="V20" s="940"/>
      <c r="W20" s="939">
        <f t="shared" si="8"/>
        <v>0</v>
      </c>
      <c r="X20" s="940"/>
      <c r="Y20" s="940"/>
      <c r="Z20" s="940">
        <f t="shared" si="9"/>
        <v>0</v>
      </c>
      <c r="AA20" s="940">
        <f t="shared" si="11"/>
        <v>0</v>
      </c>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1:52" ht="15.75" customHeight="1">
      <c r="A21" s="937">
        <f t="shared" si="10"/>
        <v>14</v>
      </c>
      <c r="B21" s="943" t="s">
        <v>4117</v>
      </c>
      <c r="C21" s="940"/>
      <c r="D21" s="940"/>
      <c r="E21" s="941">
        <f t="shared" si="2"/>
        <v>0</v>
      </c>
      <c r="F21" s="940"/>
      <c r="G21" s="940"/>
      <c r="H21" s="942">
        <f t="shared" si="3"/>
        <v>0</v>
      </c>
      <c r="I21" s="940"/>
      <c r="J21" s="940"/>
      <c r="K21" s="941">
        <f t="shared" si="4"/>
        <v>0</v>
      </c>
      <c r="L21" s="940"/>
      <c r="M21" s="940"/>
      <c r="N21" s="941">
        <f t="shared" si="5"/>
        <v>0</v>
      </c>
      <c r="O21" s="940"/>
      <c r="P21" s="940"/>
      <c r="Q21" s="939">
        <f t="shared" si="6"/>
        <v>0</v>
      </c>
      <c r="R21" s="940"/>
      <c r="S21" s="940"/>
      <c r="T21" s="939">
        <f t="shared" si="7"/>
        <v>0</v>
      </c>
      <c r="U21" s="940"/>
      <c r="V21" s="940"/>
      <c r="W21" s="939">
        <f t="shared" si="8"/>
        <v>0</v>
      </c>
      <c r="X21" s="940"/>
      <c r="Y21" s="940"/>
      <c r="Z21" s="940">
        <f t="shared" si="9"/>
        <v>0</v>
      </c>
      <c r="AA21" s="940">
        <f t="shared" si="11"/>
        <v>0</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1:52" ht="15.75" customHeight="1">
      <c r="A22" s="937">
        <f t="shared" si="10"/>
        <v>15</v>
      </c>
      <c r="B22" s="943" t="s">
        <v>4118</v>
      </c>
      <c r="C22" s="940"/>
      <c r="D22" s="940"/>
      <c r="E22" s="941">
        <f t="shared" si="2"/>
        <v>0</v>
      </c>
      <c r="F22" s="940"/>
      <c r="G22" s="940"/>
      <c r="H22" s="942">
        <f t="shared" si="3"/>
        <v>0</v>
      </c>
      <c r="I22" s="940"/>
      <c r="J22" s="940"/>
      <c r="K22" s="941">
        <f t="shared" si="4"/>
        <v>0</v>
      </c>
      <c r="L22" s="940"/>
      <c r="M22" s="940"/>
      <c r="N22" s="941">
        <f t="shared" si="5"/>
        <v>0</v>
      </c>
      <c r="O22" s="940"/>
      <c r="P22" s="940"/>
      <c r="Q22" s="939">
        <f t="shared" si="6"/>
        <v>0</v>
      </c>
      <c r="R22" s="940"/>
      <c r="S22" s="940"/>
      <c r="T22" s="939">
        <f t="shared" si="7"/>
        <v>0</v>
      </c>
      <c r="U22" s="940"/>
      <c r="V22" s="940"/>
      <c r="W22" s="939">
        <f t="shared" si="8"/>
        <v>0</v>
      </c>
      <c r="X22" s="940"/>
      <c r="Y22" s="940"/>
      <c r="Z22" s="940">
        <f t="shared" si="9"/>
        <v>0</v>
      </c>
      <c r="AA22" s="940">
        <f t="shared" si="11"/>
        <v>0</v>
      </c>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1:52" ht="15.75" customHeight="1">
      <c r="A23" s="937">
        <f t="shared" si="10"/>
        <v>16</v>
      </c>
      <c r="B23" s="943" t="s">
        <v>4119</v>
      </c>
      <c r="C23" s="940"/>
      <c r="D23" s="940"/>
      <c r="E23" s="941">
        <f t="shared" si="2"/>
        <v>0</v>
      </c>
      <c r="F23" s="940"/>
      <c r="G23" s="940"/>
      <c r="H23" s="942">
        <f t="shared" si="3"/>
        <v>0</v>
      </c>
      <c r="I23" s="940"/>
      <c r="J23" s="940"/>
      <c r="K23" s="941">
        <f t="shared" si="4"/>
        <v>0</v>
      </c>
      <c r="L23" s="940"/>
      <c r="M23" s="940"/>
      <c r="N23" s="941">
        <f t="shared" si="5"/>
        <v>0</v>
      </c>
      <c r="O23" s="940"/>
      <c r="P23" s="940"/>
      <c r="Q23" s="939">
        <f t="shared" si="6"/>
        <v>0</v>
      </c>
      <c r="R23" s="940"/>
      <c r="S23" s="940"/>
      <c r="T23" s="939">
        <f t="shared" si="7"/>
        <v>0</v>
      </c>
      <c r="U23" s="940"/>
      <c r="V23" s="940"/>
      <c r="W23" s="939">
        <f t="shared" si="8"/>
        <v>0</v>
      </c>
      <c r="X23" s="940"/>
      <c r="Y23" s="940"/>
      <c r="Z23" s="940">
        <f t="shared" si="9"/>
        <v>0</v>
      </c>
      <c r="AA23" s="940">
        <f t="shared" si="11"/>
        <v>0</v>
      </c>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1:52" ht="15.75" customHeight="1">
      <c r="A24" s="937">
        <f t="shared" si="10"/>
        <v>17</v>
      </c>
      <c r="B24" s="943" t="s">
        <v>4120</v>
      </c>
      <c r="C24" s="940"/>
      <c r="D24" s="940"/>
      <c r="E24" s="941">
        <f t="shared" si="2"/>
        <v>0</v>
      </c>
      <c r="F24" s="940"/>
      <c r="G24" s="940"/>
      <c r="H24" s="942">
        <f t="shared" si="3"/>
        <v>0</v>
      </c>
      <c r="I24" s="940"/>
      <c r="J24" s="940"/>
      <c r="K24" s="941">
        <f t="shared" si="4"/>
        <v>0</v>
      </c>
      <c r="L24" s="940"/>
      <c r="M24" s="940"/>
      <c r="N24" s="941">
        <f t="shared" si="5"/>
        <v>0</v>
      </c>
      <c r="O24" s="940"/>
      <c r="P24" s="940"/>
      <c r="Q24" s="939">
        <f t="shared" si="6"/>
        <v>0</v>
      </c>
      <c r="R24" s="940"/>
      <c r="S24" s="940"/>
      <c r="T24" s="939">
        <f t="shared" si="7"/>
        <v>0</v>
      </c>
      <c r="U24" s="940"/>
      <c r="V24" s="940"/>
      <c r="W24" s="939">
        <f t="shared" si="8"/>
        <v>0</v>
      </c>
      <c r="X24" s="940"/>
      <c r="Y24" s="940"/>
      <c r="Z24" s="940">
        <f t="shared" si="9"/>
        <v>0</v>
      </c>
      <c r="AA24" s="940">
        <f t="shared" si="11"/>
        <v>0</v>
      </c>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1:52" ht="15.75" customHeight="1">
      <c r="A25" s="937">
        <f t="shared" si="10"/>
        <v>18</v>
      </c>
      <c r="B25" s="943" t="s">
        <v>4121</v>
      </c>
      <c r="C25" s="940"/>
      <c r="D25" s="940"/>
      <c r="E25" s="941">
        <f t="shared" si="2"/>
        <v>0</v>
      </c>
      <c r="F25" s="940"/>
      <c r="G25" s="940"/>
      <c r="H25" s="942">
        <f t="shared" si="3"/>
        <v>0</v>
      </c>
      <c r="I25" s="940"/>
      <c r="J25" s="940"/>
      <c r="K25" s="941">
        <f t="shared" si="4"/>
        <v>0</v>
      </c>
      <c r="L25" s="940"/>
      <c r="M25" s="940"/>
      <c r="N25" s="941">
        <f t="shared" si="5"/>
        <v>0</v>
      </c>
      <c r="O25" s="940"/>
      <c r="P25" s="940"/>
      <c r="Q25" s="939">
        <f t="shared" si="6"/>
        <v>0</v>
      </c>
      <c r="R25" s="940"/>
      <c r="S25" s="940"/>
      <c r="T25" s="939">
        <f t="shared" si="7"/>
        <v>0</v>
      </c>
      <c r="U25" s="940"/>
      <c r="V25" s="940"/>
      <c r="W25" s="939">
        <f t="shared" si="8"/>
        <v>0</v>
      </c>
      <c r="X25" s="940"/>
      <c r="Y25" s="940"/>
      <c r="Z25" s="940">
        <f t="shared" si="9"/>
        <v>0</v>
      </c>
      <c r="AA25" s="940">
        <f t="shared" si="11"/>
        <v>0</v>
      </c>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1:52" ht="15.75" customHeight="1">
      <c r="A26" s="937">
        <f t="shared" si="10"/>
        <v>19</v>
      </c>
      <c r="B26" s="943" t="s">
        <v>4122</v>
      </c>
      <c r="C26" s="940"/>
      <c r="D26" s="940"/>
      <c r="E26" s="941">
        <f t="shared" si="2"/>
        <v>0</v>
      </c>
      <c r="F26" s="940"/>
      <c r="G26" s="940"/>
      <c r="H26" s="942">
        <f t="shared" si="3"/>
        <v>0</v>
      </c>
      <c r="I26" s="940"/>
      <c r="J26" s="940"/>
      <c r="K26" s="941">
        <f t="shared" si="4"/>
        <v>0</v>
      </c>
      <c r="L26" s="940"/>
      <c r="M26" s="940"/>
      <c r="N26" s="941">
        <f t="shared" si="5"/>
        <v>0</v>
      </c>
      <c r="O26" s="940"/>
      <c r="P26" s="940"/>
      <c r="Q26" s="939">
        <f t="shared" si="6"/>
        <v>0</v>
      </c>
      <c r="R26" s="940"/>
      <c r="S26" s="940"/>
      <c r="T26" s="939">
        <f t="shared" si="7"/>
        <v>0</v>
      </c>
      <c r="U26" s="940"/>
      <c r="V26" s="940"/>
      <c r="W26" s="939">
        <f t="shared" si="8"/>
        <v>0</v>
      </c>
      <c r="X26" s="940"/>
      <c r="Y26" s="940"/>
      <c r="Z26" s="940">
        <f t="shared" si="9"/>
        <v>0</v>
      </c>
      <c r="AA26" s="940">
        <f t="shared" si="11"/>
        <v>0</v>
      </c>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1:52" ht="15.75" customHeight="1">
      <c r="A27" s="937">
        <f t="shared" si="10"/>
        <v>20</v>
      </c>
      <c r="B27" s="943" t="s">
        <v>4123</v>
      </c>
      <c r="C27" s="940"/>
      <c r="D27" s="940"/>
      <c r="E27" s="941">
        <f t="shared" si="2"/>
        <v>0</v>
      </c>
      <c r="F27" s="940"/>
      <c r="G27" s="940"/>
      <c r="H27" s="942">
        <f t="shared" si="3"/>
        <v>0</v>
      </c>
      <c r="I27" s="940"/>
      <c r="J27" s="940"/>
      <c r="K27" s="941">
        <f t="shared" si="4"/>
        <v>0</v>
      </c>
      <c r="L27" s="940"/>
      <c r="M27" s="940"/>
      <c r="N27" s="941">
        <f t="shared" si="5"/>
        <v>0</v>
      </c>
      <c r="O27" s="940"/>
      <c r="P27" s="940"/>
      <c r="Q27" s="939">
        <f t="shared" si="6"/>
        <v>0</v>
      </c>
      <c r="R27" s="940"/>
      <c r="S27" s="940"/>
      <c r="T27" s="939">
        <f t="shared" si="7"/>
        <v>0</v>
      </c>
      <c r="U27" s="940"/>
      <c r="V27" s="940"/>
      <c r="W27" s="939">
        <f t="shared" si="8"/>
        <v>0</v>
      </c>
      <c r="X27" s="940"/>
      <c r="Y27" s="940"/>
      <c r="Z27" s="940">
        <f t="shared" si="9"/>
        <v>0</v>
      </c>
      <c r="AA27" s="940">
        <f t="shared" si="11"/>
        <v>0</v>
      </c>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1:52" ht="15.75" customHeight="1">
      <c r="A28" s="937">
        <f t="shared" si="10"/>
        <v>21</v>
      </c>
      <c r="B28" s="943" t="s">
        <v>4124</v>
      </c>
      <c r="C28" s="940"/>
      <c r="D28" s="940"/>
      <c r="E28" s="941">
        <f t="shared" si="2"/>
        <v>0</v>
      </c>
      <c r="F28" s="940"/>
      <c r="G28" s="940"/>
      <c r="H28" s="942">
        <f t="shared" si="3"/>
        <v>0</v>
      </c>
      <c r="I28" s="940"/>
      <c r="J28" s="940"/>
      <c r="K28" s="941">
        <f t="shared" si="4"/>
        <v>0</v>
      </c>
      <c r="L28" s="940"/>
      <c r="M28" s="940"/>
      <c r="N28" s="941">
        <f t="shared" si="5"/>
        <v>0</v>
      </c>
      <c r="O28" s="940"/>
      <c r="P28" s="940"/>
      <c r="Q28" s="939">
        <f t="shared" si="6"/>
        <v>0</v>
      </c>
      <c r="R28" s="940"/>
      <c r="S28" s="940"/>
      <c r="T28" s="939">
        <f t="shared" si="7"/>
        <v>0</v>
      </c>
      <c r="U28" s="940"/>
      <c r="V28" s="940"/>
      <c r="W28" s="939">
        <f t="shared" si="8"/>
        <v>0</v>
      </c>
      <c r="X28" s="940"/>
      <c r="Y28" s="940"/>
      <c r="Z28" s="940">
        <f t="shared" si="9"/>
        <v>0</v>
      </c>
      <c r="AA28" s="940">
        <f t="shared" si="11"/>
        <v>0</v>
      </c>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1:52" ht="15.75" customHeight="1">
      <c r="A29" s="937">
        <f t="shared" si="10"/>
        <v>22</v>
      </c>
      <c r="B29" s="943" t="s">
        <v>4125</v>
      </c>
      <c r="C29" s="940"/>
      <c r="D29" s="940"/>
      <c r="E29" s="941">
        <f t="shared" si="2"/>
        <v>0</v>
      </c>
      <c r="F29" s="940"/>
      <c r="G29" s="940"/>
      <c r="H29" s="942">
        <f t="shared" si="3"/>
        <v>0</v>
      </c>
      <c r="I29" s="940"/>
      <c r="J29" s="940"/>
      <c r="K29" s="941">
        <f t="shared" si="4"/>
        <v>0</v>
      </c>
      <c r="L29" s="940"/>
      <c r="M29" s="940"/>
      <c r="N29" s="941">
        <f t="shared" si="5"/>
        <v>0</v>
      </c>
      <c r="O29" s="940"/>
      <c r="P29" s="940"/>
      <c r="Q29" s="939">
        <f t="shared" si="6"/>
        <v>0</v>
      </c>
      <c r="R29" s="940"/>
      <c r="S29" s="940"/>
      <c r="T29" s="939">
        <f t="shared" si="7"/>
        <v>0</v>
      </c>
      <c r="U29" s="940"/>
      <c r="V29" s="940"/>
      <c r="W29" s="939">
        <f t="shared" si="8"/>
        <v>0</v>
      </c>
      <c r="X29" s="940"/>
      <c r="Y29" s="940"/>
      <c r="Z29" s="940">
        <f t="shared" si="9"/>
        <v>0</v>
      </c>
      <c r="AA29" s="940">
        <f t="shared" si="11"/>
        <v>0</v>
      </c>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1:52" ht="15.75" customHeight="1">
      <c r="A30" s="937">
        <f t="shared" si="10"/>
        <v>23</v>
      </c>
      <c r="B30" s="943" t="s">
        <v>4126</v>
      </c>
      <c r="C30" s="940"/>
      <c r="D30" s="940"/>
      <c r="E30" s="941">
        <f t="shared" si="2"/>
        <v>0</v>
      </c>
      <c r="F30" s="940"/>
      <c r="G30" s="940"/>
      <c r="H30" s="942">
        <f t="shared" si="3"/>
        <v>0</v>
      </c>
      <c r="I30" s="940"/>
      <c r="J30" s="940"/>
      <c r="K30" s="941">
        <f t="shared" si="4"/>
        <v>0</v>
      </c>
      <c r="L30" s="940"/>
      <c r="M30" s="940"/>
      <c r="N30" s="941">
        <f t="shared" si="5"/>
        <v>0</v>
      </c>
      <c r="O30" s="940"/>
      <c r="P30" s="940"/>
      <c r="Q30" s="939">
        <f t="shared" si="6"/>
        <v>0</v>
      </c>
      <c r="R30" s="940"/>
      <c r="S30" s="940"/>
      <c r="T30" s="939">
        <f t="shared" si="7"/>
        <v>0</v>
      </c>
      <c r="U30" s="940"/>
      <c r="V30" s="940"/>
      <c r="W30" s="939">
        <f t="shared" si="8"/>
        <v>0</v>
      </c>
      <c r="X30" s="940"/>
      <c r="Y30" s="940"/>
      <c r="Z30" s="940">
        <f t="shared" si="9"/>
        <v>0</v>
      </c>
      <c r="AA30" s="940">
        <f t="shared" si="11"/>
        <v>0</v>
      </c>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1:52" ht="15.75" customHeight="1">
      <c r="A31" s="937">
        <f t="shared" si="10"/>
        <v>24</v>
      </c>
      <c r="B31" s="943" t="s">
        <v>4127</v>
      </c>
      <c r="C31" s="940"/>
      <c r="D31" s="940"/>
      <c r="E31" s="941">
        <f t="shared" si="2"/>
        <v>0</v>
      </c>
      <c r="F31" s="940"/>
      <c r="G31" s="940"/>
      <c r="H31" s="942">
        <f t="shared" si="3"/>
        <v>0</v>
      </c>
      <c r="I31" s="940"/>
      <c r="J31" s="940"/>
      <c r="K31" s="941">
        <f t="shared" si="4"/>
        <v>0</v>
      </c>
      <c r="L31" s="940"/>
      <c r="M31" s="940"/>
      <c r="N31" s="941">
        <f t="shared" si="5"/>
        <v>0</v>
      </c>
      <c r="O31" s="940"/>
      <c r="P31" s="940"/>
      <c r="Q31" s="939">
        <f t="shared" si="6"/>
        <v>0</v>
      </c>
      <c r="R31" s="940"/>
      <c r="S31" s="940"/>
      <c r="T31" s="939">
        <f t="shared" si="7"/>
        <v>0</v>
      </c>
      <c r="U31" s="940"/>
      <c r="V31" s="940"/>
      <c r="W31" s="939">
        <f t="shared" si="8"/>
        <v>0</v>
      </c>
      <c r="X31" s="940"/>
      <c r="Y31" s="940"/>
      <c r="Z31" s="940">
        <f t="shared" si="9"/>
        <v>0</v>
      </c>
      <c r="AA31" s="940">
        <f t="shared" si="11"/>
        <v>0</v>
      </c>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1:52" ht="15.75" customHeight="1">
      <c r="A32" s="937">
        <f t="shared" si="10"/>
        <v>25</v>
      </c>
      <c r="B32" s="943" t="s">
        <v>4128</v>
      </c>
      <c r="C32" s="940"/>
      <c r="D32" s="940"/>
      <c r="E32" s="941">
        <f t="shared" si="2"/>
        <v>0</v>
      </c>
      <c r="F32" s="940"/>
      <c r="G32" s="940"/>
      <c r="H32" s="942">
        <f t="shared" si="3"/>
        <v>0</v>
      </c>
      <c r="I32" s="940"/>
      <c r="J32" s="940"/>
      <c r="K32" s="941">
        <f t="shared" si="4"/>
        <v>0</v>
      </c>
      <c r="L32" s="940"/>
      <c r="M32" s="940"/>
      <c r="N32" s="941">
        <f t="shared" si="5"/>
        <v>0</v>
      </c>
      <c r="O32" s="940"/>
      <c r="P32" s="940"/>
      <c r="Q32" s="939">
        <f t="shared" si="6"/>
        <v>0</v>
      </c>
      <c r="R32" s="940"/>
      <c r="S32" s="940"/>
      <c r="T32" s="939">
        <f t="shared" si="7"/>
        <v>0</v>
      </c>
      <c r="U32" s="940"/>
      <c r="V32" s="940"/>
      <c r="W32" s="939">
        <f t="shared" si="8"/>
        <v>0</v>
      </c>
      <c r="X32" s="940"/>
      <c r="Y32" s="940"/>
      <c r="Z32" s="940">
        <f t="shared" si="9"/>
        <v>0</v>
      </c>
      <c r="AA32" s="940">
        <f t="shared" si="11"/>
        <v>0</v>
      </c>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1:52" ht="15.75" customHeight="1">
      <c r="A33" s="937">
        <f t="shared" si="10"/>
        <v>26</v>
      </c>
      <c r="B33" s="944" t="s">
        <v>4129</v>
      </c>
      <c r="C33" s="940"/>
      <c r="D33" s="940"/>
      <c r="E33" s="941">
        <f t="shared" si="2"/>
        <v>0</v>
      </c>
      <c r="F33" s="940"/>
      <c r="G33" s="940"/>
      <c r="H33" s="942">
        <f t="shared" si="3"/>
        <v>0</v>
      </c>
      <c r="I33" s="940"/>
      <c r="J33" s="940"/>
      <c r="K33" s="941">
        <f t="shared" si="4"/>
        <v>0</v>
      </c>
      <c r="L33" s="940"/>
      <c r="M33" s="940"/>
      <c r="N33" s="941">
        <f t="shared" si="5"/>
        <v>0</v>
      </c>
      <c r="O33" s="940"/>
      <c r="P33" s="940"/>
      <c r="Q33" s="939">
        <f t="shared" si="6"/>
        <v>0</v>
      </c>
      <c r="R33" s="940"/>
      <c r="S33" s="940"/>
      <c r="T33" s="939">
        <f t="shared" si="7"/>
        <v>0</v>
      </c>
      <c r="U33" s="940"/>
      <c r="V33" s="940"/>
      <c r="W33" s="939">
        <f t="shared" si="8"/>
        <v>0</v>
      </c>
      <c r="X33" s="940"/>
      <c r="Y33" s="940"/>
      <c r="Z33" s="940">
        <f t="shared" si="9"/>
        <v>0</v>
      </c>
      <c r="AA33" s="940">
        <f t="shared" si="11"/>
        <v>0</v>
      </c>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1:52" ht="15.75" customHeight="1">
      <c r="A34" s="937">
        <f t="shared" si="10"/>
        <v>27</v>
      </c>
      <c r="B34" s="943" t="s">
        <v>4130</v>
      </c>
      <c r="C34" s="940"/>
      <c r="D34" s="940"/>
      <c r="E34" s="941">
        <f t="shared" si="2"/>
        <v>0</v>
      </c>
      <c r="F34" s="940"/>
      <c r="G34" s="940"/>
      <c r="H34" s="942">
        <f t="shared" si="3"/>
        <v>0</v>
      </c>
      <c r="I34" s="940"/>
      <c r="J34" s="940"/>
      <c r="K34" s="941">
        <f t="shared" si="4"/>
        <v>0</v>
      </c>
      <c r="L34" s="940"/>
      <c r="M34" s="940"/>
      <c r="N34" s="941">
        <f t="shared" si="5"/>
        <v>0</v>
      </c>
      <c r="O34" s="940"/>
      <c r="P34" s="940"/>
      <c r="Q34" s="939">
        <f t="shared" si="6"/>
        <v>0</v>
      </c>
      <c r="R34" s="940"/>
      <c r="S34" s="940"/>
      <c r="T34" s="939">
        <f t="shared" si="7"/>
        <v>0</v>
      </c>
      <c r="U34" s="940"/>
      <c r="V34" s="940"/>
      <c r="W34" s="939">
        <f t="shared" si="8"/>
        <v>0</v>
      </c>
      <c r="X34" s="940"/>
      <c r="Y34" s="940"/>
      <c r="Z34" s="940">
        <f t="shared" si="9"/>
        <v>0</v>
      </c>
      <c r="AA34" s="940">
        <f t="shared" si="11"/>
        <v>0</v>
      </c>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1:52" ht="15.75" customHeight="1">
      <c r="A35" s="937">
        <f t="shared" si="10"/>
        <v>28</v>
      </c>
      <c r="B35" s="943" t="s">
        <v>4131</v>
      </c>
      <c r="C35" s="940"/>
      <c r="D35" s="940"/>
      <c r="E35" s="941">
        <f t="shared" si="2"/>
        <v>0</v>
      </c>
      <c r="F35" s="940"/>
      <c r="G35" s="940"/>
      <c r="H35" s="942">
        <f t="shared" si="3"/>
        <v>0</v>
      </c>
      <c r="I35" s="940"/>
      <c r="J35" s="940"/>
      <c r="K35" s="941">
        <f t="shared" si="4"/>
        <v>0</v>
      </c>
      <c r="L35" s="940"/>
      <c r="M35" s="940"/>
      <c r="N35" s="941">
        <f t="shared" si="5"/>
        <v>0</v>
      </c>
      <c r="O35" s="940"/>
      <c r="P35" s="940"/>
      <c r="Q35" s="939">
        <f t="shared" si="6"/>
        <v>0</v>
      </c>
      <c r="R35" s="940"/>
      <c r="S35" s="940"/>
      <c r="T35" s="939">
        <f t="shared" si="7"/>
        <v>0</v>
      </c>
      <c r="U35" s="940"/>
      <c r="V35" s="940"/>
      <c r="W35" s="939">
        <f t="shared" si="8"/>
        <v>0</v>
      </c>
      <c r="X35" s="940"/>
      <c r="Y35" s="940"/>
      <c r="Z35" s="940">
        <f t="shared" si="9"/>
        <v>0</v>
      </c>
      <c r="AA35" s="940">
        <f t="shared" si="11"/>
        <v>0</v>
      </c>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1:52" ht="15.75" customHeight="1">
      <c r="A36" s="937">
        <f t="shared" si="10"/>
        <v>29</v>
      </c>
      <c r="B36" s="943" t="s">
        <v>4132</v>
      </c>
      <c r="C36" s="940"/>
      <c r="D36" s="940"/>
      <c r="E36" s="941">
        <f t="shared" si="2"/>
        <v>0</v>
      </c>
      <c r="F36" s="940"/>
      <c r="G36" s="940"/>
      <c r="H36" s="942">
        <f t="shared" si="3"/>
        <v>0</v>
      </c>
      <c r="I36" s="940"/>
      <c r="J36" s="940"/>
      <c r="K36" s="941">
        <f t="shared" si="4"/>
        <v>0</v>
      </c>
      <c r="L36" s="940"/>
      <c r="M36" s="940"/>
      <c r="N36" s="941">
        <f t="shared" si="5"/>
        <v>0</v>
      </c>
      <c r="O36" s="940"/>
      <c r="P36" s="940"/>
      <c r="Q36" s="939">
        <f t="shared" si="6"/>
        <v>0</v>
      </c>
      <c r="R36" s="940"/>
      <c r="S36" s="940"/>
      <c r="T36" s="939">
        <f t="shared" si="7"/>
        <v>0</v>
      </c>
      <c r="U36" s="940"/>
      <c r="V36" s="940"/>
      <c r="W36" s="939">
        <f t="shared" si="8"/>
        <v>0</v>
      </c>
      <c r="X36" s="940"/>
      <c r="Y36" s="940"/>
      <c r="Z36" s="940">
        <f t="shared" si="9"/>
        <v>0</v>
      </c>
      <c r="AA36" s="940">
        <f t="shared" si="11"/>
        <v>0</v>
      </c>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1:52" ht="15.75" customHeight="1">
      <c r="A37" s="937">
        <f t="shared" si="10"/>
        <v>30</v>
      </c>
      <c r="B37" s="943" t="s">
        <v>4133</v>
      </c>
      <c r="C37" s="940"/>
      <c r="D37" s="940"/>
      <c r="E37" s="941">
        <f t="shared" si="2"/>
        <v>0</v>
      </c>
      <c r="F37" s="940"/>
      <c r="G37" s="940"/>
      <c r="H37" s="942">
        <f t="shared" si="3"/>
        <v>0</v>
      </c>
      <c r="I37" s="940"/>
      <c r="J37" s="940"/>
      <c r="K37" s="941">
        <f t="shared" si="4"/>
        <v>0</v>
      </c>
      <c r="L37" s="940"/>
      <c r="M37" s="940"/>
      <c r="N37" s="941">
        <f t="shared" si="5"/>
        <v>0</v>
      </c>
      <c r="O37" s="940"/>
      <c r="P37" s="940"/>
      <c r="Q37" s="939">
        <f t="shared" si="6"/>
        <v>0</v>
      </c>
      <c r="R37" s="940"/>
      <c r="S37" s="940"/>
      <c r="T37" s="939">
        <f t="shared" si="7"/>
        <v>0</v>
      </c>
      <c r="U37" s="940"/>
      <c r="V37" s="940"/>
      <c r="W37" s="939">
        <f t="shared" si="8"/>
        <v>0</v>
      </c>
      <c r="X37" s="940"/>
      <c r="Y37" s="940"/>
      <c r="Z37" s="940">
        <f t="shared" si="9"/>
        <v>0</v>
      </c>
      <c r="AA37" s="940">
        <f t="shared" si="11"/>
        <v>0</v>
      </c>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1:52" ht="15.75" customHeight="1">
      <c r="A38" s="937">
        <f t="shared" si="10"/>
        <v>31</v>
      </c>
      <c r="B38" s="2176" t="s">
        <v>672</v>
      </c>
      <c r="C38" s="973"/>
      <c r="D38" s="940"/>
      <c r="E38" s="941">
        <f t="shared" si="2"/>
        <v>0</v>
      </c>
      <c r="F38" s="940"/>
      <c r="G38" s="940"/>
      <c r="H38" s="942">
        <f t="shared" si="3"/>
        <v>0</v>
      </c>
      <c r="I38" s="940"/>
      <c r="J38" s="940"/>
      <c r="K38" s="941">
        <f t="shared" si="4"/>
        <v>0</v>
      </c>
      <c r="L38" s="940"/>
      <c r="M38" s="940"/>
      <c r="N38" s="941">
        <f t="shared" si="5"/>
        <v>0</v>
      </c>
      <c r="O38" s="940"/>
      <c r="P38" s="940"/>
      <c r="Q38" s="939">
        <f t="shared" si="6"/>
        <v>0</v>
      </c>
      <c r="R38" s="940"/>
      <c r="S38" s="940"/>
      <c r="T38" s="939">
        <f t="shared" si="7"/>
        <v>0</v>
      </c>
      <c r="U38" s="940"/>
      <c r="V38" s="940"/>
      <c r="W38" s="939">
        <f t="shared" si="8"/>
        <v>0</v>
      </c>
      <c r="X38" s="940"/>
      <c r="Y38" s="940"/>
      <c r="Z38" s="940">
        <f t="shared" si="9"/>
        <v>0</v>
      </c>
      <c r="AA38" s="940">
        <f t="shared" si="11"/>
        <v>0</v>
      </c>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1:52" ht="15.75" customHeight="1">
      <c r="A39" s="937">
        <f t="shared" si="10"/>
        <v>32</v>
      </c>
      <c r="B39" s="913" t="s">
        <v>4986</v>
      </c>
      <c r="C39" s="973"/>
      <c r="D39" s="940"/>
      <c r="E39" s="941">
        <f t="shared" si="2"/>
        <v>0</v>
      </c>
      <c r="F39" s="940"/>
      <c r="G39" s="940"/>
      <c r="H39" s="942">
        <f t="shared" si="3"/>
        <v>0</v>
      </c>
      <c r="I39" s="940"/>
      <c r="J39" s="940"/>
      <c r="K39" s="941">
        <f t="shared" si="4"/>
        <v>0</v>
      </c>
      <c r="L39" s="940"/>
      <c r="M39" s="940"/>
      <c r="N39" s="941">
        <f t="shared" si="5"/>
        <v>0</v>
      </c>
      <c r="O39" s="940"/>
      <c r="P39" s="940"/>
      <c r="Q39" s="939">
        <f t="shared" si="6"/>
        <v>0</v>
      </c>
      <c r="R39" s="940"/>
      <c r="S39" s="940"/>
      <c r="T39" s="939">
        <f t="shared" si="7"/>
        <v>0</v>
      </c>
      <c r="U39" s="940"/>
      <c r="V39" s="940"/>
      <c r="W39" s="939">
        <f t="shared" si="8"/>
        <v>0</v>
      </c>
      <c r="X39" s="940"/>
      <c r="Y39" s="940"/>
      <c r="Z39" s="940">
        <f t="shared" si="9"/>
        <v>0</v>
      </c>
      <c r="AA39" s="940">
        <f t="shared" si="11"/>
        <v>0</v>
      </c>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1:52" ht="15.75" customHeight="1">
      <c r="A40" s="937">
        <f t="shared" si="10"/>
        <v>33</v>
      </c>
      <c r="B40" s="945" t="s">
        <v>4134</v>
      </c>
      <c r="C40" s="946">
        <f>SUM(C41:C48)</f>
        <v>0</v>
      </c>
      <c r="D40" s="946">
        <f t="shared" ref="D40:AA40" si="12">SUM(D41:D48)</f>
        <v>0</v>
      </c>
      <c r="E40" s="946">
        <f t="shared" si="12"/>
        <v>0</v>
      </c>
      <c r="F40" s="946">
        <f>SUM(F41:F48)</f>
        <v>0</v>
      </c>
      <c r="G40" s="946">
        <f>SUM(G41:G48)</f>
        <v>0</v>
      </c>
      <c r="H40" s="946">
        <f t="shared" si="12"/>
        <v>0</v>
      </c>
      <c r="I40" s="946">
        <f t="shared" si="12"/>
        <v>0</v>
      </c>
      <c r="J40" s="946">
        <f t="shared" si="12"/>
        <v>0</v>
      </c>
      <c r="K40" s="946">
        <f t="shared" si="12"/>
        <v>0</v>
      </c>
      <c r="L40" s="946">
        <f t="shared" si="12"/>
        <v>0</v>
      </c>
      <c r="M40" s="946">
        <f t="shared" si="12"/>
        <v>0</v>
      </c>
      <c r="N40" s="946">
        <f t="shared" si="12"/>
        <v>0</v>
      </c>
      <c r="O40" s="946">
        <f t="shared" si="12"/>
        <v>0</v>
      </c>
      <c r="P40" s="946">
        <f t="shared" si="12"/>
        <v>0</v>
      </c>
      <c r="Q40" s="946">
        <f t="shared" si="12"/>
        <v>0</v>
      </c>
      <c r="R40" s="946">
        <f t="shared" si="12"/>
        <v>0</v>
      </c>
      <c r="S40" s="946">
        <f t="shared" si="12"/>
        <v>0</v>
      </c>
      <c r="T40" s="946">
        <f t="shared" si="12"/>
        <v>0</v>
      </c>
      <c r="U40" s="946">
        <f t="shared" si="12"/>
        <v>0</v>
      </c>
      <c r="V40" s="946">
        <f t="shared" si="12"/>
        <v>0</v>
      </c>
      <c r="W40" s="946">
        <f>SUM(W41:W48)</f>
        <v>0</v>
      </c>
      <c r="X40" s="946">
        <f t="shared" si="12"/>
        <v>0</v>
      </c>
      <c r="Y40" s="946">
        <f t="shared" si="12"/>
        <v>0</v>
      </c>
      <c r="Z40" s="946">
        <f t="shared" si="12"/>
        <v>0</v>
      </c>
      <c r="AA40" s="946">
        <f t="shared" si="12"/>
        <v>0</v>
      </c>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1:52" ht="15.75" customHeight="1">
      <c r="A41" s="937">
        <f t="shared" si="10"/>
        <v>34</v>
      </c>
      <c r="B41" s="943" t="s">
        <v>4135</v>
      </c>
      <c r="C41" s="940"/>
      <c r="D41" s="940"/>
      <c r="E41" s="946">
        <f t="shared" ref="E41:E48" si="13">SUM(C41-D41)</f>
        <v>0</v>
      </c>
      <c r="F41" s="940"/>
      <c r="G41" s="940"/>
      <c r="H41" s="942">
        <f>F41-G41</f>
        <v>0</v>
      </c>
      <c r="I41" s="940"/>
      <c r="J41" s="940"/>
      <c r="K41" s="941">
        <f t="shared" ref="K41:K48" si="14">I41+J41</f>
        <v>0</v>
      </c>
      <c r="L41" s="940"/>
      <c r="M41" s="940"/>
      <c r="N41" s="941">
        <f t="shared" ref="N41:N48" si="15">L41+M41</f>
        <v>0</v>
      </c>
      <c r="O41" s="940"/>
      <c r="P41" s="940"/>
      <c r="Q41" s="939">
        <f t="shared" ref="Q41:Q48" si="16">O41-P41</f>
        <v>0</v>
      </c>
      <c r="R41" s="940"/>
      <c r="S41" s="940"/>
      <c r="T41" s="939">
        <f t="shared" ref="T41:T48" si="17">R41-S41</f>
        <v>0</v>
      </c>
      <c r="U41" s="940"/>
      <c r="V41" s="940"/>
      <c r="W41" s="939">
        <f t="shared" ref="W41:W48" si="18">U41+V41</f>
        <v>0</v>
      </c>
      <c r="X41" s="940"/>
      <c r="Y41" s="940"/>
      <c r="Z41" s="940">
        <f t="shared" ref="Z41:Z48" si="19">X41+Y41</f>
        <v>0</v>
      </c>
      <c r="AA41" s="940">
        <f t="shared" si="11"/>
        <v>0</v>
      </c>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ht="15.75" customHeight="1">
      <c r="A42" s="937">
        <f t="shared" si="10"/>
        <v>35</v>
      </c>
      <c r="B42" s="943" t="s">
        <v>4136</v>
      </c>
      <c r="C42" s="940"/>
      <c r="D42" s="940"/>
      <c r="E42" s="946">
        <f t="shared" si="13"/>
        <v>0</v>
      </c>
      <c r="F42" s="940"/>
      <c r="G42" s="940"/>
      <c r="H42" s="942">
        <f t="shared" ref="H42:H48" si="20">F42-G42</f>
        <v>0</v>
      </c>
      <c r="I42" s="940"/>
      <c r="J42" s="940"/>
      <c r="K42" s="941">
        <f t="shared" si="14"/>
        <v>0</v>
      </c>
      <c r="L42" s="940"/>
      <c r="M42" s="940"/>
      <c r="N42" s="941">
        <f t="shared" si="15"/>
        <v>0</v>
      </c>
      <c r="O42" s="940"/>
      <c r="P42" s="940"/>
      <c r="Q42" s="939">
        <f t="shared" si="16"/>
        <v>0</v>
      </c>
      <c r="R42" s="940"/>
      <c r="S42" s="940"/>
      <c r="T42" s="939">
        <f t="shared" si="17"/>
        <v>0</v>
      </c>
      <c r="U42" s="940"/>
      <c r="V42" s="940"/>
      <c r="W42" s="939">
        <f t="shared" si="18"/>
        <v>0</v>
      </c>
      <c r="X42" s="940"/>
      <c r="Y42" s="940"/>
      <c r="Z42" s="940">
        <f t="shared" si="19"/>
        <v>0</v>
      </c>
      <c r="AA42" s="940">
        <f t="shared" si="11"/>
        <v>0</v>
      </c>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ht="15.75" customHeight="1">
      <c r="A43" s="937">
        <f t="shared" si="10"/>
        <v>36</v>
      </c>
      <c r="B43" s="943" t="s">
        <v>4137</v>
      </c>
      <c r="C43" s="940"/>
      <c r="D43" s="940"/>
      <c r="E43" s="946">
        <f t="shared" si="13"/>
        <v>0</v>
      </c>
      <c r="F43" s="940"/>
      <c r="G43" s="940"/>
      <c r="H43" s="942">
        <f t="shared" si="20"/>
        <v>0</v>
      </c>
      <c r="I43" s="940"/>
      <c r="J43" s="940"/>
      <c r="K43" s="941">
        <f t="shared" si="14"/>
        <v>0</v>
      </c>
      <c r="L43" s="940"/>
      <c r="M43" s="940"/>
      <c r="N43" s="941">
        <f t="shared" si="15"/>
        <v>0</v>
      </c>
      <c r="O43" s="940"/>
      <c r="P43" s="940"/>
      <c r="Q43" s="939">
        <f t="shared" si="16"/>
        <v>0</v>
      </c>
      <c r="R43" s="940"/>
      <c r="S43" s="940"/>
      <c r="T43" s="939">
        <f t="shared" si="17"/>
        <v>0</v>
      </c>
      <c r="U43" s="940"/>
      <c r="V43" s="940"/>
      <c r="W43" s="939">
        <f t="shared" si="18"/>
        <v>0</v>
      </c>
      <c r="X43" s="940"/>
      <c r="Y43" s="940"/>
      <c r="Z43" s="940">
        <f t="shared" si="19"/>
        <v>0</v>
      </c>
      <c r="AA43" s="940">
        <f t="shared" si="11"/>
        <v>0</v>
      </c>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ht="15.75" customHeight="1">
      <c r="A44" s="937">
        <f t="shared" si="10"/>
        <v>37</v>
      </c>
      <c r="B44" s="943" t="s">
        <v>4138</v>
      </c>
      <c r="C44" s="940"/>
      <c r="D44" s="940"/>
      <c r="E44" s="946">
        <f t="shared" si="13"/>
        <v>0</v>
      </c>
      <c r="F44" s="940"/>
      <c r="G44" s="940"/>
      <c r="H44" s="942">
        <f t="shared" si="20"/>
        <v>0</v>
      </c>
      <c r="I44" s="940"/>
      <c r="J44" s="940"/>
      <c r="K44" s="941">
        <f t="shared" si="14"/>
        <v>0</v>
      </c>
      <c r="L44" s="940"/>
      <c r="M44" s="940"/>
      <c r="N44" s="941">
        <f t="shared" si="15"/>
        <v>0</v>
      </c>
      <c r="O44" s="940"/>
      <c r="P44" s="940"/>
      <c r="Q44" s="939">
        <f t="shared" si="16"/>
        <v>0</v>
      </c>
      <c r="R44" s="940"/>
      <c r="S44" s="940"/>
      <c r="T44" s="939">
        <f t="shared" si="17"/>
        <v>0</v>
      </c>
      <c r="U44" s="940"/>
      <c r="V44" s="940"/>
      <c r="W44" s="939">
        <f t="shared" si="18"/>
        <v>0</v>
      </c>
      <c r="X44" s="940"/>
      <c r="Y44" s="940"/>
      <c r="Z44" s="940">
        <f t="shared" si="19"/>
        <v>0</v>
      </c>
      <c r="AA44" s="940">
        <f t="shared" si="11"/>
        <v>0</v>
      </c>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ht="15.75" customHeight="1">
      <c r="A45" s="937">
        <f t="shared" si="10"/>
        <v>38</v>
      </c>
      <c r="B45" s="943" t="s">
        <v>4139</v>
      </c>
      <c r="C45" s="940"/>
      <c r="D45" s="940"/>
      <c r="E45" s="946">
        <f t="shared" si="13"/>
        <v>0</v>
      </c>
      <c r="F45" s="940"/>
      <c r="G45" s="940"/>
      <c r="H45" s="942">
        <f t="shared" si="20"/>
        <v>0</v>
      </c>
      <c r="I45" s="940"/>
      <c r="J45" s="940"/>
      <c r="K45" s="941">
        <f t="shared" si="14"/>
        <v>0</v>
      </c>
      <c r="L45" s="940"/>
      <c r="M45" s="940"/>
      <c r="N45" s="941">
        <f t="shared" si="15"/>
        <v>0</v>
      </c>
      <c r="O45" s="940"/>
      <c r="P45" s="940"/>
      <c r="Q45" s="939">
        <f t="shared" si="16"/>
        <v>0</v>
      </c>
      <c r="R45" s="940"/>
      <c r="S45" s="940"/>
      <c r="T45" s="939">
        <f t="shared" si="17"/>
        <v>0</v>
      </c>
      <c r="U45" s="940"/>
      <c r="V45" s="940"/>
      <c r="W45" s="939">
        <f t="shared" si="18"/>
        <v>0</v>
      </c>
      <c r="X45" s="940"/>
      <c r="Y45" s="940"/>
      <c r="Z45" s="940">
        <f t="shared" si="19"/>
        <v>0</v>
      </c>
      <c r="AA45" s="940">
        <f t="shared" si="11"/>
        <v>0</v>
      </c>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ht="15.75" customHeight="1">
      <c r="A46" s="937">
        <f t="shared" si="10"/>
        <v>39</v>
      </c>
      <c r="B46" s="943" t="s">
        <v>4140</v>
      </c>
      <c r="C46" s="940"/>
      <c r="D46" s="940"/>
      <c r="E46" s="946">
        <f t="shared" si="13"/>
        <v>0</v>
      </c>
      <c r="F46" s="940"/>
      <c r="G46" s="940"/>
      <c r="H46" s="942">
        <f t="shared" si="20"/>
        <v>0</v>
      </c>
      <c r="I46" s="940"/>
      <c r="J46" s="940"/>
      <c r="K46" s="941">
        <f t="shared" si="14"/>
        <v>0</v>
      </c>
      <c r="L46" s="940"/>
      <c r="M46" s="940"/>
      <c r="N46" s="941">
        <f t="shared" si="15"/>
        <v>0</v>
      </c>
      <c r="O46" s="940"/>
      <c r="P46" s="940"/>
      <c r="Q46" s="939">
        <f t="shared" si="16"/>
        <v>0</v>
      </c>
      <c r="R46" s="940"/>
      <c r="S46" s="940"/>
      <c r="T46" s="939">
        <f t="shared" si="17"/>
        <v>0</v>
      </c>
      <c r="U46" s="940"/>
      <c r="V46" s="940"/>
      <c r="W46" s="939">
        <f t="shared" si="18"/>
        <v>0</v>
      </c>
      <c r="X46" s="940"/>
      <c r="Y46" s="940"/>
      <c r="Z46" s="940">
        <f t="shared" si="19"/>
        <v>0</v>
      </c>
      <c r="AA46" s="940">
        <f t="shared" si="11"/>
        <v>0</v>
      </c>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1:52" ht="15.75" customHeight="1">
      <c r="A47" s="937">
        <f t="shared" si="10"/>
        <v>40</v>
      </c>
      <c r="B47" s="943" t="s">
        <v>4141</v>
      </c>
      <c r="C47" s="940"/>
      <c r="D47" s="940"/>
      <c r="E47" s="946">
        <f t="shared" si="13"/>
        <v>0</v>
      </c>
      <c r="F47" s="940"/>
      <c r="G47" s="940"/>
      <c r="H47" s="942">
        <f t="shared" si="20"/>
        <v>0</v>
      </c>
      <c r="I47" s="940"/>
      <c r="J47" s="940"/>
      <c r="K47" s="941">
        <f t="shared" si="14"/>
        <v>0</v>
      </c>
      <c r="L47" s="940"/>
      <c r="M47" s="940"/>
      <c r="N47" s="941">
        <f t="shared" si="15"/>
        <v>0</v>
      </c>
      <c r="O47" s="940"/>
      <c r="P47" s="940"/>
      <c r="Q47" s="939">
        <f t="shared" si="16"/>
        <v>0</v>
      </c>
      <c r="R47" s="940"/>
      <c r="S47" s="940"/>
      <c r="T47" s="939">
        <f t="shared" si="17"/>
        <v>0</v>
      </c>
      <c r="U47" s="940"/>
      <c r="V47" s="940"/>
      <c r="W47" s="939">
        <f t="shared" si="18"/>
        <v>0</v>
      </c>
      <c r="X47" s="940"/>
      <c r="Y47" s="940"/>
      <c r="Z47" s="940">
        <f t="shared" si="19"/>
        <v>0</v>
      </c>
      <c r="AA47" s="940">
        <f t="shared" si="11"/>
        <v>0</v>
      </c>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1:52" ht="15.75" customHeight="1">
      <c r="A48" s="937">
        <f t="shared" si="10"/>
        <v>41</v>
      </c>
      <c r="B48" s="943" t="s">
        <v>4142</v>
      </c>
      <c r="C48" s="940"/>
      <c r="D48" s="940"/>
      <c r="E48" s="946">
        <f t="shared" si="13"/>
        <v>0</v>
      </c>
      <c r="F48" s="940"/>
      <c r="G48" s="940"/>
      <c r="H48" s="942">
        <f t="shared" si="20"/>
        <v>0</v>
      </c>
      <c r="I48" s="940"/>
      <c r="J48" s="940"/>
      <c r="K48" s="941">
        <f t="shared" si="14"/>
        <v>0</v>
      </c>
      <c r="L48" s="940"/>
      <c r="M48" s="940"/>
      <c r="N48" s="941">
        <f t="shared" si="15"/>
        <v>0</v>
      </c>
      <c r="O48" s="940"/>
      <c r="P48" s="940"/>
      <c r="Q48" s="939">
        <f t="shared" si="16"/>
        <v>0</v>
      </c>
      <c r="R48" s="940"/>
      <c r="S48" s="940"/>
      <c r="T48" s="939">
        <f t="shared" si="17"/>
        <v>0</v>
      </c>
      <c r="U48" s="940"/>
      <c r="V48" s="940"/>
      <c r="W48" s="939">
        <f t="shared" si="18"/>
        <v>0</v>
      </c>
      <c r="X48" s="940"/>
      <c r="Y48" s="940"/>
      <c r="Z48" s="940">
        <f t="shared" si="19"/>
        <v>0</v>
      </c>
      <c r="AA48" s="940">
        <f t="shared" si="11"/>
        <v>0</v>
      </c>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52" ht="15.75" customHeight="1">
      <c r="A49" s="937">
        <f t="shared" si="10"/>
        <v>42</v>
      </c>
      <c r="B49" s="947" t="s">
        <v>3638</v>
      </c>
      <c r="C49" s="948">
        <f t="shared" ref="C49:N49" si="21">C40+C8</f>
        <v>0</v>
      </c>
      <c r="D49" s="948">
        <f t="shared" si="21"/>
        <v>0</v>
      </c>
      <c r="E49" s="948">
        <f t="shared" si="21"/>
        <v>0</v>
      </c>
      <c r="F49" s="948">
        <f t="shared" si="21"/>
        <v>0</v>
      </c>
      <c r="G49" s="948">
        <f t="shared" si="21"/>
        <v>0</v>
      </c>
      <c r="H49" s="948">
        <f t="shared" si="21"/>
        <v>0</v>
      </c>
      <c r="I49" s="948">
        <f t="shared" si="21"/>
        <v>0</v>
      </c>
      <c r="J49" s="948">
        <f t="shared" si="21"/>
        <v>0</v>
      </c>
      <c r="K49" s="948">
        <f t="shared" si="21"/>
        <v>0</v>
      </c>
      <c r="L49" s="948">
        <f t="shared" si="21"/>
        <v>0</v>
      </c>
      <c r="M49" s="948">
        <f t="shared" si="21"/>
        <v>0</v>
      </c>
      <c r="N49" s="948">
        <f t="shared" si="21"/>
        <v>0</v>
      </c>
      <c r="O49" s="948">
        <f>O8+O40</f>
        <v>0</v>
      </c>
      <c r="P49" s="948">
        <f>P8+P40</f>
        <v>0</v>
      </c>
      <c r="Q49" s="948">
        <f>Q40+Q8</f>
        <v>0</v>
      </c>
      <c r="R49" s="948">
        <f>R8+R40</f>
        <v>0</v>
      </c>
      <c r="S49" s="948">
        <f>S8+S40</f>
        <v>0</v>
      </c>
      <c r="T49" s="948">
        <f t="shared" ref="T49:AA49" si="22">T40+T8</f>
        <v>0</v>
      </c>
      <c r="U49" s="948">
        <f t="shared" si="22"/>
        <v>0</v>
      </c>
      <c r="V49" s="948">
        <f t="shared" si="22"/>
        <v>0</v>
      </c>
      <c r="W49" s="948">
        <f t="shared" si="22"/>
        <v>0</v>
      </c>
      <c r="X49" s="948">
        <f t="shared" si="22"/>
        <v>0</v>
      </c>
      <c r="Y49" s="948">
        <f t="shared" si="22"/>
        <v>0</v>
      </c>
      <c r="Z49" s="948">
        <f t="shared" si="22"/>
        <v>0</v>
      </c>
      <c r="AA49" s="948">
        <f t="shared" si="22"/>
        <v>0</v>
      </c>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52">
      <c r="A50" s="46" t="s">
        <v>313</v>
      </c>
      <c r="B50" s="933"/>
      <c r="C50" s="933"/>
      <c r="D50" s="933"/>
      <c r="E50" s="933"/>
      <c r="F50" s="933"/>
      <c r="G50" s="949"/>
      <c r="H50" s="933"/>
      <c r="I50" s="933"/>
      <c r="J50" s="933"/>
      <c r="K50" s="933"/>
      <c r="L50" s="933"/>
      <c r="M50" s="933"/>
      <c r="N50" s="933"/>
    </row>
    <row r="51" spans="1:52">
      <c r="A51" s="935">
        <v>1</v>
      </c>
      <c r="B51" s="3188" t="s">
        <v>571</v>
      </c>
      <c r="C51" s="3188"/>
      <c r="D51" s="3188"/>
      <c r="E51" s="3188"/>
      <c r="F51" s="3188"/>
      <c r="G51" s="3188"/>
      <c r="H51" s="3188"/>
      <c r="I51" s="3188"/>
      <c r="J51" s="3188"/>
      <c r="K51" s="3188"/>
      <c r="L51" s="3188"/>
      <c r="M51" s="3188"/>
      <c r="N51" s="3188"/>
      <c r="O51" s="3189"/>
      <c r="P51" s="3189"/>
      <c r="Q51" s="3189"/>
      <c r="R51" s="3189"/>
      <c r="S51" s="3189"/>
      <c r="T51" s="3189"/>
      <c r="U51" s="3189"/>
      <c r="V51" s="3189"/>
      <c r="W51" s="3189"/>
    </row>
    <row r="52" spans="1:52">
      <c r="A52" s="904">
        <v>2</v>
      </c>
      <c r="B52" s="46" t="s">
        <v>255</v>
      </c>
    </row>
    <row r="53" spans="1:52">
      <c r="A53" s="935">
        <v>3</v>
      </c>
      <c r="B53" s="3190" t="s">
        <v>572</v>
      </c>
      <c r="C53" s="3190"/>
      <c r="D53" s="3190"/>
      <c r="E53" s="3190"/>
      <c r="F53" s="3190"/>
      <c r="G53" s="3190"/>
      <c r="H53" s="3190"/>
      <c r="I53" s="3190"/>
      <c r="J53" s="3190"/>
      <c r="K53" s="3190"/>
      <c r="L53" s="3190"/>
      <c r="M53" s="3190"/>
      <c r="N53" s="3190"/>
      <c r="O53" s="3190"/>
      <c r="P53" s="3190"/>
      <c r="Q53" s="3190"/>
      <c r="R53" s="3190"/>
      <c r="S53" s="3190"/>
      <c r="T53" s="3190"/>
      <c r="U53" s="3190"/>
      <c r="V53" s="3190"/>
      <c r="W53" s="3190"/>
      <c r="X53" s="3190"/>
      <c r="Y53" s="3190"/>
    </row>
    <row r="54" spans="1:52">
      <c r="A54" s="935">
        <v>4</v>
      </c>
      <c r="B54" s="47" t="s">
        <v>1358</v>
      </c>
    </row>
    <row r="55" spans="1:52">
      <c r="A55" s="935">
        <v>5</v>
      </c>
      <c r="B55" s="47" t="s">
        <v>298</v>
      </c>
    </row>
  </sheetData>
  <mergeCells count="30">
    <mergeCell ref="AA3:AA4"/>
    <mergeCell ref="B3:B7"/>
    <mergeCell ref="V5:V6"/>
    <mergeCell ref="W5:W6"/>
    <mergeCell ref="X5:X6"/>
    <mergeCell ref="Y5:Y6"/>
    <mergeCell ref="N5:N6"/>
    <mergeCell ref="X4:Z4"/>
    <mergeCell ref="C3:N3"/>
    <mergeCell ref="I5:I6"/>
    <mergeCell ref="C4:H4"/>
    <mergeCell ref="B51:W51"/>
    <mergeCell ref="B53:Y53"/>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2"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pane="topRight"/>
      <selection pane="bottomLeft"/>
      <selection pane="bottomRight"/>
    </sheetView>
  </sheetViews>
  <sheetFormatPr defaultColWidth="9" defaultRowHeight="14.25"/>
  <cols>
    <col min="1" max="1" width="5.125" style="46" customWidth="1"/>
    <col min="2" max="2" width="19.125" style="46" customWidth="1"/>
    <col min="3" max="3" width="11.75" style="46" customWidth="1"/>
    <col min="4" max="4" width="10.125" style="46" customWidth="1"/>
    <col min="5" max="5" width="11.5" style="46" customWidth="1"/>
    <col min="6" max="6" width="11.25" style="46" customWidth="1"/>
    <col min="7" max="7" width="11.5" style="46" customWidth="1"/>
    <col min="8" max="8" width="11.375" style="46" customWidth="1"/>
    <col min="9" max="9" width="10.125" style="46" customWidth="1"/>
    <col min="10" max="10" width="11.625" style="46" customWidth="1"/>
    <col min="11" max="11" width="11.75" style="46" customWidth="1"/>
    <col min="12" max="12" width="10.25" style="46" customWidth="1"/>
    <col min="13" max="13" width="11.375" style="46" customWidth="1"/>
    <col min="14" max="14" width="13.875" style="46" customWidth="1"/>
    <col min="15" max="16" width="9.25" style="46" customWidth="1"/>
    <col min="17" max="17" width="13.75" style="46" customWidth="1"/>
    <col min="18" max="18" width="9.25" style="46" customWidth="1"/>
    <col min="19" max="19" width="12" style="46" customWidth="1"/>
    <col min="20" max="20" width="13.875" style="46" customWidth="1"/>
    <col min="21" max="21" width="9.25" style="46" customWidth="1"/>
    <col min="22" max="22" width="10.75" style="46" customWidth="1"/>
    <col min="23" max="23" width="14.125" style="46" customWidth="1"/>
    <col min="24" max="24" width="9.25" style="46" customWidth="1"/>
    <col min="25" max="25" width="10" style="46" customWidth="1"/>
    <col min="26" max="26" width="13.375" style="46" customWidth="1"/>
    <col min="27" max="27" width="23.625" style="46" customWidth="1"/>
    <col min="28" max="16384" width="9" style="46"/>
  </cols>
  <sheetData>
    <row r="1" spans="1:52" ht="16.5">
      <c r="A1" s="2186" t="str">
        <f>+封面!A3&amp;" "&amp;封面!A2</f>
        <v xml:space="preserve"> 中央再保險股份有限公司 年度檢查報表</v>
      </c>
    </row>
    <row r="2" spans="1:52">
      <c r="A2" s="907" t="s">
        <v>204</v>
      </c>
      <c r="O2" s="921"/>
      <c r="P2" s="921"/>
      <c r="Q2" s="921"/>
      <c r="AA2" s="922" t="s">
        <v>325</v>
      </c>
    </row>
    <row r="3" spans="1:52" s="879" customFormat="1" ht="16.5" customHeight="1">
      <c r="A3" s="3163" t="s">
        <v>326</v>
      </c>
      <c r="B3" s="3163" t="s">
        <v>86</v>
      </c>
      <c r="C3" s="3181" t="s">
        <v>327</v>
      </c>
      <c r="D3" s="3181"/>
      <c r="E3" s="3181"/>
      <c r="F3" s="3181"/>
      <c r="G3" s="3181"/>
      <c r="H3" s="3181"/>
      <c r="I3" s="3181"/>
      <c r="J3" s="3181"/>
      <c r="K3" s="3181"/>
      <c r="L3" s="3181"/>
      <c r="M3" s="3181"/>
      <c r="N3" s="3182"/>
      <c r="O3" s="3150" t="s">
        <v>328</v>
      </c>
      <c r="P3" s="3181"/>
      <c r="Q3" s="3181"/>
      <c r="R3" s="3181"/>
      <c r="S3" s="3181"/>
      <c r="T3" s="3181"/>
      <c r="U3" s="3181"/>
      <c r="V3" s="3181"/>
      <c r="W3" s="3181"/>
      <c r="X3" s="3181"/>
      <c r="Y3" s="3181"/>
      <c r="Z3" s="3182"/>
      <c r="AA3" s="3186" t="s">
        <v>5606</v>
      </c>
    </row>
    <row r="4" spans="1:52" s="879" customFormat="1" ht="16.5">
      <c r="A4" s="3164"/>
      <c r="B4" s="3164"/>
      <c r="C4" s="3199" t="s">
        <v>2547</v>
      </c>
      <c r="D4" s="3199"/>
      <c r="E4" s="3199"/>
      <c r="F4" s="3199"/>
      <c r="G4" s="3199"/>
      <c r="H4" s="3199"/>
      <c r="I4" s="3179" t="s">
        <v>2548</v>
      </c>
      <c r="J4" s="3179"/>
      <c r="K4" s="3180"/>
      <c r="L4" s="3183" t="s">
        <v>1175</v>
      </c>
      <c r="M4" s="3179"/>
      <c r="N4" s="3180"/>
      <c r="O4" s="3183" t="s">
        <v>2547</v>
      </c>
      <c r="P4" s="3179"/>
      <c r="Q4" s="3179"/>
      <c r="R4" s="3179"/>
      <c r="S4" s="3179"/>
      <c r="T4" s="3180"/>
      <c r="U4" s="3183" t="s">
        <v>2548</v>
      </c>
      <c r="V4" s="3184"/>
      <c r="W4" s="3185"/>
      <c r="X4" s="3183" t="s">
        <v>1175</v>
      </c>
      <c r="Y4" s="3179"/>
      <c r="Z4" s="3180"/>
      <c r="AA4" s="3187"/>
    </row>
    <row r="5" spans="1:52" s="884" customFormat="1" ht="14.25" customHeight="1">
      <c r="A5" s="3164"/>
      <c r="B5" s="3164"/>
      <c r="C5" s="3196" t="s">
        <v>1040</v>
      </c>
      <c r="D5" s="3197"/>
      <c r="E5" s="3198"/>
      <c r="F5" s="3193" t="s">
        <v>1041</v>
      </c>
      <c r="G5" s="3194"/>
      <c r="H5" s="3195"/>
      <c r="I5" s="3186" t="s">
        <v>205</v>
      </c>
      <c r="J5" s="3186" t="s">
        <v>330</v>
      </c>
      <c r="K5" s="3186" t="s">
        <v>187</v>
      </c>
      <c r="L5" s="3186" t="s">
        <v>206</v>
      </c>
      <c r="M5" s="3186" t="s">
        <v>330</v>
      </c>
      <c r="N5" s="3186" t="s">
        <v>187</v>
      </c>
      <c r="O5" s="3196" t="s">
        <v>190</v>
      </c>
      <c r="P5" s="3197"/>
      <c r="Q5" s="3198"/>
      <c r="R5" s="3193" t="s">
        <v>191</v>
      </c>
      <c r="S5" s="3194"/>
      <c r="T5" s="3195"/>
      <c r="U5" s="3186" t="s">
        <v>206</v>
      </c>
      <c r="V5" s="3186" t="s">
        <v>330</v>
      </c>
      <c r="W5" s="3186" t="s">
        <v>187</v>
      </c>
      <c r="X5" s="3186" t="s">
        <v>206</v>
      </c>
      <c r="Y5" s="3186" t="s">
        <v>330</v>
      </c>
      <c r="Z5" s="3186" t="s">
        <v>187</v>
      </c>
      <c r="AA5" s="3191" t="s">
        <v>332</v>
      </c>
    </row>
    <row r="6" spans="1:52" s="923" customFormat="1" ht="28.5">
      <c r="A6" s="3164"/>
      <c r="B6" s="3164"/>
      <c r="C6" s="923" t="s">
        <v>207</v>
      </c>
      <c r="D6" s="887" t="s">
        <v>208</v>
      </c>
      <c r="E6" s="887" t="s">
        <v>343</v>
      </c>
      <c r="F6" s="924" t="s">
        <v>335</v>
      </c>
      <c r="G6" s="924" t="s">
        <v>208</v>
      </c>
      <c r="H6" s="924" t="s">
        <v>343</v>
      </c>
      <c r="I6" s="3187"/>
      <c r="J6" s="3187"/>
      <c r="K6" s="3187"/>
      <c r="L6" s="3187"/>
      <c r="M6" s="3187"/>
      <c r="N6" s="3187"/>
      <c r="O6" s="923" t="s">
        <v>335</v>
      </c>
      <c r="P6" s="887" t="s">
        <v>208</v>
      </c>
      <c r="Q6" s="887" t="s">
        <v>343</v>
      </c>
      <c r="R6" s="924" t="s">
        <v>335</v>
      </c>
      <c r="S6" s="924" t="s">
        <v>208</v>
      </c>
      <c r="T6" s="924" t="s">
        <v>343</v>
      </c>
      <c r="U6" s="3187"/>
      <c r="V6" s="3187"/>
      <c r="W6" s="3187"/>
      <c r="X6" s="3187"/>
      <c r="Y6" s="3187"/>
      <c r="Z6" s="3187"/>
      <c r="AA6" s="3191"/>
    </row>
    <row r="7" spans="1:52" s="929" customFormat="1">
      <c r="A7" s="3165"/>
      <c r="B7" s="3165"/>
      <c r="C7" s="925" t="s">
        <v>305</v>
      </c>
      <c r="D7" s="926" t="s">
        <v>370</v>
      </c>
      <c r="E7" s="926" t="s">
        <v>209</v>
      </c>
      <c r="F7" s="926" t="s">
        <v>307</v>
      </c>
      <c r="G7" s="926" t="s">
        <v>371</v>
      </c>
      <c r="H7" s="926" t="s">
        <v>210</v>
      </c>
      <c r="I7" s="926" t="s">
        <v>309</v>
      </c>
      <c r="J7" s="926" t="s">
        <v>372</v>
      </c>
      <c r="K7" s="927" t="s">
        <v>211</v>
      </c>
      <c r="L7" s="928" t="s">
        <v>212</v>
      </c>
      <c r="M7" s="928" t="s">
        <v>213</v>
      </c>
      <c r="N7" s="927" t="s">
        <v>341</v>
      </c>
      <c r="O7" s="925" t="s">
        <v>321</v>
      </c>
      <c r="P7" s="926" t="s">
        <v>214</v>
      </c>
      <c r="Q7" s="926" t="s">
        <v>215</v>
      </c>
      <c r="R7" s="926" t="s">
        <v>195</v>
      </c>
      <c r="S7" s="926" t="s">
        <v>196</v>
      </c>
      <c r="T7" s="926" t="s">
        <v>216</v>
      </c>
      <c r="U7" s="926" t="s">
        <v>198</v>
      </c>
      <c r="V7" s="926" t="s">
        <v>199</v>
      </c>
      <c r="W7" s="927" t="s">
        <v>217</v>
      </c>
      <c r="X7" s="928" t="s">
        <v>201</v>
      </c>
      <c r="Y7" s="928" t="s">
        <v>202</v>
      </c>
      <c r="Z7" s="927" t="s">
        <v>218</v>
      </c>
      <c r="AA7" s="3192"/>
    </row>
    <row r="8" spans="1:52" ht="22.9" customHeight="1">
      <c r="A8" s="930">
        <v>1</v>
      </c>
      <c r="B8" s="895" t="s">
        <v>137</v>
      </c>
      <c r="C8" s="931">
        <f t="shared" ref="C8:AA8" si="0">SUM(C9:C15)</f>
        <v>0</v>
      </c>
      <c r="D8" s="931">
        <f t="shared" si="0"/>
        <v>0</v>
      </c>
      <c r="E8" s="931">
        <f t="shared" si="0"/>
        <v>0</v>
      </c>
      <c r="F8" s="931">
        <f t="shared" si="0"/>
        <v>0</v>
      </c>
      <c r="G8" s="931">
        <f t="shared" si="0"/>
        <v>0</v>
      </c>
      <c r="H8" s="931">
        <f t="shared" si="0"/>
        <v>0</v>
      </c>
      <c r="I8" s="931">
        <f t="shared" si="0"/>
        <v>0</v>
      </c>
      <c r="J8" s="931">
        <f t="shared" si="0"/>
        <v>0</v>
      </c>
      <c r="K8" s="931">
        <f t="shared" si="0"/>
        <v>0</v>
      </c>
      <c r="L8" s="931">
        <f t="shared" si="0"/>
        <v>0</v>
      </c>
      <c r="M8" s="931">
        <f t="shared" si="0"/>
        <v>0</v>
      </c>
      <c r="N8" s="931">
        <f t="shared" si="0"/>
        <v>0</v>
      </c>
      <c r="O8" s="931">
        <f t="shared" si="0"/>
        <v>0</v>
      </c>
      <c r="P8" s="931">
        <f t="shared" si="0"/>
        <v>0</v>
      </c>
      <c r="Q8" s="931">
        <f t="shared" si="0"/>
        <v>0</v>
      </c>
      <c r="R8" s="931">
        <f t="shared" si="0"/>
        <v>0</v>
      </c>
      <c r="S8" s="931">
        <f t="shared" si="0"/>
        <v>0</v>
      </c>
      <c r="T8" s="931">
        <f t="shared" si="0"/>
        <v>0</v>
      </c>
      <c r="U8" s="931">
        <f t="shared" si="0"/>
        <v>0</v>
      </c>
      <c r="V8" s="931">
        <f t="shared" si="0"/>
        <v>0</v>
      </c>
      <c r="W8" s="931">
        <f t="shared" si="0"/>
        <v>0</v>
      </c>
      <c r="X8" s="931">
        <f t="shared" si="0"/>
        <v>0</v>
      </c>
      <c r="Y8" s="931">
        <f t="shared" si="0"/>
        <v>0</v>
      </c>
      <c r="Z8" s="931">
        <f t="shared" si="0"/>
        <v>0</v>
      </c>
      <c r="AA8" s="931">
        <f t="shared" si="0"/>
        <v>0</v>
      </c>
      <c r="AB8" s="932"/>
      <c r="AC8" s="932"/>
      <c r="AD8" s="932"/>
      <c r="AE8" s="932"/>
      <c r="AF8" s="932"/>
      <c r="AG8" s="932"/>
      <c r="AH8" s="932"/>
      <c r="AI8" s="932"/>
      <c r="AJ8" s="932"/>
      <c r="AK8" s="932"/>
      <c r="AL8" s="932"/>
      <c r="AM8" s="932"/>
      <c r="AN8" s="932"/>
      <c r="AO8" s="932"/>
      <c r="AP8" s="932"/>
      <c r="AQ8" s="932"/>
      <c r="AR8" s="932"/>
      <c r="AS8" s="932"/>
      <c r="AT8" s="932"/>
      <c r="AU8" s="932"/>
      <c r="AV8" s="932"/>
      <c r="AW8" s="932"/>
      <c r="AX8" s="932"/>
      <c r="AY8" s="932"/>
      <c r="AZ8" s="932"/>
    </row>
    <row r="9" spans="1:52" ht="22.9" customHeight="1">
      <c r="A9" s="930">
        <v>2</v>
      </c>
      <c r="B9" s="895" t="s">
        <v>375</v>
      </c>
      <c r="C9" s="931"/>
      <c r="D9" s="931"/>
      <c r="E9" s="931">
        <f t="shared" ref="E9:E21" si="1">C9-D9</f>
        <v>0</v>
      </c>
      <c r="F9" s="931"/>
      <c r="G9" s="931"/>
      <c r="H9" s="931">
        <f t="shared" ref="H9:H21" si="2">F9-G9</f>
        <v>0</v>
      </c>
      <c r="I9" s="931"/>
      <c r="J9" s="931"/>
      <c r="K9" s="931">
        <f t="shared" ref="K9:K22" si="3">I9+J9</f>
        <v>0</v>
      </c>
      <c r="L9" s="931"/>
      <c r="M9" s="931"/>
      <c r="N9" s="931">
        <f t="shared" ref="N9:N21" si="4">L9+M9</f>
        <v>0</v>
      </c>
      <c r="O9" s="931"/>
      <c r="P9" s="931"/>
      <c r="Q9" s="931">
        <f t="shared" ref="Q9:Q21" si="5">O9-P9</f>
        <v>0</v>
      </c>
      <c r="R9" s="931"/>
      <c r="S9" s="931"/>
      <c r="T9" s="931">
        <f t="shared" ref="T9:T21" si="6">R9-S9</f>
        <v>0</v>
      </c>
      <c r="U9" s="931"/>
      <c r="V9" s="931"/>
      <c r="W9" s="931">
        <f t="shared" ref="W9:W21" si="7">SUM(U9:V9)</f>
        <v>0</v>
      </c>
      <c r="X9" s="931"/>
      <c r="Y9" s="931"/>
      <c r="Z9" s="931">
        <f t="shared" ref="Z9:Z15" si="8">X9+Y9</f>
        <v>0</v>
      </c>
      <c r="AA9" s="931">
        <f t="shared" ref="AA9:AA15" si="9">E9+K9-N9+Q9+W9-Z9</f>
        <v>0</v>
      </c>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row>
    <row r="10" spans="1:52" ht="22.9" customHeight="1">
      <c r="A10" s="930">
        <v>3</v>
      </c>
      <c r="B10" s="895" t="s">
        <v>376</v>
      </c>
      <c r="C10" s="931"/>
      <c r="D10" s="931"/>
      <c r="E10" s="931">
        <f t="shared" si="1"/>
        <v>0</v>
      </c>
      <c r="F10" s="931"/>
      <c r="G10" s="931"/>
      <c r="H10" s="931">
        <f t="shared" si="2"/>
        <v>0</v>
      </c>
      <c r="I10" s="931"/>
      <c r="J10" s="931"/>
      <c r="K10" s="931">
        <f t="shared" si="3"/>
        <v>0</v>
      </c>
      <c r="L10" s="931"/>
      <c r="M10" s="931"/>
      <c r="N10" s="931">
        <f t="shared" si="4"/>
        <v>0</v>
      </c>
      <c r="O10" s="931"/>
      <c r="P10" s="931"/>
      <c r="Q10" s="931">
        <f t="shared" si="5"/>
        <v>0</v>
      </c>
      <c r="R10" s="931"/>
      <c r="S10" s="931"/>
      <c r="T10" s="931">
        <f t="shared" si="6"/>
        <v>0</v>
      </c>
      <c r="U10" s="931"/>
      <c r="V10" s="931"/>
      <c r="W10" s="931">
        <f t="shared" si="7"/>
        <v>0</v>
      </c>
      <c r="X10" s="931"/>
      <c r="Y10" s="931"/>
      <c r="Z10" s="931">
        <f t="shared" si="8"/>
        <v>0</v>
      </c>
      <c r="AA10" s="931">
        <f t="shared" si="9"/>
        <v>0</v>
      </c>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row>
    <row r="11" spans="1:52" ht="22.9" customHeight="1">
      <c r="A11" s="930">
        <v>4</v>
      </c>
      <c r="B11" s="895" t="s">
        <v>1176</v>
      </c>
      <c r="C11" s="931"/>
      <c r="D11" s="931"/>
      <c r="E11" s="931">
        <f t="shared" si="1"/>
        <v>0</v>
      </c>
      <c r="F11" s="931"/>
      <c r="G11" s="931"/>
      <c r="H11" s="931">
        <f t="shared" si="2"/>
        <v>0</v>
      </c>
      <c r="I11" s="931"/>
      <c r="J11" s="931"/>
      <c r="K11" s="931">
        <f t="shared" si="3"/>
        <v>0</v>
      </c>
      <c r="L11" s="931"/>
      <c r="M11" s="931"/>
      <c r="N11" s="931">
        <f t="shared" si="4"/>
        <v>0</v>
      </c>
      <c r="O11" s="931"/>
      <c r="P11" s="931"/>
      <c r="Q11" s="931">
        <f t="shared" si="5"/>
        <v>0</v>
      </c>
      <c r="R11" s="931">
        <v>0</v>
      </c>
      <c r="S11" s="931">
        <v>0</v>
      </c>
      <c r="T11" s="931">
        <f t="shared" si="6"/>
        <v>0</v>
      </c>
      <c r="U11" s="931"/>
      <c r="V11" s="931"/>
      <c r="W11" s="931">
        <f t="shared" si="7"/>
        <v>0</v>
      </c>
      <c r="X11" s="931"/>
      <c r="Y11" s="931"/>
      <c r="Z11" s="931">
        <f t="shared" si="8"/>
        <v>0</v>
      </c>
      <c r="AA11" s="931">
        <f t="shared" si="9"/>
        <v>0</v>
      </c>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row>
    <row r="12" spans="1:52" ht="22.9" customHeight="1">
      <c r="A12" s="930">
        <v>5</v>
      </c>
      <c r="B12" s="895" t="s">
        <v>377</v>
      </c>
      <c r="C12" s="931">
        <v>0</v>
      </c>
      <c r="D12" s="931">
        <v>0</v>
      </c>
      <c r="E12" s="931">
        <f t="shared" si="1"/>
        <v>0</v>
      </c>
      <c r="F12" s="931">
        <v>0</v>
      </c>
      <c r="G12" s="931"/>
      <c r="H12" s="931">
        <f t="shared" si="2"/>
        <v>0</v>
      </c>
      <c r="I12" s="931">
        <v>0</v>
      </c>
      <c r="J12" s="931">
        <v>0</v>
      </c>
      <c r="K12" s="931">
        <f t="shared" si="3"/>
        <v>0</v>
      </c>
      <c r="L12" s="931">
        <v>0</v>
      </c>
      <c r="M12" s="931">
        <v>0</v>
      </c>
      <c r="N12" s="931">
        <f t="shared" si="4"/>
        <v>0</v>
      </c>
      <c r="O12" s="931"/>
      <c r="P12" s="931"/>
      <c r="Q12" s="931">
        <f t="shared" si="5"/>
        <v>0</v>
      </c>
      <c r="R12" s="931">
        <v>0</v>
      </c>
      <c r="S12" s="931">
        <v>0</v>
      </c>
      <c r="T12" s="931">
        <f t="shared" si="6"/>
        <v>0</v>
      </c>
      <c r="U12" s="931"/>
      <c r="V12" s="931"/>
      <c r="W12" s="931">
        <f t="shared" si="7"/>
        <v>0</v>
      </c>
      <c r="X12" s="931"/>
      <c r="Y12" s="931"/>
      <c r="Z12" s="931">
        <f t="shared" si="8"/>
        <v>0</v>
      </c>
      <c r="AA12" s="931">
        <f t="shared" si="9"/>
        <v>0</v>
      </c>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row>
    <row r="13" spans="1:52" ht="22.9" customHeight="1">
      <c r="A13" s="930">
        <v>6</v>
      </c>
      <c r="B13" s="895" t="s">
        <v>378</v>
      </c>
      <c r="C13" s="931">
        <v>0</v>
      </c>
      <c r="D13" s="931">
        <v>0</v>
      </c>
      <c r="E13" s="931">
        <f t="shared" si="1"/>
        <v>0</v>
      </c>
      <c r="F13" s="931">
        <v>0</v>
      </c>
      <c r="G13" s="931"/>
      <c r="H13" s="931">
        <f t="shared" si="2"/>
        <v>0</v>
      </c>
      <c r="I13" s="931">
        <v>0</v>
      </c>
      <c r="J13" s="931">
        <v>0</v>
      </c>
      <c r="K13" s="931">
        <f t="shared" si="3"/>
        <v>0</v>
      </c>
      <c r="L13" s="931">
        <v>0</v>
      </c>
      <c r="M13" s="931">
        <v>0</v>
      </c>
      <c r="N13" s="931">
        <f t="shared" si="4"/>
        <v>0</v>
      </c>
      <c r="O13" s="931"/>
      <c r="P13" s="931"/>
      <c r="Q13" s="931">
        <f t="shared" si="5"/>
        <v>0</v>
      </c>
      <c r="R13" s="931">
        <v>0</v>
      </c>
      <c r="S13" s="931">
        <v>0</v>
      </c>
      <c r="T13" s="931">
        <f t="shared" si="6"/>
        <v>0</v>
      </c>
      <c r="U13" s="931"/>
      <c r="V13" s="931"/>
      <c r="W13" s="931">
        <f t="shared" si="7"/>
        <v>0</v>
      </c>
      <c r="X13" s="931"/>
      <c r="Y13" s="931"/>
      <c r="Z13" s="931">
        <f t="shared" si="8"/>
        <v>0</v>
      </c>
      <c r="AA13" s="931">
        <f t="shared" si="9"/>
        <v>0</v>
      </c>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row>
    <row r="14" spans="1:52" ht="22.9" customHeight="1">
      <c r="A14" s="930">
        <v>7</v>
      </c>
      <c r="B14" s="895" t="s">
        <v>1034</v>
      </c>
      <c r="C14" s="931"/>
      <c r="D14" s="931"/>
      <c r="E14" s="931">
        <f t="shared" si="1"/>
        <v>0</v>
      </c>
      <c r="F14" s="931"/>
      <c r="G14" s="931"/>
      <c r="H14" s="931">
        <f t="shared" si="2"/>
        <v>0</v>
      </c>
      <c r="I14" s="931"/>
      <c r="J14" s="931"/>
      <c r="K14" s="931">
        <f t="shared" si="3"/>
        <v>0</v>
      </c>
      <c r="L14" s="931"/>
      <c r="M14" s="931"/>
      <c r="N14" s="931">
        <f t="shared" si="4"/>
        <v>0</v>
      </c>
      <c r="O14" s="931"/>
      <c r="P14" s="931"/>
      <c r="Q14" s="931">
        <f t="shared" si="5"/>
        <v>0</v>
      </c>
      <c r="R14" s="931"/>
      <c r="S14" s="931"/>
      <c r="T14" s="931">
        <f t="shared" si="6"/>
        <v>0</v>
      </c>
      <c r="U14" s="931"/>
      <c r="V14" s="931"/>
      <c r="W14" s="931">
        <f>SUM(U14:V14)</f>
        <v>0</v>
      </c>
      <c r="X14" s="931"/>
      <c r="Y14" s="931"/>
      <c r="Z14" s="931">
        <f t="shared" si="8"/>
        <v>0</v>
      </c>
      <c r="AA14" s="931">
        <f t="shared" si="9"/>
        <v>0</v>
      </c>
      <c r="AB14" s="932"/>
      <c r="AC14" s="932"/>
      <c r="AD14" s="932"/>
      <c r="AE14" s="932"/>
      <c r="AF14" s="932"/>
      <c r="AG14" s="932"/>
      <c r="AH14" s="932"/>
      <c r="AI14" s="932"/>
      <c r="AJ14" s="932"/>
      <c r="AK14" s="932"/>
      <c r="AL14" s="932"/>
      <c r="AM14" s="932"/>
      <c r="AN14" s="932"/>
      <c r="AO14" s="932"/>
      <c r="AP14" s="932"/>
      <c r="AQ14" s="932"/>
      <c r="AR14" s="932"/>
      <c r="AS14" s="932"/>
      <c r="AT14" s="932"/>
      <c r="AU14" s="932"/>
      <c r="AV14" s="932"/>
      <c r="AW14" s="932"/>
      <c r="AX14" s="932"/>
      <c r="AY14" s="932"/>
      <c r="AZ14" s="932"/>
    </row>
    <row r="15" spans="1:52" ht="22.9" customHeight="1">
      <c r="A15" s="930">
        <v>8</v>
      </c>
      <c r="B15" s="895" t="s">
        <v>1035</v>
      </c>
      <c r="C15" s="931"/>
      <c r="D15" s="931"/>
      <c r="E15" s="931">
        <f t="shared" si="1"/>
        <v>0</v>
      </c>
      <c r="F15" s="931"/>
      <c r="G15" s="931"/>
      <c r="H15" s="931">
        <f t="shared" si="2"/>
        <v>0</v>
      </c>
      <c r="I15" s="931"/>
      <c r="J15" s="931"/>
      <c r="K15" s="931">
        <f t="shared" si="3"/>
        <v>0</v>
      </c>
      <c r="L15" s="931"/>
      <c r="M15" s="931"/>
      <c r="N15" s="931">
        <f t="shared" si="4"/>
        <v>0</v>
      </c>
      <c r="O15" s="931"/>
      <c r="P15" s="931"/>
      <c r="Q15" s="931">
        <f t="shared" si="5"/>
        <v>0</v>
      </c>
      <c r="R15" s="931"/>
      <c r="S15" s="931"/>
      <c r="T15" s="931">
        <f t="shared" si="6"/>
        <v>0</v>
      </c>
      <c r="U15" s="931"/>
      <c r="V15" s="931"/>
      <c r="W15" s="931">
        <f>SUM(U15:V15)</f>
        <v>0</v>
      </c>
      <c r="X15" s="931"/>
      <c r="Y15" s="931"/>
      <c r="Z15" s="931">
        <f t="shared" si="8"/>
        <v>0</v>
      </c>
      <c r="AA15" s="931">
        <f t="shared" si="9"/>
        <v>0</v>
      </c>
      <c r="AB15" s="932"/>
      <c r="AC15" s="932"/>
      <c r="AD15" s="932"/>
      <c r="AE15" s="932"/>
      <c r="AF15" s="932"/>
      <c r="AG15" s="932"/>
      <c r="AH15" s="932"/>
      <c r="AI15" s="932"/>
      <c r="AJ15" s="932"/>
      <c r="AK15" s="932"/>
      <c r="AL15" s="932"/>
      <c r="AM15" s="932"/>
      <c r="AN15" s="932"/>
      <c r="AO15" s="932"/>
      <c r="AP15" s="932"/>
      <c r="AQ15" s="932"/>
      <c r="AR15" s="932"/>
      <c r="AS15" s="932"/>
      <c r="AT15" s="932"/>
      <c r="AU15" s="932"/>
      <c r="AV15" s="932"/>
      <c r="AW15" s="932"/>
      <c r="AX15" s="932"/>
      <c r="AY15" s="932"/>
      <c r="AZ15" s="932"/>
    </row>
    <row r="16" spans="1:52" ht="22.9" customHeight="1">
      <c r="A16" s="930">
        <v>9</v>
      </c>
      <c r="B16" s="895" t="s">
        <v>143</v>
      </c>
      <c r="C16" s="931">
        <f>SUM(C17:C21)</f>
        <v>0</v>
      </c>
      <c r="D16" s="931">
        <f t="shared" ref="D16:AA16" si="10">SUM(D17:D21)</f>
        <v>0</v>
      </c>
      <c r="E16" s="931">
        <f t="shared" si="10"/>
        <v>0</v>
      </c>
      <c r="F16" s="931">
        <f>SUM(F17:F21)</f>
        <v>0</v>
      </c>
      <c r="G16" s="931">
        <f>SUM(G17:G21)</f>
        <v>0</v>
      </c>
      <c r="H16" s="931">
        <f t="shared" si="10"/>
        <v>0</v>
      </c>
      <c r="I16" s="931">
        <f t="shared" si="10"/>
        <v>0</v>
      </c>
      <c r="J16" s="931">
        <f t="shared" si="10"/>
        <v>0</v>
      </c>
      <c r="K16" s="931">
        <f t="shared" si="10"/>
        <v>0</v>
      </c>
      <c r="L16" s="931">
        <f t="shared" si="10"/>
        <v>0</v>
      </c>
      <c r="M16" s="931">
        <f t="shared" si="10"/>
        <v>0</v>
      </c>
      <c r="N16" s="931">
        <f t="shared" si="10"/>
        <v>0</v>
      </c>
      <c r="O16" s="931">
        <f t="shared" si="10"/>
        <v>0</v>
      </c>
      <c r="P16" s="931">
        <f t="shared" si="10"/>
        <v>0</v>
      </c>
      <c r="Q16" s="931">
        <f t="shared" si="10"/>
        <v>0</v>
      </c>
      <c r="R16" s="931">
        <f t="shared" si="10"/>
        <v>0</v>
      </c>
      <c r="S16" s="931">
        <f t="shared" si="10"/>
        <v>0</v>
      </c>
      <c r="T16" s="931">
        <f t="shared" si="10"/>
        <v>0</v>
      </c>
      <c r="U16" s="931">
        <f t="shared" si="10"/>
        <v>0</v>
      </c>
      <c r="V16" s="931">
        <f t="shared" si="10"/>
        <v>0</v>
      </c>
      <c r="W16" s="931">
        <f t="shared" si="10"/>
        <v>0</v>
      </c>
      <c r="X16" s="931">
        <f t="shared" si="10"/>
        <v>0</v>
      </c>
      <c r="Y16" s="931">
        <f t="shared" si="10"/>
        <v>0</v>
      </c>
      <c r="Z16" s="931">
        <f t="shared" si="10"/>
        <v>0</v>
      </c>
      <c r="AA16" s="931">
        <f t="shared" si="10"/>
        <v>0</v>
      </c>
      <c r="AB16" s="932"/>
      <c r="AC16" s="932"/>
      <c r="AD16" s="932"/>
      <c r="AE16" s="932"/>
      <c r="AF16" s="932"/>
      <c r="AG16" s="932"/>
      <c r="AH16" s="932"/>
      <c r="AI16" s="932"/>
      <c r="AJ16" s="932"/>
      <c r="AK16" s="932"/>
      <c r="AL16" s="932"/>
      <c r="AM16" s="932"/>
      <c r="AN16" s="932"/>
      <c r="AO16" s="932"/>
      <c r="AP16" s="932"/>
      <c r="AQ16" s="932"/>
      <c r="AR16" s="932"/>
      <c r="AS16" s="932"/>
      <c r="AT16" s="932"/>
      <c r="AU16" s="932"/>
      <c r="AV16" s="932"/>
      <c r="AW16" s="932"/>
      <c r="AX16" s="932"/>
      <c r="AY16" s="932"/>
      <c r="AZ16" s="932"/>
    </row>
    <row r="17" spans="1:52" ht="22.9" customHeight="1">
      <c r="A17" s="930">
        <v>10</v>
      </c>
      <c r="B17" s="895" t="s">
        <v>4097</v>
      </c>
      <c r="C17" s="931"/>
      <c r="D17" s="931"/>
      <c r="E17" s="931">
        <f t="shared" si="1"/>
        <v>0</v>
      </c>
      <c r="F17" s="931"/>
      <c r="G17" s="931"/>
      <c r="H17" s="931">
        <f t="shared" si="2"/>
        <v>0</v>
      </c>
      <c r="I17" s="931"/>
      <c r="J17" s="931"/>
      <c r="K17" s="931">
        <f t="shared" si="3"/>
        <v>0</v>
      </c>
      <c r="L17" s="931"/>
      <c r="M17" s="931"/>
      <c r="N17" s="931">
        <f t="shared" si="4"/>
        <v>0</v>
      </c>
      <c r="O17" s="931"/>
      <c r="P17" s="931"/>
      <c r="Q17" s="931">
        <f t="shared" si="5"/>
        <v>0</v>
      </c>
      <c r="R17" s="931">
        <v>0</v>
      </c>
      <c r="S17" s="931">
        <v>0</v>
      </c>
      <c r="T17" s="931">
        <f t="shared" si="6"/>
        <v>0</v>
      </c>
      <c r="U17" s="931"/>
      <c r="V17" s="931"/>
      <c r="W17" s="931">
        <f t="shared" si="7"/>
        <v>0</v>
      </c>
      <c r="X17" s="931"/>
      <c r="Y17" s="931"/>
      <c r="Z17" s="931">
        <f>X17+Y17</f>
        <v>0</v>
      </c>
      <c r="AA17" s="931">
        <f>E17+K17-N17+Q17+W17-Z17</f>
        <v>0</v>
      </c>
      <c r="AB17" s="932"/>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row>
    <row r="18" spans="1:52" ht="22.9" customHeight="1">
      <c r="A18" s="930">
        <v>11</v>
      </c>
      <c r="B18" s="895" t="s">
        <v>4098</v>
      </c>
      <c r="C18" s="931"/>
      <c r="D18" s="931"/>
      <c r="E18" s="931">
        <f t="shared" si="1"/>
        <v>0</v>
      </c>
      <c r="F18" s="931"/>
      <c r="G18" s="931"/>
      <c r="H18" s="931">
        <f t="shared" si="2"/>
        <v>0</v>
      </c>
      <c r="I18" s="931"/>
      <c r="J18" s="931"/>
      <c r="K18" s="931">
        <f t="shared" si="3"/>
        <v>0</v>
      </c>
      <c r="L18" s="931"/>
      <c r="M18" s="931"/>
      <c r="N18" s="931">
        <f t="shared" si="4"/>
        <v>0</v>
      </c>
      <c r="O18" s="931"/>
      <c r="P18" s="931"/>
      <c r="Q18" s="931">
        <f t="shared" si="5"/>
        <v>0</v>
      </c>
      <c r="R18" s="931">
        <v>0</v>
      </c>
      <c r="S18" s="931">
        <v>0</v>
      </c>
      <c r="T18" s="931">
        <f t="shared" si="6"/>
        <v>0</v>
      </c>
      <c r="U18" s="931"/>
      <c r="V18" s="931"/>
      <c r="W18" s="931">
        <f t="shared" si="7"/>
        <v>0</v>
      </c>
      <c r="X18" s="931"/>
      <c r="Y18" s="931"/>
      <c r="Z18" s="931">
        <f>X18+Y18</f>
        <v>0</v>
      </c>
      <c r="AA18" s="931">
        <f>E18+K18-N18+Q18+W18-Z18</f>
        <v>0</v>
      </c>
      <c r="AB18" s="932"/>
      <c r="AC18" s="932"/>
      <c r="AD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row>
    <row r="19" spans="1:52" ht="22.9" customHeight="1">
      <c r="A19" s="930">
        <v>12</v>
      </c>
      <c r="B19" s="895" t="s">
        <v>4099</v>
      </c>
      <c r="C19" s="931"/>
      <c r="D19" s="931"/>
      <c r="E19" s="931">
        <f t="shared" si="1"/>
        <v>0</v>
      </c>
      <c r="F19" s="931"/>
      <c r="G19" s="931"/>
      <c r="H19" s="931">
        <f t="shared" si="2"/>
        <v>0</v>
      </c>
      <c r="I19" s="931"/>
      <c r="J19" s="931"/>
      <c r="K19" s="931">
        <f t="shared" si="3"/>
        <v>0</v>
      </c>
      <c r="L19" s="931"/>
      <c r="M19" s="931"/>
      <c r="N19" s="931">
        <f t="shared" si="4"/>
        <v>0</v>
      </c>
      <c r="O19" s="931"/>
      <c r="P19" s="931"/>
      <c r="Q19" s="931">
        <f t="shared" si="5"/>
        <v>0</v>
      </c>
      <c r="R19" s="931">
        <v>0</v>
      </c>
      <c r="S19" s="931">
        <v>0</v>
      </c>
      <c r="T19" s="931">
        <f t="shared" si="6"/>
        <v>0</v>
      </c>
      <c r="U19" s="931"/>
      <c r="V19" s="931"/>
      <c r="W19" s="931">
        <f t="shared" si="7"/>
        <v>0</v>
      </c>
      <c r="X19" s="931"/>
      <c r="Y19" s="931"/>
      <c r="Z19" s="931">
        <f>X19+Y19</f>
        <v>0</v>
      </c>
      <c r="AA19" s="931">
        <f>E19+K19-N19+Q19+W19-Z19</f>
        <v>0</v>
      </c>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row>
    <row r="20" spans="1:52" ht="22.9" customHeight="1">
      <c r="A20" s="930">
        <v>13</v>
      </c>
      <c r="B20" s="895" t="s">
        <v>4100</v>
      </c>
      <c r="C20" s="931"/>
      <c r="D20" s="931"/>
      <c r="E20" s="931">
        <f t="shared" si="1"/>
        <v>0</v>
      </c>
      <c r="F20" s="931">
        <v>0</v>
      </c>
      <c r="G20" s="931"/>
      <c r="H20" s="931">
        <f t="shared" si="2"/>
        <v>0</v>
      </c>
      <c r="I20" s="931"/>
      <c r="J20" s="931"/>
      <c r="K20" s="931">
        <f t="shared" si="3"/>
        <v>0</v>
      </c>
      <c r="L20" s="931"/>
      <c r="M20" s="931"/>
      <c r="N20" s="931">
        <f t="shared" si="4"/>
        <v>0</v>
      </c>
      <c r="O20" s="931"/>
      <c r="P20" s="931"/>
      <c r="Q20" s="931">
        <f t="shared" si="5"/>
        <v>0</v>
      </c>
      <c r="R20" s="931">
        <v>0</v>
      </c>
      <c r="S20" s="931">
        <v>0</v>
      </c>
      <c r="T20" s="931">
        <f t="shared" si="6"/>
        <v>0</v>
      </c>
      <c r="U20" s="931"/>
      <c r="V20" s="931"/>
      <c r="W20" s="931">
        <f t="shared" si="7"/>
        <v>0</v>
      </c>
      <c r="X20" s="931"/>
      <c r="Y20" s="931"/>
      <c r="Z20" s="931">
        <f>X20+Y20</f>
        <v>0</v>
      </c>
      <c r="AA20" s="931">
        <f>E20+K20-N20+Q20+W20-Z20</f>
        <v>0</v>
      </c>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row>
    <row r="21" spans="1:52" ht="22.9" customHeight="1">
      <c r="A21" s="930">
        <v>14</v>
      </c>
      <c r="B21" s="895" t="s">
        <v>4101</v>
      </c>
      <c r="C21" s="931"/>
      <c r="D21" s="931"/>
      <c r="E21" s="931">
        <f t="shared" si="1"/>
        <v>0</v>
      </c>
      <c r="F21" s="931">
        <v>0</v>
      </c>
      <c r="G21" s="931"/>
      <c r="H21" s="931">
        <f t="shared" si="2"/>
        <v>0</v>
      </c>
      <c r="I21" s="931"/>
      <c r="J21" s="931"/>
      <c r="K21" s="931">
        <f t="shared" si="3"/>
        <v>0</v>
      </c>
      <c r="L21" s="931"/>
      <c r="M21" s="931"/>
      <c r="N21" s="931">
        <f t="shared" si="4"/>
        <v>0</v>
      </c>
      <c r="O21" s="931"/>
      <c r="P21" s="931"/>
      <c r="Q21" s="931">
        <f t="shared" si="5"/>
        <v>0</v>
      </c>
      <c r="R21" s="931">
        <v>0</v>
      </c>
      <c r="S21" s="931">
        <v>0</v>
      </c>
      <c r="T21" s="931">
        <f t="shared" si="6"/>
        <v>0</v>
      </c>
      <c r="U21" s="931"/>
      <c r="V21" s="931"/>
      <c r="W21" s="931">
        <f t="shared" si="7"/>
        <v>0</v>
      </c>
      <c r="X21" s="931"/>
      <c r="Y21" s="931"/>
      <c r="Z21" s="931">
        <f>X21+Y21</f>
        <v>0</v>
      </c>
      <c r="AA21" s="931">
        <f>E21+K21-N21+Q21+W21-Z21</f>
        <v>0</v>
      </c>
      <c r="AB21" s="932"/>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row>
    <row r="22" spans="1:52" ht="22.9" customHeight="1">
      <c r="A22" s="930">
        <v>15</v>
      </c>
      <c r="B22" s="902" t="s">
        <v>379</v>
      </c>
      <c r="C22" s="931">
        <f t="shared" ref="C22:J22" si="11">C8+C16</f>
        <v>0</v>
      </c>
      <c r="D22" s="931">
        <f t="shared" si="11"/>
        <v>0</v>
      </c>
      <c r="E22" s="931">
        <f t="shared" si="11"/>
        <v>0</v>
      </c>
      <c r="F22" s="931">
        <f>F8+F16</f>
        <v>0</v>
      </c>
      <c r="G22" s="931">
        <f>G8+G16</f>
        <v>0</v>
      </c>
      <c r="H22" s="931">
        <f t="shared" si="11"/>
        <v>0</v>
      </c>
      <c r="I22" s="931">
        <f t="shared" si="11"/>
        <v>0</v>
      </c>
      <c r="J22" s="931">
        <f t="shared" si="11"/>
        <v>0</v>
      </c>
      <c r="K22" s="931">
        <f t="shared" si="3"/>
        <v>0</v>
      </c>
      <c r="L22" s="931">
        <f t="shared" ref="L22:AA22" si="12">L8+L16</f>
        <v>0</v>
      </c>
      <c r="M22" s="931">
        <f t="shared" si="12"/>
        <v>0</v>
      </c>
      <c r="N22" s="931">
        <f t="shared" si="12"/>
        <v>0</v>
      </c>
      <c r="O22" s="931">
        <f t="shared" si="12"/>
        <v>0</v>
      </c>
      <c r="P22" s="931">
        <f t="shared" si="12"/>
        <v>0</v>
      </c>
      <c r="Q22" s="931">
        <f t="shared" si="12"/>
        <v>0</v>
      </c>
      <c r="R22" s="931">
        <f t="shared" si="12"/>
        <v>0</v>
      </c>
      <c r="S22" s="931">
        <f t="shared" si="12"/>
        <v>0</v>
      </c>
      <c r="T22" s="931">
        <f t="shared" si="12"/>
        <v>0</v>
      </c>
      <c r="U22" s="931">
        <f t="shared" si="12"/>
        <v>0</v>
      </c>
      <c r="V22" s="931">
        <f t="shared" si="12"/>
        <v>0</v>
      </c>
      <c r="W22" s="931">
        <f t="shared" si="12"/>
        <v>0</v>
      </c>
      <c r="X22" s="931">
        <f t="shared" si="12"/>
        <v>0</v>
      </c>
      <c r="Y22" s="931">
        <f t="shared" si="12"/>
        <v>0</v>
      </c>
      <c r="Z22" s="931">
        <f t="shared" si="12"/>
        <v>0</v>
      </c>
      <c r="AA22" s="931">
        <f t="shared" si="12"/>
        <v>0</v>
      </c>
      <c r="AB22" s="932"/>
      <c r="AC22" s="932"/>
      <c r="AD22" s="932"/>
      <c r="AE22" s="932"/>
      <c r="AF22" s="932"/>
      <c r="AG22" s="932"/>
      <c r="AH22" s="932"/>
      <c r="AI22" s="932"/>
      <c r="AJ22" s="932"/>
      <c r="AK22" s="932"/>
      <c r="AL22" s="932"/>
      <c r="AM22" s="932"/>
      <c r="AN22" s="932"/>
      <c r="AO22" s="932"/>
      <c r="AP22" s="932"/>
      <c r="AQ22" s="932"/>
      <c r="AR22" s="932"/>
      <c r="AS22" s="932"/>
      <c r="AT22" s="932"/>
      <c r="AU22" s="932"/>
      <c r="AV22" s="932"/>
      <c r="AW22" s="932"/>
      <c r="AX22" s="932"/>
      <c r="AY22" s="932"/>
      <c r="AZ22" s="932"/>
    </row>
    <row r="23" spans="1:52">
      <c r="A23" s="46" t="s">
        <v>381</v>
      </c>
      <c r="B23" s="933"/>
      <c r="C23" s="933"/>
      <c r="D23" s="933"/>
      <c r="E23" s="933"/>
      <c r="F23" s="933"/>
      <c r="G23" s="933"/>
      <c r="H23" s="933"/>
      <c r="I23" s="933"/>
      <c r="J23" s="933"/>
      <c r="K23" s="933"/>
      <c r="L23" s="933"/>
      <c r="M23" s="933"/>
      <c r="S23" s="934"/>
    </row>
    <row r="24" spans="1:52">
      <c r="A24" s="935">
        <v>1</v>
      </c>
      <c r="B24" s="3190" t="s">
        <v>568</v>
      </c>
      <c r="C24" s="3190"/>
      <c r="D24" s="3190"/>
      <c r="E24" s="3190"/>
      <c r="F24" s="3190"/>
      <c r="G24" s="3190"/>
      <c r="H24" s="3190"/>
      <c r="I24" s="3190"/>
      <c r="J24" s="3190"/>
      <c r="K24" s="3190"/>
      <c r="L24" s="3190"/>
      <c r="M24" s="3190"/>
      <c r="N24" s="3190"/>
      <c r="O24" s="3190"/>
      <c r="P24" s="3190"/>
      <c r="Q24" s="3190"/>
      <c r="R24" s="3190"/>
      <c r="S24" s="3190"/>
      <c r="T24" s="3190"/>
      <c r="U24" s="3190"/>
      <c r="V24" s="3190"/>
      <c r="W24" s="3190"/>
    </row>
    <row r="25" spans="1:52">
      <c r="A25" s="935">
        <v>2</v>
      </c>
      <c r="B25" s="47" t="s">
        <v>145</v>
      </c>
    </row>
    <row r="26" spans="1:52">
      <c r="A26" s="935">
        <v>3</v>
      </c>
      <c r="B26" s="47" t="s">
        <v>298</v>
      </c>
    </row>
    <row r="27" spans="1:52">
      <c r="A27" s="936">
        <v>4</v>
      </c>
      <c r="B27" s="908" t="s">
        <v>1042</v>
      </c>
    </row>
    <row r="28" spans="1:52">
      <c r="A28" s="935">
        <v>5</v>
      </c>
      <c r="B28" s="50" t="s">
        <v>1033</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2"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Normal="85" zoomScaleSheetLayoutView="100" workbookViewId="0">
      <pane xSplit="2" ySplit="5" topLeftCell="C6" activePane="bottomRight" state="frozen"/>
      <selection pane="topRight"/>
      <selection pane="bottomLeft"/>
      <selection pane="bottomRight"/>
    </sheetView>
  </sheetViews>
  <sheetFormatPr defaultColWidth="8" defaultRowHeight="14.25"/>
  <cols>
    <col min="1" max="1" width="3.625" style="45" customWidth="1"/>
    <col min="2" max="2" width="24" style="45" customWidth="1"/>
    <col min="3" max="4" width="11.125" style="45" customWidth="1"/>
    <col min="5" max="5" width="7.375" style="45" customWidth="1"/>
    <col min="6" max="6" width="6.125" style="45" customWidth="1"/>
    <col min="7" max="7" width="7.25" style="45" customWidth="1"/>
    <col min="8" max="8" width="10" style="45" customWidth="1"/>
    <col min="9" max="9" width="10.875" style="45" customWidth="1"/>
    <col min="10" max="10" width="8.625" style="45" customWidth="1"/>
    <col min="11" max="11" width="11.125" style="45" customWidth="1"/>
    <col min="12" max="12" width="10.5" style="45" customWidth="1"/>
    <col min="13" max="13" width="13.5" style="45" customWidth="1"/>
    <col min="14" max="14" width="13.125" style="45" customWidth="1"/>
    <col min="15" max="15" width="8.75" style="45" customWidth="1"/>
    <col min="16" max="16" width="9.75" style="45" customWidth="1"/>
    <col min="17" max="17" width="10.375" style="45" customWidth="1"/>
    <col min="18" max="19" width="10" style="45" customWidth="1"/>
    <col min="20" max="20" width="9.875" style="45" customWidth="1"/>
    <col min="21" max="21" width="11.125" style="45" customWidth="1"/>
    <col min="22" max="22" width="10.375" style="45" customWidth="1"/>
    <col min="23" max="24" width="8.875" style="45" customWidth="1"/>
    <col min="25" max="25" width="13.125" style="45" customWidth="1"/>
    <col min="26" max="26" width="12.875" style="45" customWidth="1"/>
    <col min="27" max="27" width="10.375" style="45" customWidth="1"/>
    <col min="28" max="28" width="10.625" style="45" customWidth="1"/>
    <col min="29" max="31" width="9.875" style="45" customWidth="1"/>
    <col min="32" max="32" width="9.75" style="45" customWidth="1"/>
    <col min="33" max="16384" width="8" style="45"/>
  </cols>
  <sheetData>
    <row r="1" spans="1:32" ht="16.5">
      <c r="A1" s="2186" t="str">
        <f>+封面!A3&amp;" "&amp;封面!A2</f>
        <v xml:space="preserve"> 中央再保險股份有限公司 年度檢查報表</v>
      </c>
    </row>
    <row r="2" spans="1:32">
      <c r="A2" s="45" t="s">
        <v>630</v>
      </c>
      <c r="AF2" s="286" t="s">
        <v>631</v>
      </c>
    </row>
    <row r="3" spans="1:32" ht="16.5" customHeight="1">
      <c r="A3" s="3163" t="s">
        <v>629</v>
      </c>
      <c r="B3" s="3163" t="s">
        <v>86</v>
      </c>
      <c r="C3" s="3143" t="s">
        <v>632</v>
      </c>
      <c r="D3" s="3146"/>
      <c r="E3" s="3146"/>
      <c r="F3" s="3146"/>
      <c r="G3" s="3146"/>
      <c r="H3" s="3146"/>
      <c r="I3" s="3146"/>
      <c r="J3" s="3146"/>
      <c r="K3" s="3146"/>
      <c r="L3" s="3146"/>
      <c r="M3" s="3146"/>
      <c r="N3" s="3146"/>
      <c r="O3" s="3146"/>
      <c r="P3" s="3146"/>
      <c r="Q3" s="3146"/>
      <c r="R3" s="3146"/>
      <c r="S3" s="3146"/>
      <c r="T3" s="3204" t="s">
        <v>633</v>
      </c>
      <c r="U3" s="3204"/>
      <c r="V3" s="3204"/>
      <c r="W3" s="3204"/>
      <c r="X3" s="3204"/>
      <c r="Y3" s="3204"/>
      <c r="Z3" s="3204"/>
      <c r="AA3" s="3204"/>
      <c r="AB3" s="3204"/>
      <c r="AC3" s="3146" t="s">
        <v>634</v>
      </c>
      <c r="AD3" s="3146"/>
      <c r="AE3" s="3146"/>
      <c r="AF3" s="3147"/>
    </row>
    <row r="4" spans="1:32" ht="71.25">
      <c r="A4" s="3200"/>
      <c r="B4" s="3202"/>
      <c r="C4" s="878" t="s">
        <v>635</v>
      </c>
      <c r="D4" s="879" t="s">
        <v>976</v>
      </c>
      <c r="E4" s="878" t="s">
        <v>636</v>
      </c>
      <c r="F4" s="879" t="s">
        <v>637</v>
      </c>
      <c r="G4" s="878" t="s">
        <v>638</v>
      </c>
      <c r="H4" s="880" t="s">
        <v>983</v>
      </c>
      <c r="I4" s="881" t="s">
        <v>984</v>
      </c>
      <c r="J4" s="882" t="s">
        <v>889</v>
      </c>
      <c r="K4" s="880" t="s">
        <v>985</v>
      </c>
      <c r="L4" s="881" t="s">
        <v>986</v>
      </c>
      <c r="M4" s="880" t="s">
        <v>987</v>
      </c>
      <c r="N4" s="881" t="s">
        <v>988</v>
      </c>
      <c r="O4" s="883" t="s">
        <v>890</v>
      </c>
      <c r="P4" s="881" t="s">
        <v>989</v>
      </c>
      <c r="Q4" s="881" t="s">
        <v>990</v>
      </c>
      <c r="R4" s="881" t="s">
        <v>991</v>
      </c>
      <c r="S4" s="884" t="s">
        <v>992</v>
      </c>
      <c r="T4" s="885" t="s">
        <v>993</v>
      </c>
      <c r="U4" s="885" t="s">
        <v>994</v>
      </c>
      <c r="V4" s="886" t="s">
        <v>891</v>
      </c>
      <c r="W4" s="878" t="s">
        <v>2546</v>
      </c>
      <c r="X4" s="878" t="s">
        <v>892</v>
      </c>
      <c r="Y4" s="887" t="s">
        <v>995</v>
      </c>
      <c r="Z4" s="887" t="s">
        <v>996</v>
      </c>
      <c r="AA4" s="888" t="s">
        <v>997</v>
      </c>
      <c r="AB4" s="888" t="s">
        <v>992</v>
      </c>
      <c r="AC4" s="888" t="s">
        <v>998</v>
      </c>
      <c r="AD4" s="888" t="s">
        <v>999</v>
      </c>
      <c r="AE4" s="888" t="s">
        <v>997</v>
      </c>
      <c r="AF4" s="888" t="s">
        <v>992</v>
      </c>
    </row>
    <row r="5" spans="1:32" s="909" customFormat="1" ht="73.5" customHeight="1">
      <c r="A5" s="3201"/>
      <c r="B5" s="3203"/>
      <c r="C5" s="889" t="s">
        <v>66</v>
      </c>
      <c r="D5" s="889" t="s">
        <v>639</v>
      </c>
      <c r="E5" s="889" t="s">
        <v>640</v>
      </c>
      <c r="F5" s="890" t="s">
        <v>641</v>
      </c>
      <c r="G5" s="889" t="s">
        <v>642</v>
      </c>
      <c r="H5" s="891" t="s">
        <v>893</v>
      </c>
      <c r="I5" s="891" t="s">
        <v>1000</v>
      </c>
      <c r="J5" s="889" t="s">
        <v>1001</v>
      </c>
      <c r="K5" s="891" t="s">
        <v>894</v>
      </c>
      <c r="L5" s="889" t="s">
        <v>1002</v>
      </c>
      <c r="M5" s="891" t="s">
        <v>895</v>
      </c>
      <c r="N5" s="889" t="s">
        <v>1003</v>
      </c>
      <c r="O5" s="892" t="s">
        <v>1004</v>
      </c>
      <c r="P5" s="889" t="s">
        <v>896</v>
      </c>
      <c r="Q5" s="892" t="s">
        <v>1005</v>
      </c>
      <c r="R5" s="889" t="s">
        <v>897</v>
      </c>
      <c r="S5" s="890" t="s">
        <v>1006</v>
      </c>
      <c r="T5" s="891" t="s">
        <v>898</v>
      </c>
      <c r="U5" s="891" t="s">
        <v>1007</v>
      </c>
      <c r="V5" s="891" t="s">
        <v>899</v>
      </c>
      <c r="W5" s="889" t="s">
        <v>1008</v>
      </c>
      <c r="X5" s="891" t="s">
        <v>1009</v>
      </c>
      <c r="Y5" s="891" t="s">
        <v>900</v>
      </c>
      <c r="Z5" s="889" t="s">
        <v>1010</v>
      </c>
      <c r="AA5" s="893" t="s">
        <v>901</v>
      </c>
      <c r="AB5" s="889" t="s">
        <v>1011</v>
      </c>
      <c r="AC5" s="889" t="s">
        <v>902</v>
      </c>
      <c r="AD5" s="889" t="s">
        <v>1012</v>
      </c>
      <c r="AE5" s="889" t="s">
        <v>903</v>
      </c>
      <c r="AF5" s="889" t="s">
        <v>1013</v>
      </c>
    </row>
    <row r="6" spans="1:32" ht="15" customHeight="1">
      <c r="A6" s="910">
        <v>1</v>
      </c>
      <c r="B6" s="911" t="s">
        <v>643</v>
      </c>
      <c r="C6" s="896">
        <f>SUM(C7:C37)</f>
        <v>0</v>
      </c>
      <c r="D6" s="896">
        <f>SUM(D7:D37)</f>
        <v>0</v>
      </c>
      <c r="E6" s="899"/>
      <c r="F6" s="899"/>
      <c r="G6" s="899"/>
      <c r="H6" s="896">
        <f t="shared" ref="H6:W6" si="0">SUM(H7:H37)</f>
        <v>0</v>
      </c>
      <c r="I6" s="896">
        <f t="shared" si="0"/>
        <v>0</v>
      </c>
      <c r="J6" s="896">
        <f t="shared" si="0"/>
        <v>0</v>
      </c>
      <c r="K6" s="896">
        <f t="shared" si="0"/>
        <v>0</v>
      </c>
      <c r="L6" s="896">
        <f t="shared" si="0"/>
        <v>0</v>
      </c>
      <c r="M6" s="896">
        <f t="shared" si="0"/>
        <v>0</v>
      </c>
      <c r="N6" s="896">
        <f t="shared" si="0"/>
        <v>0</v>
      </c>
      <c r="O6" s="896">
        <f t="shared" si="0"/>
        <v>0</v>
      </c>
      <c r="P6" s="896">
        <f t="shared" si="0"/>
        <v>0</v>
      </c>
      <c r="Q6" s="912">
        <f t="shared" si="0"/>
        <v>0</v>
      </c>
      <c r="R6" s="912">
        <f t="shared" si="0"/>
        <v>0</v>
      </c>
      <c r="S6" s="896">
        <f t="shared" si="0"/>
        <v>0</v>
      </c>
      <c r="T6" s="896">
        <f t="shared" si="0"/>
        <v>0</v>
      </c>
      <c r="U6" s="896">
        <f t="shared" si="0"/>
        <v>0</v>
      </c>
      <c r="V6" s="896">
        <f t="shared" si="0"/>
        <v>0</v>
      </c>
      <c r="W6" s="896">
        <f t="shared" si="0"/>
        <v>0</v>
      </c>
      <c r="X6" s="896"/>
      <c r="Y6" s="896">
        <f t="shared" ref="Y6:AF6" si="1">SUM(Y7:Y37)</f>
        <v>0</v>
      </c>
      <c r="Z6" s="896">
        <f t="shared" si="1"/>
        <v>0</v>
      </c>
      <c r="AA6" s="896">
        <f t="shared" si="1"/>
        <v>0</v>
      </c>
      <c r="AB6" s="896">
        <f t="shared" si="1"/>
        <v>0</v>
      </c>
      <c r="AC6" s="896">
        <f t="shared" si="1"/>
        <v>0</v>
      </c>
      <c r="AD6" s="896">
        <f t="shared" si="1"/>
        <v>0</v>
      </c>
      <c r="AE6" s="896">
        <f t="shared" si="1"/>
        <v>0</v>
      </c>
      <c r="AF6" s="2179">
        <f t="shared" si="1"/>
        <v>0</v>
      </c>
    </row>
    <row r="7" spans="1:32">
      <c r="A7" s="910">
        <f>A6+1</f>
        <v>2</v>
      </c>
      <c r="B7" s="911" t="s">
        <v>644</v>
      </c>
      <c r="C7" s="896"/>
      <c r="D7" s="896"/>
      <c r="E7" s="899"/>
      <c r="F7" s="899"/>
      <c r="G7" s="899">
        <f t="shared" ref="G7:G19" si="2">E7-F7</f>
        <v>0</v>
      </c>
      <c r="H7" s="896"/>
      <c r="I7" s="896"/>
      <c r="J7" s="896"/>
      <c r="K7" s="896"/>
      <c r="L7" s="896"/>
      <c r="M7" s="896"/>
      <c r="N7" s="896"/>
      <c r="O7" s="896"/>
      <c r="P7" s="896"/>
      <c r="Q7" s="896"/>
      <c r="R7" s="896"/>
      <c r="S7" s="896"/>
      <c r="T7" s="896"/>
      <c r="U7" s="896"/>
      <c r="V7" s="896"/>
      <c r="W7" s="896"/>
      <c r="X7" s="896"/>
      <c r="Y7" s="896"/>
      <c r="Z7" s="896"/>
      <c r="AA7" s="896">
        <f>T7-Y7</f>
        <v>0</v>
      </c>
      <c r="AB7" s="896">
        <f>U7+W7-Z7</f>
        <v>0</v>
      </c>
      <c r="AC7" s="896">
        <f>P7-Y7</f>
        <v>0</v>
      </c>
      <c r="AD7" s="896">
        <f>Q7+W7-Z7</f>
        <v>0</v>
      </c>
      <c r="AE7" s="896">
        <f>R7+AA7</f>
        <v>0</v>
      </c>
      <c r="AF7" s="896">
        <f>S7+AB7</f>
        <v>0</v>
      </c>
    </row>
    <row r="8" spans="1:32">
      <c r="A8" s="910">
        <f t="shared" ref="A8:A47" si="3">A7+1</f>
        <v>3</v>
      </c>
      <c r="B8" s="913" t="s">
        <v>645</v>
      </c>
      <c r="C8" s="896"/>
      <c r="D8" s="896"/>
      <c r="E8" s="899"/>
      <c r="F8" s="899"/>
      <c r="G8" s="899">
        <f t="shared" si="2"/>
        <v>0</v>
      </c>
      <c r="H8" s="896"/>
      <c r="I8" s="896"/>
      <c r="J8" s="896"/>
      <c r="K8" s="896"/>
      <c r="L8" s="896"/>
      <c r="M8" s="896"/>
      <c r="N8" s="896"/>
      <c r="O8" s="896"/>
      <c r="P8" s="896"/>
      <c r="Q8" s="896"/>
      <c r="R8" s="896"/>
      <c r="S8" s="896"/>
      <c r="T8" s="896"/>
      <c r="U8" s="896"/>
      <c r="V8" s="896"/>
      <c r="W8" s="896"/>
      <c r="X8" s="896"/>
      <c r="Y8" s="896"/>
      <c r="Z8" s="896"/>
      <c r="AA8" s="896">
        <f t="shared" ref="AA8:AA46" si="4">T8-Y8</f>
        <v>0</v>
      </c>
      <c r="AB8" s="896">
        <f t="shared" ref="AB8:AB46" si="5">U8+W8-Z8</f>
        <v>0</v>
      </c>
      <c r="AC8" s="896">
        <f t="shared" ref="AC8:AC46" si="6">P8-Y8</f>
        <v>0</v>
      </c>
      <c r="AD8" s="896">
        <f t="shared" ref="AD8:AD46" si="7">Q8+W8-Z8</f>
        <v>0</v>
      </c>
      <c r="AE8" s="896">
        <f>R8+AA8</f>
        <v>0</v>
      </c>
      <c r="AF8" s="896">
        <f>S8+AB8</f>
        <v>0</v>
      </c>
    </row>
    <row r="9" spans="1:32">
      <c r="A9" s="910">
        <f t="shared" si="3"/>
        <v>4</v>
      </c>
      <c r="B9" s="913" t="s">
        <v>646</v>
      </c>
      <c r="C9" s="896"/>
      <c r="D9" s="896"/>
      <c r="E9" s="899"/>
      <c r="F9" s="899"/>
      <c r="G9" s="899">
        <f t="shared" si="2"/>
        <v>0</v>
      </c>
      <c r="H9" s="896"/>
      <c r="I9" s="896"/>
      <c r="J9" s="896"/>
      <c r="K9" s="896"/>
      <c r="L9" s="896"/>
      <c r="M9" s="896"/>
      <c r="N9" s="896"/>
      <c r="O9" s="896"/>
      <c r="P9" s="896"/>
      <c r="Q9" s="896"/>
      <c r="R9" s="896"/>
      <c r="S9" s="896"/>
      <c r="T9" s="896"/>
      <c r="U9" s="896"/>
      <c r="V9" s="896"/>
      <c r="W9" s="896"/>
      <c r="X9" s="896"/>
      <c r="Y9" s="896"/>
      <c r="Z9" s="896"/>
      <c r="AA9" s="896">
        <f t="shared" si="4"/>
        <v>0</v>
      </c>
      <c r="AB9" s="896">
        <f t="shared" si="5"/>
        <v>0</v>
      </c>
      <c r="AC9" s="896">
        <f t="shared" si="6"/>
        <v>0</v>
      </c>
      <c r="AD9" s="896">
        <f t="shared" si="7"/>
        <v>0</v>
      </c>
      <c r="AE9" s="896">
        <f t="shared" ref="AE9:AE46" si="8">R9+AA9</f>
        <v>0</v>
      </c>
      <c r="AF9" s="896">
        <f t="shared" ref="AF9:AF46" si="9">S9+AB9</f>
        <v>0</v>
      </c>
    </row>
    <row r="10" spans="1:32" ht="17.649999999999999" customHeight="1">
      <c r="A10" s="910">
        <f t="shared" si="3"/>
        <v>5</v>
      </c>
      <c r="B10" s="913" t="s">
        <v>647</v>
      </c>
      <c r="C10" s="896"/>
      <c r="D10" s="896"/>
      <c r="E10" s="899"/>
      <c r="F10" s="899"/>
      <c r="G10" s="899">
        <f t="shared" si="2"/>
        <v>0</v>
      </c>
      <c r="H10" s="896"/>
      <c r="I10" s="896"/>
      <c r="J10" s="896"/>
      <c r="K10" s="896"/>
      <c r="L10" s="896"/>
      <c r="M10" s="896"/>
      <c r="N10" s="896"/>
      <c r="O10" s="896"/>
      <c r="P10" s="896"/>
      <c r="Q10" s="896"/>
      <c r="R10" s="896"/>
      <c r="S10" s="896"/>
      <c r="T10" s="896"/>
      <c r="U10" s="896"/>
      <c r="V10" s="896"/>
      <c r="W10" s="896"/>
      <c r="X10" s="896"/>
      <c r="Y10" s="896"/>
      <c r="Z10" s="896"/>
      <c r="AA10" s="896">
        <f t="shared" si="4"/>
        <v>0</v>
      </c>
      <c r="AB10" s="896">
        <f t="shared" si="5"/>
        <v>0</v>
      </c>
      <c r="AC10" s="896">
        <f t="shared" si="6"/>
        <v>0</v>
      </c>
      <c r="AD10" s="896">
        <f t="shared" si="7"/>
        <v>0</v>
      </c>
      <c r="AE10" s="896">
        <f t="shared" si="8"/>
        <v>0</v>
      </c>
      <c r="AF10" s="896">
        <f>S10+AB10</f>
        <v>0</v>
      </c>
    </row>
    <row r="11" spans="1:32">
      <c r="A11" s="910">
        <f t="shared" si="3"/>
        <v>6</v>
      </c>
      <c r="B11" s="913" t="s">
        <v>648</v>
      </c>
      <c r="C11" s="896"/>
      <c r="D11" s="896"/>
      <c r="E11" s="899"/>
      <c r="F11" s="899"/>
      <c r="G11" s="899">
        <f t="shared" si="2"/>
        <v>0</v>
      </c>
      <c r="H11" s="896"/>
      <c r="I11" s="896"/>
      <c r="J11" s="896"/>
      <c r="K11" s="896"/>
      <c r="L11" s="896"/>
      <c r="M11" s="896"/>
      <c r="N11" s="896"/>
      <c r="O11" s="896"/>
      <c r="P11" s="896"/>
      <c r="Q11" s="896"/>
      <c r="R11" s="896"/>
      <c r="S11" s="896"/>
      <c r="T11" s="896"/>
      <c r="U11" s="896"/>
      <c r="V11" s="896"/>
      <c r="W11" s="896"/>
      <c r="X11" s="896"/>
      <c r="Y11" s="896"/>
      <c r="Z11" s="896"/>
      <c r="AA11" s="896">
        <f t="shared" si="4"/>
        <v>0</v>
      </c>
      <c r="AB11" s="896">
        <f t="shared" si="5"/>
        <v>0</v>
      </c>
      <c r="AC11" s="896">
        <f t="shared" si="6"/>
        <v>0</v>
      </c>
      <c r="AD11" s="896">
        <f t="shared" si="7"/>
        <v>0</v>
      </c>
      <c r="AE11" s="896">
        <f t="shared" si="8"/>
        <v>0</v>
      </c>
      <c r="AF11" s="896">
        <f t="shared" si="9"/>
        <v>0</v>
      </c>
    </row>
    <row r="12" spans="1:32">
      <c r="A12" s="910">
        <f t="shared" si="3"/>
        <v>7</v>
      </c>
      <c r="B12" s="913" t="s">
        <v>649</v>
      </c>
      <c r="C12" s="896"/>
      <c r="D12" s="896"/>
      <c r="E12" s="899"/>
      <c r="F12" s="899"/>
      <c r="G12" s="899">
        <f t="shared" si="2"/>
        <v>0</v>
      </c>
      <c r="H12" s="896"/>
      <c r="I12" s="896"/>
      <c r="J12" s="896"/>
      <c r="K12" s="896"/>
      <c r="L12" s="896"/>
      <c r="M12" s="896"/>
      <c r="N12" s="896"/>
      <c r="O12" s="896"/>
      <c r="P12" s="896"/>
      <c r="Q12" s="896"/>
      <c r="R12" s="896"/>
      <c r="S12" s="896"/>
      <c r="T12" s="896"/>
      <c r="U12" s="896"/>
      <c r="V12" s="896"/>
      <c r="W12" s="896"/>
      <c r="X12" s="896"/>
      <c r="Y12" s="896"/>
      <c r="Z12" s="896"/>
      <c r="AA12" s="896">
        <f t="shared" si="4"/>
        <v>0</v>
      </c>
      <c r="AB12" s="896">
        <f t="shared" si="5"/>
        <v>0</v>
      </c>
      <c r="AC12" s="896">
        <f t="shared" si="6"/>
        <v>0</v>
      </c>
      <c r="AD12" s="896">
        <f t="shared" si="7"/>
        <v>0</v>
      </c>
      <c r="AE12" s="896">
        <f t="shared" si="8"/>
        <v>0</v>
      </c>
      <c r="AF12" s="896">
        <f t="shared" si="9"/>
        <v>0</v>
      </c>
    </row>
    <row r="13" spans="1:32">
      <c r="A13" s="910">
        <f t="shared" si="3"/>
        <v>8</v>
      </c>
      <c r="B13" s="913" t="s">
        <v>650</v>
      </c>
      <c r="C13" s="896"/>
      <c r="D13" s="896"/>
      <c r="E13" s="899"/>
      <c r="F13" s="899"/>
      <c r="G13" s="899">
        <f t="shared" si="2"/>
        <v>0</v>
      </c>
      <c r="H13" s="896"/>
      <c r="I13" s="896"/>
      <c r="J13" s="896"/>
      <c r="K13" s="896"/>
      <c r="L13" s="896"/>
      <c r="M13" s="896"/>
      <c r="N13" s="896"/>
      <c r="O13" s="896"/>
      <c r="P13" s="896"/>
      <c r="Q13" s="896"/>
      <c r="R13" s="896"/>
      <c r="S13" s="896"/>
      <c r="T13" s="896"/>
      <c r="U13" s="896"/>
      <c r="V13" s="896"/>
      <c r="W13" s="896"/>
      <c r="X13" s="896"/>
      <c r="Y13" s="896"/>
      <c r="Z13" s="896"/>
      <c r="AA13" s="896">
        <f t="shared" si="4"/>
        <v>0</v>
      </c>
      <c r="AB13" s="896">
        <f t="shared" si="5"/>
        <v>0</v>
      </c>
      <c r="AC13" s="896">
        <f t="shared" si="6"/>
        <v>0</v>
      </c>
      <c r="AD13" s="896">
        <f t="shared" si="7"/>
        <v>0</v>
      </c>
      <c r="AE13" s="896">
        <f t="shared" si="8"/>
        <v>0</v>
      </c>
      <c r="AF13" s="896">
        <f t="shared" si="9"/>
        <v>0</v>
      </c>
    </row>
    <row r="14" spans="1:32">
      <c r="A14" s="910">
        <f t="shared" si="3"/>
        <v>9</v>
      </c>
      <c r="B14" s="913" t="s">
        <v>651</v>
      </c>
      <c r="C14" s="896"/>
      <c r="D14" s="896"/>
      <c r="E14" s="899"/>
      <c r="F14" s="899"/>
      <c r="G14" s="899">
        <f t="shared" si="2"/>
        <v>0</v>
      </c>
      <c r="H14" s="896"/>
      <c r="I14" s="896"/>
      <c r="J14" s="896"/>
      <c r="K14" s="896"/>
      <c r="L14" s="896"/>
      <c r="M14" s="896"/>
      <c r="N14" s="896"/>
      <c r="O14" s="896"/>
      <c r="P14" s="896"/>
      <c r="Q14" s="896"/>
      <c r="R14" s="896"/>
      <c r="S14" s="896"/>
      <c r="T14" s="896"/>
      <c r="U14" s="896"/>
      <c r="V14" s="896"/>
      <c r="W14" s="896"/>
      <c r="X14" s="896"/>
      <c r="Y14" s="896"/>
      <c r="Z14" s="896"/>
      <c r="AA14" s="896">
        <f t="shared" si="4"/>
        <v>0</v>
      </c>
      <c r="AB14" s="896">
        <f t="shared" si="5"/>
        <v>0</v>
      </c>
      <c r="AC14" s="896">
        <f t="shared" si="6"/>
        <v>0</v>
      </c>
      <c r="AD14" s="896">
        <f t="shared" si="7"/>
        <v>0</v>
      </c>
      <c r="AE14" s="896">
        <f t="shared" si="8"/>
        <v>0</v>
      </c>
      <c r="AF14" s="896">
        <f t="shared" si="9"/>
        <v>0</v>
      </c>
    </row>
    <row r="15" spans="1:32">
      <c r="A15" s="910">
        <f t="shared" si="3"/>
        <v>10</v>
      </c>
      <c r="B15" s="913" t="s">
        <v>652</v>
      </c>
      <c r="C15" s="896"/>
      <c r="D15" s="896"/>
      <c r="E15" s="899"/>
      <c r="F15" s="899"/>
      <c r="G15" s="899">
        <f t="shared" si="2"/>
        <v>0</v>
      </c>
      <c r="H15" s="896"/>
      <c r="I15" s="896"/>
      <c r="J15" s="896"/>
      <c r="K15" s="896"/>
      <c r="L15" s="896"/>
      <c r="M15" s="896"/>
      <c r="N15" s="896"/>
      <c r="O15" s="896"/>
      <c r="P15" s="896"/>
      <c r="Q15" s="896"/>
      <c r="R15" s="896"/>
      <c r="S15" s="896"/>
      <c r="T15" s="896"/>
      <c r="U15" s="896"/>
      <c r="V15" s="896"/>
      <c r="W15" s="896"/>
      <c r="X15" s="896"/>
      <c r="Y15" s="896"/>
      <c r="Z15" s="896"/>
      <c r="AA15" s="896">
        <f t="shared" si="4"/>
        <v>0</v>
      </c>
      <c r="AB15" s="896">
        <f t="shared" si="5"/>
        <v>0</v>
      </c>
      <c r="AC15" s="896">
        <f t="shared" si="6"/>
        <v>0</v>
      </c>
      <c r="AD15" s="896">
        <f t="shared" si="7"/>
        <v>0</v>
      </c>
      <c r="AE15" s="896">
        <f t="shared" si="8"/>
        <v>0</v>
      </c>
      <c r="AF15" s="896">
        <f t="shared" si="9"/>
        <v>0</v>
      </c>
    </row>
    <row r="16" spans="1:32">
      <c r="A16" s="910">
        <f t="shared" si="3"/>
        <v>11</v>
      </c>
      <c r="B16" s="913" t="s">
        <v>653</v>
      </c>
      <c r="C16" s="896"/>
      <c r="D16" s="896"/>
      <c r="E16" s="899"/>
      <c r="F16" s="899"/>
      <c r="G16" s="899">
        <f t="shared" si="2"/>
        <v>0</v>
      </c>
      <c r="H16" s="896"/>
      <c r="I16" s="896"/>
      <c r="J16" s="896"/>
      <c r="K16" s="896"/>
      <c r="L16" s="896"/>
      <c r="M16" s="896"/>
      <c r="N16" s="896"/>
      <c r="O16" s="896"/>
      <c r="P16" s="896"/>
      <c r="Q16" s="896"/>
      <c r="R16" s="896"/>
      <c r="S16" s="896"/>
      <c r="T16" s="896"/>
      <c r="U16" s="896"/>
      <c r="V16" s="896"/>
      <c r="W16" s="896"/>
      <c r="X16" s="896"/>
      <c r="Y16" s="896"/>
      <c r="Z16" s="896"/>
      <c r="AA16" s="896">
        <f t="shared" si="4"/>
        <v>0</v>
      </c>
      <c r="AB16" s="896">
        <f t="shared" si="5"/>
        <v>0</v>
      </c>
      <c r="AC16" s="896">
        <f t="shared" si="6"/>
        <v>0</v>
      </c>
      <c r="AD16" s="896">
        <f t="shared" si="7"/>
        <v>0</v>
      </c>
      <c r="AE16" s="896">
        <f t="shared" si="8"/>
        <v>0</v>
      </c>
      <c r="AF16" s="896">
        <f t="shared" si="9"/>
        <v>0</v>
      </c>
    </row>
    <row r="17" spans="1:32">
      <c r="A17" s="910">
        <f t="shared" si="3"/>
        <v>12</v>
      </c>
      <c r="B17" s="913" t="s">
        <v>654</v>
      </c>
      <c r="C17" s="896"/>
      <c r="D17" s="896"/>
      <c r="E17" s="899"/>
      <c r="F17" s="899"/>
      <c r="G17" s="899">
        <f t="shared" si="2"/>
        <v>0</v>
      </c>
      <c r="H17" s="896"/>
      <c r="I17" s="896"/>
      <c r="J17" s="896"/>
      <c r="K17" s="896"/>
      <c r="L17" s="896"/>
      <c r="M17" s="896"/>
      <c r="N17" s="896"/>
      <c r="O17" s="896"/>
      <c r="P17" s="896"/>
      <c r="Q17" s="896"/>
      <c r="R17" s="896"/>
      <c r="S17" s="896"/>
      <c r="T17" s="896"/>
      <c r="U17" s="896"/>
      <c r="V17" s="896"/>
      <c r="W17" s="896"/>
      <c r="X17" s="896"/>
      <c r="Y17" s="896"/>
      <c r="Z17" s="896"/>
      <c r="AA17" s="896">
        <f t="shared" si="4"/>
        <v>0</v>
      </c>
      <c r="AB17" s="896">
        <f t="shared" si="5"/>
        <v>0</v>
      </c>
      <c r="AC17" s="896">
        <f t="shared" si="6"/>
        <v>0</v>
      </c>
      <c r="AD17" s="896">
        <f t="shared" si="7"/>
        <v>0</v>
      </c>
      <c r="AE17" s="896">
        <f t="shared" si="8"/>
        <v>0</v>
      </c>
      <c r="AF17" s="896">
        <f t="shared" si="9"/>
        <v>0</v>
      </c>
    </row>
    <row r="18" spans="1:32">
      <c r="A18" s="910">
        <f t="shared" si="3"/>
        <v>13</v>
      </c>
      <c r="B18" s="913" t="s">
        <v>655</v>
      </c>
      <c r="C18" s="896"/>
      <c r="D18" s="896"/>
      <c r="E18" s="899"/>
      <c r="F18" s="899"/>
      <c r="G18" s="899">
        <f t="shared" si="2"/>
        <v>0</v>
      </c>
      <c r="H18" s="896"/>
      <c r="I18" s="896"/>
      <c r="J18" s="896"/>
      <c r="K18" s="896"/>
      <c r="L18" s="896"/>
      <c r="M18" s="896"/>
      <c r="N18" s="896"/>
      <c r="O18" s="896"/>
      <c r="P18" s="896"/>
      <c r="Q18" s="896"/>
      <c r="R18" s="896"/>
      <c r="S18" s="896"/>
      <c r="T18" s="896"/>
      <c r="U18" s="896"/>
      <c r="V18" s="896"/>
      <c r="W18" s="896"/>
      <c r="X18" s="896"/>
      <c r="Y18" s="896"/>
      <c r="Z18" s="896"/>
      <c r="AA18" s="896">
        <f t="shared" si="4"/>
        <v>0</v>
      </c>
      <c r="AB18" s="896">
        <f t="shared" si="5"/>
        <v>0</v>
      </c>
      <c r="AC18" s="896">
        <f t="shared" si="6"/>
        <v>0</v>
      </c>
      <c r="AD18" s="896">
        <f t="shared" si="7"/>
        <v>0</v>
      </c>
      <c r="AE18" s="896">
        <f t="shared" si="8"/>
        <v>0</v>
      </c>
      <c r="AF18" s="896">
        <f t="shared" si="9"/>
        <v>0</v>
      </c>
    </row>
    <row r="19" spans="1:32">
      <c r="A19" s="910">
        <f t="shared" si="3"/>
        <v>14</v>
      </c>
      <c r="B19" s="913" t="s">
        <v>656</v>
      </c>
      <c r="C19" s="896"/>
      <c r="D19" s="896"/>
      <c r="E19" s="899"/>
      <c r="F19" s="899"/>
      <c r="G19" s="899">
        <f t="shared" si="2"/>
        <v>0</v>
      </c>
      <c r="H19" s="896"/>
      <c r="I19" s="896"/>
      <c r="J19" s="896"/>
      <c r="K19" s="896"/>
      <c r="L19" s="896"/>
      <c r="M19" s="896"/>
      <c r="N19" s="896"/>
      <c r="O19" s="896"/>
      <c r="P19" s="896"/>
      <c r="Q19" s="896"/>
      <c r="R19" s="896"/>
      <c r="S19" s="896"/>
      <c r="T19" s="896"/>
      <c r="U19" s="896"/>
      <c r="V19" s="896"/>
      <c r="W19" s="896"/>
      <c r="X19" s="896"/>
      <c r="Y19" s="896"/>
      <c r="Z19" s="896"/>
      <c r="AA19" s="896">
        <f t="shared" si="4"/>
        <v>0</v>
      </c>
      <c r="AB19" s="896">
        <f t="shared" si="5"/>
        <v>0</v>
      </c>
      <c r="AC19" s="896">
        <f t="shared" si="6"/>
        <v>0</v>
      </c>
      <c r="AD19" s="896">
        <f t="shared" si="7"/>
        <v>0</v>
      </c>
      <c r="AE19" s="896">
        <f t="shared" si="8"/>
        <v>0</v>
      </c>
      <c r="AF19" s="896">
        <f t="shared" si="9"/>
        <v>0</v>
      </c>
    </row>
    <row r="20" spans="1:32">
      <c r="A20" s="910">
        <f t="shared" si="3"/>
        <v>15</v>
      </c>
      <c r="B20" s="913" t="s">
        <v>657</v>
      </c>
      <c r="C20" s="896"/>
      <c r="D20" s="896"/>
      <c r="E20" s="2181"/>
      <c r="F20" s="2181"/>
      <c r="G20" s="2181"/>
      <c r="H20" s="914"/>
      <c r="I20" s="914"/>
      <c r="J20" s="914"/>
      <c r="K20" s="914"/>
      <c r="L20" s="914"/>
      <c r="M20" s="914"/>
      <c r="N20" s="914"/>
      <c r="O20" s="914"/>
      <c r="P20" s="896"/>
      <c r="Q20" s="914"/>
      <c r="R20" s="914"/>
      <c r="S20" s="914"/>
      <c r="T20" s="914"/>
      <c r="U20" s="914"/>
      <c r="V20" s="896"/>
      <c r="W20" s="914"/>
      <c r="X20" s="914"/>
      <c r="Y20" s="914"/>
      <c r="Z20" s="914"/>
      <c r="AA20" s="914"/>
      <c r="AB20" s="914"/>
      <c r="AC20" s="896"/>
      <c r="AD20" s="914"/>
      <c r="AE20" s="896"/>
      <c r="AF20" s="914"/>
    </row>
    <row r="21" spans="1:32">
      <c r="A21" s="910">
        <f t="shared" si="3"/>
        <v>16</v>
      </c>
      <c r="B21" s="913" t="s">
        <v>658</v>
      </c>
      <c r="C21" s="896"/>
      <c r="D21" s="896"/>
      <c r="E21" s="2182"/>
      <c r="F21" s="2182"/>
      <c r="G21" s="2182"/>
      <c r="H21" s="914"/>
      <c r="I21" s="914"/>
      <c r="J21" s="914"/>
      <c r="K21" s="914"/>
      <c r="L21" s="914"/>
      <c r="M21" s="914"/>
      <c r="N21" s="914"/>
      <c r="O21" s="914"/>
      <c r="P21" s="896"/>
      <c r="Q21" s="914"/>
      <c r="R21" s="914"/>
      <c r="S21" s="914"/>
      <c r="T21" s="914"/>
      <c r="U21" s="914"/>
      <c r="V21" s="896"/>
      <c r="W21" s="914"/>
      <c r="X21" s="914"/>
      <c r="Y21" s="914"/>
      <c r="Z21" s="914"/>
      <c r="AA21" s="914"/>
      <c r="AB21" s="914"/>
      <c r="AC21" s="896"/>
      <c r="AD21" s="914"/>
      <c r="AE21" s="896"/>
      <c r="AF21" s="914"/>
    </row>
    <row r="22" spans="1:32">
      <c r="A22" s="910">
        <f t="shared" si="3"/>
        <v>17</v>
      </c>
      <c r="B22" s="913" t="s">
        <v>659</v>
      </c>
      <c r="C22" s="896"/>
      <c r="D22" s="896"/>
      <c r="E22" s="2182"/>
      <c r="F22" s="2182"/>
      <c r="G22" s="2182"/>
      <c r="H22" s="914"/>
      <c r="I22" s="914"/>
      <c r="J22" s="914"/>
      <c r="K22" s="914"/>
      <c r="L22" s="914"/>
      <c r="M22" s="914"/>
      <c r="N22" s="914"/>
      <c r="O22" s="914"/>
      <c r="P22" s="896"/>
      <c r="Q22" s="914"/>
      <c r="R22" s="914"/>
      <c r="S22" s="914"/>
      <c r="T22" s="914"/>
      <c r="U22" s="914"/>
      <c r="V22" s="896"/>
      <c r="W22" s="914"/>
      <c r="X22" s="914"/>
      <c r="Y22" s="914"/>
      <c r="Z22" s="914"/>
      <c r="AA22" s="914"/>
      <c r="AB22" s="914"/>
      <c r="AC22" s="896"/>
      <c r="AD22" s="914"/>
      <c r="AE22" s="896"/>
      <c r="AF22" s="914"/>
    </row>
    <row r="23" spans="1:32">
      <c r="A23" s="910">
        <f t="shared" si="3"/>
        <v>18</v>
      </c>
      <c r="B23" s="913" t="s">
        <v>660</v>
      </c>
      <c r="C23" s="896"/>
      <c r="D23" s="896"/>
      <c r="E23" s="899"/>
      <c r="F23" s="899"/>
      <c r="G23" s="899">
        <f t="shared" ref="G23:G30" si="10">E23-F23</f>
        <v>0</v>
      </c>
      <c r="H23" s="896"/>
      <c r="I23" s="896"/>
      <c r="J23" s="896"/>
      <c r="K23" s="896"/>
      <c r="L23" s="896"/>
      <c r="M23" s="896"/>
      <c r="N23" s="896"/>
      <c r="O23" s="896"/>
      <c r="P23" s="896"/>
      <c r="Q23" s="896"/>
      <c r="R23" s="896"/>
      <c r="S23" s="896"/>
      <c r="T23" s="896"/>
      <c r="U23" s="896"/>
      <c r="V23" s="896"/>
      <c r="W23" s="896"/>
      <c r="X23" s="896"/>
      <c r="Y23" s="896"/>
      <c r="Z23" s="896"/>
      <c r="AA23" s="896">
        <f t="shared" si="4"/>
        <v>0</v>
      </c>
      <c r="AB23" s="896">
        <f t="shared" si="5"/>
        <v>0</v>
      </c>
      <c r="AC23" s="896">
        <f t="shared" si="6"/>
        <v>0</v>
      </c>
      <c r="AD23" s="896">
        <f t="shared" si="7"/>
        <v>0</v>
      </c>
      <c r="AE23" s="896">
        <f t="shared" si="8"/>
        <v>0</v>
      </c>
      <c r="AF23" s="896">
        <f t="shared" si="9"/>
        <v>0</v>
      </c>
    </row>
    <row r="24" spans="1:32">
      <c r="A24" s="910">
        <f t="shared" si="3"/>
        <v>19</v>
      </c>
      <c r="B24" s="913" t="s">
        <v>661</v>
      </c>
      <c r="C24" s="896"/>
      <c r="D24" s="896"/>
      <c r="E24" s="899"/>
      <c r="F24" s="899"/>
      <c r="G24" s="899">
        <f t="shared" si="10"/>
        <v>0</v>
      </c>
      <c r="H24" s="896"/>
      <c r="I24" s="896"/>
      <c r="J24" s="896"/>
      <c r="K24" s="896"/>
      <c r="L24" s="896"/>
      <c r="M24" s="896"/>
      <c r="N24" s="896"/>
      <c r="O24" s="896"/>
      <c r="P24" s="896"/>
      <c r="Q24" s="896"/>
      <c r="R24" s="896"/>
      <c r="S24" s="896"/>
      <c r="T24" s="896"/>
      <c r="U24" s="896"/>
      <c r="V24" s="896"/>
      <c r="W24" s="896"/>
      <c r="X24" s="896"/>
      <c r="Y24" s="896"/>
      <c r="Z24" s="896"/>
      <c r="AA24" s="896">
        <f t="shared" si="4"/>
        <v>0</v>
      </c>
      <c r="AB24" s="896">
        <f t="shared" si="5"/>
        <v>0</v>
      </c>
      <c r="AC24" s="896">
        <f t="shared" si="6"/>
        <v>0</v>
      </c>
      <c r="AD24" s="896">
        <f t="shared" si="7"/>
        <v>0</v>
      </c>
      <c r="AE24" s="896">
        <f t="shared" si="8"/>
        <v>0</v>
      </c>
      <c r="AF24" s="896">
        <f t="shared" si="9"/>
        <v>0</v>
      </c>
    </row>
    <row r="25" spans="1:32" ht="14.25" customHeight="1">
      <c r="A25" s="910">
        <f t="shared" si="3"/>
        <v>20</v>
      </c>
      <c r="B25" s="913" t="s">
        <v>662</v>
      </c>
      <c r="C25" s="896"/>
      <c r="D25" s="896"/>
      <c r="E25" s="899"/>
      <c r="F25" s="899"/>
      <c r="G25" s="899">
        <f t="shared" si="10"/>
        <v>0</v>
      </c>
      <c r="H25" s="896"/>
      <c r="I25" s="896"/>
      <c r="J25" s="896"/>
      <c r="K25" s="896"/>
      <c r="L25" s="896"/>
      <c r="M25" s="896"/>
      <c r="N25" s="896"/>
      <c r="O25" s="896"/>
      <c r="P25" s="896"/>
      <c r="Q25" s="896"/>
      <c r="R25" s="896"/>
      <c r="S25" s="896"/>
      <c r="T25" s="896"/>
      <c r="U25" s="896"/>
      <c r="V25" s="896"/>
      <c r="W25" s="896"/>
      <c r="X25" s="896"/>
      <c r="Y25" s="896"/>
      <c r="Z25" s="896"/>
      <c r="AA25" s="896">
        <f t="shared" si="4"/>
        <v>0</v>
      </c>
      <c r="AB25" s="896">
        <f t="shared" si="5"/>
        <v>0</v>
      </c>
      <c r="AC25" s="896">
        <f t="shared" si="6"/>
        <v>0</v>
      </c>
      <c r="AD25" s="896">
        <f t="shared" si="7"/>
        <v>0</v>
      </c>
      <c r="AE25" s="896">
        <f t="shared" si="8"/>
        <v>0</v>
      </c>
      <c r="AF25" s="896">
        <f t="shared" si="9"/>
        <v>0</v>
      </c>
    </row>
    <row r="26" spans="1:32">
      <c r="A26" s="910">
        <f t="shared" si="3"/>
        <v>21</v>
      </c>
      <c r="B26" s="913" t="s">
        <v>663</v>
      </c>
      <c r="C26" s="896"/>
      <c r="D26" s="896"/>
      <c r="E26" s="2181"/>
      <c r="F26" s="2181"/>
      <c r="G26" s="2181"/>
      <c r="H26" s="914"/>
      <c r="I26" s="914"/>
      <c r="J26" s="914"/>
      <c r="K26" s="914"/>
      <c r="L26" s="914"/>
      <c r="M26" s="914"/>
      <c r="N26" s="914"/>
      <c r="O26" s="914"/>
      <c r="P26" s="914"/>
      <c r="Q26" s="914"/>
      <c r="R26" s="914"/>
      <c r="S26" s="914"/>
      <c r="T26" s="914"/>
      <c r="U26" s="914"/>
      <c r="V26" s="896"/>
      <c r="W26" s="914"/>
      <c r="X26" s="914"/>
      <c r="Y26" s="914"/>
      <c r="Z26" s="914"/>
      <c r="AA26" s="914"/>
      <c r="AB26" s="914"/>
      <c r="AC26" s="914"/>
      <c r="AD26" s="896"/>
      <c r="AE26" s="896"/>
      <c r="AF26" s="896"/>
    </row>
    <row r="27" spans="1:32">
      <c r="A27" s="910">
        <f t="shared" si="3"/>
        <v>22</v>
      </c>
      <c r="B27" s="913" t="s">
        <v>664</v>
      </c>
      <c r="C27" s="896"/>
      <c r="D27" s="896"/>
      <c r="E27" s="899"/>
      <c r="F27" s="899"/>
      <c r="G27" s="899">
        <f t="shared" si="10"/>
        <v>0</v>
      </c>
      <c r="H27" s="896"/>
      <c r="I27" s="896"/>
      <c r="J27" s="896"/>
      <c r="K27" s="896"/>
      <c r="L27" s="896"/>
      <c r="M27" s="896"/>
      <c r="N27" s="896"/>
      <c r="O27" s="896"/>
      <c r="P27" s="896"/>
      <c r="Q27" s="896"/>
      <c r="R27" s="896"/>
      <c r="S27" s="896"/>
      <c r="T27" s="896"/>
      <c r="U27" s="896"/>
      <c r="V27" s="896"/>
      <c r="W27" s="896"/>
      <c r="X27" s="896"/>
      <c r="Y27" s="896"/>
      <c r="Z27" s="896"/>
      <c r="AA27" s="896">
        <f t="shared" si="4"/>
        <v>0</v>
      </c>
      <c r="AB27" s="896">
        <f t="shared" si="5"/>
        <v>0</v>
      </c>
      <c r="AC27" s="896">
        <f t="shared" si="6"/>
        <v>0</v>
      </c>
      <c r="AD27" s="896">
        <f t="shared" si="7"/>
        <v>0</v>
      </c>
      <c r="AE27" s="896">
        <f t="shared" si="8"/>
        <v>0</v>
      </c>
      <c r="AF27" s="896">
        <f t="shared" si="9"/>
        <v>0</v>
      </c>
    </row>
    <row r="28" spans="1:32">
      <c r="A28" s="910">
        <f t="shared" si="3"/>
        <v>23</v>
      </c>
      <c r="B28" s="913" t="s">
        <v>665</v>
      </c>
      <c r="C28" s="896"/>
      <c r="D28" s="896"/>
      <c r="E28" s="899"/>
      <c r="F28" s="899"/>
      <c r="G28" s="899">
        <f t="shared" si="10"/>
        <v>0</v>
      </c>
      <c r="H28" s="896"/>
      <c r="I28" s="896"/>
      <c r="J28" s="896"/>
      <c r="K28" s="896"/>
      <c r="L28" s="896"/>
      <c r="M28" s="896"/>
      <c r="N28" s="896"/>
      <c r="O28" s="896"/>
      <c r="P28" s="896"/>
      <c r="Q28" s="896"/>
      <c r="R28" s="896"/>
      <c r="S28" s="896"/>
      <c r="T28" s="896"/>
      <c r="U28" s="896"/>
      <c r="V28" s="896"/>
      <c r="W28" s="896"/>
      <c r="X28" s="896"/>
      <c r="Y28" s="896"/>
      <c r="Z28" s="896"/>
      <c r="AA28" s="896">
        <f t="shared" si="4"/>
        <v>0</v>
      </c>
      <c r="AB28" s="896">
        <f t="shared" si="5"/>
        <v>0</v>
      </c>
      <c r="AC28" s="896">
        <f t="shared" si="6"/>
        <v>0</v>
      </c>
      <c r="AD28" s="896">
        <f t="shared" si="7"/>
        <v>0</v>
      </c>
      <c r="AE28" s="896">
        <f t="shared" si="8"/>
        <v>0</v>
      </c>
      <c r="AF28" s="896">
        <f t="shared" si="9"/>
        <v>0</v>
      </c>
    </row>
    <row r="29" spans="1:32">
      <c r="A29" s="910">
        <f t="shared" si="3"/>
        <v>24</v>
      </c>
      <c r="B29" s="913" t="s">
        <v>666</v>
      </c>
      <c r="C29" s="896"/>
      <c r="D29" s="896"/>
      <c r="E29" s="899"/>
      <c r="F29" s="899"/>
      <c r="G29" s="899">
        <f t="shared" si="10"/>
        <v>0</v>
      </c>
      <c r="H29" s="896"/>
      <c r="I29" s="896"/>
      <c r="J29" s="896"/>
      <c r="K29" s="896"/>
      <c r="L29" s="896"/>
      <c r="M29" s="896"/>
      <c r="N29" s="896"/>
      <c r="O29" s="896"/>
      <c r="P29" s="896"/>
      <c r="Q29" s="896"/>
      <c r="R29" s="896"/>
      <c r="S29" s="896"/>
      <c r="T29" s="896"/>
      <c r="U29" s="896"/>
      <c r="V29" s="896"/>
      <c r="W29" s="896"/>
      <c r="X29" s="896"/>
      <c r="Y29" s="896"/>
      <c r="Z29" s="896"/>
      <c r="AA29" s="896">
        <f t="shared" si="4"/>
        <v>0</v>
      </c>
      <c r="AB29" s="896">
        <f t="shared" si="5"/>
        <v>0</v>
      </c>
      <c r="AC29" s="896">
        <f t="shared" si="6"/>
        <v>0</v>
      </c>
      <c r="AD29" s="896">
        <f t="shared" si="7"/>
        <v>0</v>
      </c>
      <c r="AE29" s="896">
        <f t="shared" si="8"/>
        <v>0</v>
      </c>
      <c r="AF29" s="896">
        <f t="shared" si="9"/>
        <v>0</v>
      </c>
    </row>
    <row r="30" spans="1:32">
      <c r="A30" s="910">
        <f t="shared" si="3"/>
        <v>25</v>
      </c>
      <c r="B30" s="913" t="s">
        <v>667</v>
      </c>
      <c r="C30" s="896"/>
      <c r="D30" s="896"/>
      <c r="E30" s="899"/>
      <c r="F30" s="899"/>
      <c r="G30" s="899">
        <f t="shared" si="10"/>
        <v>0</v>
      </c>
      <c r="H30" s="896"/>
      <c r="I30" s="896"/>
      <c r="J30" s="896"/>
      <c r="K30" s="896"/>
      <c r="L30" s="896"/>
      <c r="M30" s="896"/>
      <c r="N30" s="896"/>
      <c r="O30" s="896"/>
      <c r="P30" s="896"/>
      <c r="Q30" s="896"/>
      <c r="R30" s="896"/>
      <c r="S30" s="896"/>
      <c r="T30" s="896"/>
      <c r="U30" s="896"/>
      <c r="V30" s="896"/>
      <c r="W30" s="896"/>
      <c r="X30" s="896"/>
      <c r="Y30" s="896"/>
      <c r="Z30" s="896"/>
      <c r="AA30" s="896">
        <f t="shared" si="4"/>
        <v>0</v>
      </c>
      <c r="AB30" s="896">
        <f t="shared" si="5"/>
        <v>0</v>
      </c>
      <c r="AC30" s="896">
        <f t="shared" si="6"/>
        <v>0</v>
      </c>
      <c r="AD30" s="896">
        <f t="shared" si="7"/>
        <v>0</v>
      </c>
      <c r="AE30" s="896">
        <f t="shared" si="8"/>
        <v>0</v>
      </c>
      <c r="AF30" s="896">
        <f t="shared" si="9"/>
        <v>0</v>
      </c>
    </row>
    <row r="31" spans="1:32">
      <c r="A31" s="910">
        <f t="shared" si="3"/>
        <v>26</v>
      </c>
      <c r="B31" s="915" t="s">
        <v>668</v>
      </c>
      <c r="C31" s="896"/>
      <c r="D31" s="896"/>
      <c r="E31" s="899"/>
      <c r="F31" s="899"/>
      <c r="G31" s="899">
        <v>-0.153</v>
      </c>
      <c r="H31" s="896"/>
      <c r="I31" s="896"/>
      <c r="J31" s="896"/>
      <c r="K31" s="896"/>
      <c r="L31" s="896"/>
      <c r="M31" s="896"/>
      <c r="N31" s="896"/>
      <c r="O31" s="896"/>
      <c r="P31" s="896"/>
      <c r="Q31" s="896"/>
      <c r="R31" s="896"/>
      <c r="S31" s="896"/>
      <c r="T31" s="896"/>
      <c r="U31" s="896"/>
      <c r="V31" s="896"/>
      <c r="W31" s="896"/>
      <c r="X31" s="896"/>
      <c r="Y31" s="896"/>
      <c r="Z31" s="896"/>
      <c r="AA31" s="896">
        <f t="shared" si="4"/>
        <v>0</v>
      </c>
      <c r="AB31" s="896">
        <f t="shared" si="5"/>
        <v>0</v>
      </c>
      <c r="AC31" s="896">
        <f t="shared" si="6"/>
        <v>0</v>
      </c>
      <c r="AD31" s="896">
        <f t="shared" si="7"/>
        <v>0</v>
      </c>
      <c r="AE31" s="896">
        <f t="shared" si="8"/>
        <v>0</v>
      </c>
      <c r="AF31" s="896">
        <f t="shared" si="9"/>
        <v>0</v>
      </c>
    </row>
    <row r="32" spans="1:32">
      <c r="A32" s="910">
        <f t="shared" si="3"/>
        <v>27</v>
      </c>
      <c r="B32" s="913" t="s">
        <v>669</v>
      </c>
      <c r="C32" s="896"/>
      <c r="D32" s="896"/>
      <c r="E32" s="899"/>
      <c r="F32" s="899"/>
      <c r="G32" s="899">
        <f>E32-F32</f>
        <v>0</v>
      </c>
      <c r="H32" s="896"/>
      <c r="I32" s="896"/>
      <c r="J32" s="896"/>
      <c r="K32" s="896"/>
      <c r="L32" s="896"/>
      <c r="M32" s="896"/>
      <c r="N32" s="896"/>
      <c r="O32" s="896"/>
      <c r="P32" s="896"/>
      <c r="Q32" s="896"/>
      <c r="R32" s="896"/>
      <c r="S32" s="896"/>
      <c r="T32" s="896"/>
      <c r="U32" s="896"/>
      <c r="V32" s="896"/>
      <c r="W32" s="896"/>
      <c r="X32" s="896"/>
      <c r="Y32" s="896"/>
      <c r="Z32" s="896"/>
      <c r="AA32" s="896">
        <f t="shared" si="4"/>
        <v>0</v>
      </c>
      <c r="AB32" s="896">
        <f t="shared" si="5"/>
        <v>0</v>
      </c>
      <c r="AC32" s="896">
        <f t="shared" si="6"/>
        <v>0</v>
      </c>
      <c r="AD32" s="896">
        <f t="shared" si="7"/>
        <v>0</v>
      </c>
      <c r="AE32" s="896">
        <f t="shared" si="8"/>
        <v>0</v>
      </c>
      <c r="AF32" s="896">
        <f t="shared" si="9"/>
        <v>0</v>
      </c>
    </row>
    <row r="33" spans="1:32">
      <c r="A33" s="910">
        <f t="shared" si="3"/>
        <v>28</v>
      </c>
      <c r="B33" s="913" t="s">
        <v>670</v>
      </c>
      <c r="C33" s="896"/>
      <c r="D33" s="896"/>
      <c r="E33" s="899"/>
      <c r="F33" s="899"/>
      <c r="G33" s="899">
        <f>E33-F33</f>
        <v>0</v>
      </c>
      <c r="H33" s="896"/>
      <c r="I33" s="896"/>
      <c r="J33" s="896"/>
      <c r="K33" s="896"/>
      <c r="L33" s="896"/>
      <c r="M33" s="896"/>
      <c r="N33" s="896"/>
      <c r="O33" s="896"/>
      <c r="P33" s="896"/>
      <c r="Q33" s="896"/>
      <c r="R33" s="896"/>
      <c r="S33" s="896"/>
      <c r="T33" s="896"/>
      <c r="U33" s="896"/>
      <c r="V33" s="896"/>
      <c r="W33" s="896"/>
      <c r="X33" s="896"/>
      <c r="Y33" s="896"/>
      <c r="Z33" s="896"/>
      <c r="AA33" s="896">
        <f t="shared" si="4"/>
        <v>0</v>
      </c>
      <c r="AB33" s="896">
        <f t="shared" si="5"/>
        <v>0</v>
      </c>
      <c r="AC33" s="896">
        <f t="shared" si="6"/>
        <v>0</v>
      </c>
      <c r="AD33" s="896">
        <f t="shared" si="7"/>
        <v>0</v>
      </c>
      <c r="AE33" s="896">
        <f t="shared" si="8"/>
        <v>0</v>
      </c>
      <c r="AF33" s="896">
        <f t="shared" si="9"/>
        <v>0</v>
      </c>
    </row>
    <row r="34" spans="1:32">
      <c r="A34" s="910">
        <f t="shared" si="3"/>
        <v>29</v>
      </c>
      <c r="B34" s="913" t="s">
        <v>671</v>
      </c>
      <c r="C34" s="896"/>
      <c r="D34" s="896"/>
      <c r="E34" s="899"/>
      <c r="F34" s="899"/>
      <c r="G34" s="899">
        <v>-0.153</v>
      </c>
      <c r="H34" s="896"/>
      <c r="I34" s="896"/>
      <c r="J34" s="896"/>
      <c r="K34" s="896"/>
      <c r="L34" s="896"/>
      <c r="M34" s="896"/>
      <c r="N34" s="896"/>
      <c r="O34" s="896"/>
      <c r="P34" s="896"/>
      <c r="Q34" s="896"/>
      <c r="R34" s="896"/>
      <c r="S34" s="896"/>
      <c r="T34" s="896"/>
      <c r="U34" s="896"/>
      <c r="V34" s="896"/>
      <c r="W34" s="896"/>
      <c r="X34" s="896"/>
      <c r="Y34" s="896"/>
      <c r="Z34" s="896"/>
      <c r="AA34" s="896">
        <f t="shared" si="4"/>
        <v>0</v>
      </c>
      <c r="AB34" s="896">
        <f t="shared" si="5"/>
        <v>0</v>
      </c>
      <c r="AC34" s="896">
        <f t="shared" si="6"/>
        <v>0</v>
      </c>
      <c r="AD34" s="896">
        <f t="shared" si="7"/>
        <v>0</v>
      </c>
      <c r="AE34" s="896">
        <f t="shared" si="8"/>
        <v>0</v>
      </c>
      <c r="AF34" s="896">
        <f t="shared" si="9"/>
        <v>0</v>
      </c>
    </row>
    <row r="35" spans="1:32">
      <c r="A35" s="910">
        <f t="shared" si="3"/>
        <v>30</v>
      </c>
      <c r="B35" s="913" t="s">
        <v>345</v>
      </c>
      <c r="C35" s="896"/>
      <c r="D35" s="896"/>
      <c r="E35" s="2181"/>
      <c r="F35" s="2181"/>
      <c r="G35" s="2181"/>
      <c r="H35" s="914"/>
      <c r="I35" s="914"/>
      <c r="J35" s="914"/>
      <c r="K35" s="914"/>
      <c r="L35" s="914"/>
      <c r="M35" s="914"/>
      <c r="N35" s="914"/>
      <c r="O35" s="914"/>
      <c r="P35" s="914"/>
      <c r="Q35" s="914"/>
      <c r="R35" s="914"/>
      <c r="S35" s="914"/>
      <c r="T35" s="914"/>
      <c r="U35" s="914"/>
      <c r="V35" s="896"/>
      <c r="W35" s="914"/>
      <c r="X35" s="914"/>
      <c r="Y35" s="914"/>
      <c r="Z35" s="914"/>
      <c r="AA35" s="914"/>
      <c r="AB35" s="914"/>
      <c r="AC35" s="914"/>
      <c r="AD35" s="896"/>
      <c r="AE35" s="896"/>
      <c r="AF35" s="896"/>
    </row>
    <row r="36" spans="1:32">
      <c r="A36" s="910">
        <f t="shared" si="3"/>
        <v>31</v>
      </c>
      <c r="B36" s="2176" t="s">
        <v>672</v>
      </c>
      <c r="C36" s="973"/>
      <c r="D36" s="896"/>
      <c r="E36" s="899"/>
      <c r="F36" s="899"/>
      <c r="G36" s="899">
        <f>E36-F36</f>
        <v>0</v>
      </c>
      <c r="H36" s="896"/>
      <c r="I36" s="896"/>
      <c r="J36" s="896"/>
      <c r="K36" s="896"/>
      <c r="L36" s="896"/>
      <c r="M36" s="896"/>
      <c r="N36" s="896"/>
      <c r="O36" s="896"/>
      <c r="P36" s="896"/>
      <c r="Q36" s="896"/>
      <c r="R36" s="896"/>
      <c r="S36" s="896"/>
      <c r="T36" s="896"/>
      <c r="U36" s="896"/>
      <c r="V36" s="896"/>
      <c r="W36" s="896"/>
      <c r="X36" s="896"/>
      <c r="Y36" s="896"/>
      <c r="Z36" s="896"/>
      <c r="AA36" s="896">
        <f t="shared" si="4"/>
        <v>0</v>
      </c>
      <c r="AB36" s="896">
        <f t="shared" si="5"/>
        <v>0</v>
      </c>
      <c r="AC36" s="896">
        <f t="shared" si="6"/>
        <v>0</v>
      </c>
      <c r="AD36" s="896">
        <f t="shared" si="7"/>
        <v>0</v>
      </c>
      <c r="AE36" s="896">
        <f t="shared" si="8"/>
        <v>0</v>
      </c>
      <c r="AF36" s="896">
        <f t="shared" si="9"/>
        <v>0</v>
      </c>
    </row>
    <row r="37" spans="1:32">
      <c r="A37" s="910">
        <f t="shared" si="3"/>
        <v>32</v>
      </c>
      <c r="B37" s="913" t="s">
        <v>4986</v>
      </c>
      <c r="C37" s="896"/>
      <c r="D37" s="896"/>
      <c r="E37" s="2181"/>
      <c r="F37" s="2181"/>
      <c r="G37" s="2181"/>
      <c r="H37" s="914"/>
      <c r="I37" s="914"/>
      <c r="J37" s="914"/>
      <c r="K37" s="914"/>
      <c r="L37" s="914"/>
      <c r="M37" s="914"/>
      <c r="N37" s="914"/>
      <c r="O37" s="914"/>
      <c r="P37" s="896"/>
      <c r="Q37" s="914"/>
      <c r="R37" s="914"/>
      <c r="S37" s="914"/>
      <c r="T37" s="914"/>
      <c r="U37" s="914"/>
      <c r="V37" s="896"/>
      <c r="W37" s="914"/>
      <c r="X37" s="914"/>
      <c r="Y37" s="914"/>
      <c r="Z37" s="914"/>
      <c r="AA37" s="914"/>
      <c r="AB37" s="914"/>
      <c r="AC37" s="896"/>
      <c r="AD37" s="914"/>
      <c r="AE37" s="896"/>
      <c r="AF37" s="914"/>
    </row>
    <row r="38" spans="1:32">
      <c r="A38" s="910">
        <f t="shared" si="3"/>
        <v>33</v>
      </c>
      <c r="B38" s="916" t="s">
        <v>673</v>
      </c>
      <c r="C38" s="896">
        <f>SUM(C39:C46)</f>
        <v>0</v>
      </c>
      <c r="D38" s="896">
        <f>SUM(D39:D46)</f>
        <v>0</v>
      </c>
      <c r="E38" s="899"/>
      <c r="F38" s="899"/>
      <c r="G38" s="899"/>
      <c r="H38" s="896">
        <f t="shared" ref="H38:AF38" si="11">SUM(H39:H46)</f>
        <v>0</v>
      </c>
      <c r="I38" s="896">
        <f t="shared" si="11"/>
        <v>0</v>
      </c>
      <c r="J38" s="896">
        <f t="shared" si="11"/>
        <v>0</v>
      </c>
      <c r="K38" s="896">
        <f t="shared" si="11"/>
        <v>0</v>
      </c>
      <c r="L38" s="896">
        <f t="shared" si="11"/>
        <v>0</v>
      </c>
      <c r="M38" s="896">
        <f t="shared" si="11"/>
        <v>0</v>
      </c>
      <c r="N38" s="896">
        <f t="shared" si="11"/>
        <v>0</v>
      </c>
      <c r="O38" s="896">
        <f t="shared" si="11"/>
        <v>0</v>
      </c>
      <c r="P38" s="896">
        <f t="shared" si="11"/>
        <v>0</v>
      </c>
      <c r="Q38" s="896">
        <f t="shared" si="11"/>
        <v>0</v>
      </c>
      <c r="R38" s="896">
        <f t="shared" si="11"/>
        <v>0</v>
      </c>
      <c r="S38" s="896">
        <f t="shared" si="11"/>
        <v>0</v>
      </c>
      <c r="T38" s="896">
        <f t="shared" si="11"/>
        <v>0</v>
      </c>
      <c r="U38" s="896">
        <f t="shared" si="11"/>
        <v>0</v>
      </c>
      <c r="V38" s="896">
        <f t="shared" si="11"/>
        <v>0</v>
      </c>
      <c r="W38" s="896">
        <f t="shared" si="11"/>
        <v>0</v>
      </c>
      <c r="X38" s="896"/>
      <c r="Y38" s="896">
        <f t="shared" si="11"/>
        <v>0</v>
      </c>
      <c r="Z38" s="896">
        <f t="shared" si="11"/>
        <v>0</v>
      </c>
      <c r="AA38" s="896">
        <f t="shared" si="11"/>
        <v>0</v>
      </c>
      <c r="AB38" s="896">
        <f t="shared" si="11"/>
        <v>0</v>
      </c>
      <c r="AC38" s="896">
        <f t="shared" si="11"/>
        <v>0</v>
      </c>
      <c r="AD38" s="896">
        <f t="shared" si="11"/>
        <v>0</v>
      </c>
      <c r="AE38" s="896">
        <f t="shared" si="11"/>
        <v>0</v>
      </c>
      <c r="AF38" s="896">
        <f t="shared" si="11"/>
        <v>0</v>
      </c>
    </row>
    <row r="39" spans="1:32">
      <c r="A39" s="910">
        <f t="shared" si="3"/>
        <v>34</v>
      </c>
      <c r="B39" s="913" t="s">
        <v>674</v>
      </c>
      <c r="C39" s="896"/>
      <c r="D39" s="896"/>
      <c r="E39" s="899"/>
      <c r="F39" s="899"/>
      <c r="G39" s="899">
        <f t="shared" ref="G39:G46" si="12">E39-F39</f>
        <v>0</v>
      </c>
      <c r="H39" s="896"/>
      <c r="I39" s="896"/>
      <c r="J39" s="896"/>
      <c r="K39" s="896"/>
      <c r="L39" s="896"/>
      <c r="M39" s="896"/>
      <c r="N39" s="896"/>
      <c r="O39" s="896"/>
      <c r="P39" s="896"/>
      <c r="Q39" s="896"/>
      <c r="R39" s="896"/>
      <c r="S39" s="896"/>
      <c r="T39" s="896"/>
      <c r="U39" s="896"/>
      <c r="V39" s="896"/>
      <c r="W39" s="896">
        <f t="shared" ref="W39:W46" si="13">ROUND(V39*0.01,0)</f>
        <v>0</v>
      </c>
      <c r="X39" s="896"/>
      <c r="Y39" s="896"/>
      <c r="Z39" s="896"/>
      <c r="AA39" s="896">
        <f t="shared" si="4"/>
        <v>0</v>
      </c>
      <c r="AB39" s="896">
        <f t="shared" si="5"/>
        <v>0</v>
      </c>
      <c r="AC39" s="896">
        <f t="shared" si="6"/>
        <v>0</v>
      </c>
      <c r="AD39" s="896">
        <f t="shared" si="7"/>
        <v>0</v>
      </c>
      <c r="AE39" s="896">
        <f t="shared" si="8"/>
        <v>0</v>
      </c>
      <c r="AF39" s="896">
        <f t="shared" si="9"/>
        <v>0</v>
      </c>
    </row>
    <row r="40" spans="1:32">
      <c r="A40" s="910">
        <f t="shared" si="3"/>
        <v>35</v>
      </c>
      <c r="B40" s="913" t="s">
        <v>675</v>
      </c>
      <c r="C40" s="896"/>
      <c r="D40" s="896"/>
      <c r="E40" s="899"/>
      <c r="F40" s="899"/>
      <c r="G40" s="899">
        <f t="shared" si="12"/>
        <v>0</v>
      </c>
      <c r="H40" s="896"/>
      <c r="I40" s="896"/>
      <c r="J40" s="896"/>
      <c r="K40" s="896"/>
      <c r="L40" s="896"/>
      <c r="M40" s="896"/>
      <c r="N40" s="896"/>
      <c r="O40" s="896"/>
      <c r="P40" s="896"/>
      <c r="Q40" s="896"/>
      <c r="R40" s="896"/>
      <c r="S40" s="896"/>
      <c r="T40" s="896"/>
      <c r="U40" s="896"/>
      <c r="V40" s="896"/>
      <c r="W40" s="896">
        <f t="shared" si="13"/>
        <v>0</v>
      </c>
      <c r="X40" s="896"/>
      <c r="Y40" s="896"/>
      <c r="Z40" s="896"/>
      <c r="AA40" s="896">
        <f t="shared" si="4"/>
        <v>0</v>
      </c>
      <c r="AB40" s="896">
        <f t="shared" si="5"/>
        <v>0</v>
      </c>
      <c r="AC40" s="896">
        <f t="shared" si="6"/>
        <v>0</v>
      </c>
      <c r="AD40" s="896">
        <f t="shared" si="7"/>
        <v>0</v>
      </c>
      <c r="AE40" s="896">
        <f t="shared" si="8"/>
        <v>0</v>
      </c>
      <c r="AF40" s="896">
        <f t="shared" si="9"/>
        <v>0</v>
      </c>
    </row>
    <row r="41" spans="1:32">
      <c r="A41" s="910">
        <f t="shared" si="3"/>
        <v>36</v>
      </c>
      <c r="B41" s="913" t="s">
        <v>676</v>
      </c>
      <c r="C41" s="896"/>
      <c r="D41" s="896"/>
      <c r="E41" s="899"/>
      <c r="F41" s="899"/>
      <c r="G41" s="899">
        <f t="shared" si="12"/>
        <v>0</v>
      </c>
      <c r="H41" s="896"/>
      <c r="I41" s="896"/>
      <c r="J41" s="896"/>
      <c r="K41" s="896"/>
      <c r="L41" s="896"/>
      <c r="M41" s="896"/>
      <c r="N41" s="896"/>
      <c r="O41" s="896"/>
      <c r="P41" s="896"/>
      <c r="Q41" s="896"/>
      <c r="R41" s="896"/>
      <c r="S41" s="896"/>
      <c r="T41" s="896"/>
      <c r="U41" s="896"/>
      <c r="V41" s="896"/>
      <c r="W41" s="896">
        <f t="shared" si="13"/>
        <v>0</v>
      </c>
      <c r="X41" s="896"/>
      <c r="Y41" s="896"/>
      <c r="Z41" s="896"/>
      <c r="AA41" s="896">
        <f t="shared" si="4"/>
        <v>0</v>
      </c>
      <c r="AB41" s="896">
        <f t="shared" si="5"/>
        <v>0</v>
      </c>
      <c r="AC41" s="896">
        <f t="shared" si="6"/>
        <v>0</v>
      </c>
      <c r="AD41" s="896">
        <f t="shared" si="7"/>
        <v>0</v>
      </c>
      <c r="AE41" s="896">
        <f t="shared" si="8"/>
        <v>0</v>
      </c>
      <c r="AF41" s="896">
        <f t="shared" si="9"/>
        <v>0</v>
      </c>
    </row>
    <row r="42" spans="1:32">
      <c r="A42" s="910">
        <f t="shared" si="3"/>
        <v>37</v>
      </c>
      <c r="B42" s="913" t="s">
        <v>677</v>
      </c>
      <c r="C42" s="896"/>
      <c r="D42" s="896"/>
      <c r="E42" s="899"/>
      <c r="F42" s="899"/>
      <c r="G42" s="899">
        <f t="shared" si="12"/>
        <v>0</v>
      </c>
      <c r="H42" s="896"/>
      <c r="I42" s="896"/>
      <c r="J42" s="896"/>
      <c r="K42" s="896"/>
      <c r="L42" s="896"/>
      <c r="M42" s="896"/>
      <c r="N42" s="896"/>
      <c r="O42" s="896"/>
      <c r="P42" s="896"/>
      <c r="Q42" s="896"/>
      <c r="R42" s="896"/>
      <c r="S42" s="896"/>
      <c r="T42" s="896"/>
      <c r="U42" s="896"/>
      <c r="V42" s="896"/>
      <c r="W42" s="896">
        <f t="shared" si="13"/>
        <v>0</v>
      </c>
      <c r="X42" s="896"/>
      <c r="Y42" s="896"/>
      <c r="Z42" s="896"/>
      <c r="AA42" s="896">
        <f t="shared" si="4"/>
        <v>0</v>
      </c>
      <c r="AB42" s="896">
        <f t="shared" si="5"/>
        <v>0</v>
      </c>
      <c r="AC42" s="896">
        <f t="shared" si="6"/>
        <v>0</v>
      </c>
      <c r="AD42" s="896">
        <f t="shared" si="7"/>
        <v>0</v>
      </c>
      <c r="AE42" s="896">
        <f t="shared" si="8"/>
        <v>0</v>
      </c>
      <c r="AF42" s="896">
        <f t="shared" si="9"/>
        <v>0</v>
      </c>
    </row>
    <row r="43" spans="1:32">
      <c r="A43" s="910">
        <f t="shared" si="3"/>
        <v>38</v>
      </c>
      <c r="B43" s="913" t="s">
        <v>678</v>
      </c>
      <c r="C43" s="896"/>
      <c r="D43" s="896"/>
      <c r="E43" s="899"/>
      <c r="F43" s="899"/>
      <c r="G43" s="899">
        <f t="shared" si="12"/>
        <v>0</v>
      </c>
      <c r="H43" s="896"/>
      <c r="I43" s="896"/>
      <c r="J43" s="896"/>
      <c r="K43" s="896"/>
      <c r="L43" s="896"/>
      <c r="M43" s="896"/>
      <c r="N43" s="896"/>
      <c r="O43" s="896"/>
      <c r="P43" s="896"/>
      <c r="Q43" s="896"/>
      <c r="R43" s="896"/>
      <c r="S43" s="896"/>
      <c r="T43" s="896"/>
      <c r="U43" s="896"/>
      <c r="V43" s="896"/>
      <c r="W43" s="896">
        <f t="shared" si="13"/>
        <v>0</v>
      </c>
      <c r="X43" s="896"/>
      <c r="Y43" s="896"/>
      <c r="Z43" s="896"/>
      <c r="AA43" s="896">
        <f t="shared" si="4"/>
        <v>0</v>
      </c>
      <c r="AB43" s="896">
        <f t="shared" si="5"/>
        <v>0</v>
      </c>
      <c r="AC43" s="896">
        <f t="shared" si="6"/>
        <v>0</v>
      </c>
      <c r="AD43" s="896">
        <f t="shared" si="7"/>
        <v>0</v>
      </c>
      <c r="AE43" s="896">
        <f t="shared" si="8"/>
        <v>0</v>
      </c>
      <c r="AF43" s="896">
        <f t="shared" si="9"/>
        <v>0</v>
      </c>
    </row>
    <row r="44" spans="1:32">
      <c r="A44" s="910">
        <f t="shared" si="3"/>
        <v>39</v>
      </c>
      <c r="B44" s="913" t="s">
        <v>679</v>
      </c>
      <c r="C44" s="896"/>
      <c r="D44" s="896"/>
      <c r="E44" s="899"/>
      <c r="F44" s="899"/>
      <c r="G44" s="899">
        <f t="shared" si="12"/>
        <v>0</v>
      </c>
      <c r="H44" s="896"/>
      <c r="I44" s="896"/>
      <c r="J44" s="896"/>
      <c r="K44" s="896"/>
      <c r="L44" s="896"/>
      <c r="M44" s="896"/>
      <c r="N44" s="896"/>
      <c r="O44" s="896"/>
      <c r="P44" s="896"/>
      <c r="Q44" s="896"/>
      <c r="R44" s="896"/>
      <c r="S44" s="896"/>
      <c r="T44" s="896"/>
      <c r="U44" s="896"/>
      <c r="V44" s="896"/>
      <c r="W44" s="896">
        <f t="shared" si="13"/>
        <v>0</v>
      </c>
      <c r="X44" s="896"/>
      <c r="Y44" s="896"/>
      <c r="Z44" s="896"/>
      <c r="AA44" s="896">
        <f t="shared" si="4"/>
        <v>0</v>
      </c>
      <c r="AB44" s="896">
        <f t="shared" si="5"/>
        <v>0</v>
      </c>
      <c r="AC44" s="896">
        <f t="shared" si="6"/>
        <v>0</v>
      </c>
      <c r="AD44" s="896">
        <f t="shared" si="7"/>
        <v>0</v>
      </c>
      <c r="AE44" s="896">
        <f t="shared" si="8"/>
        <v>0</v>
      </c>
      <c r="AF44" s="896">
        <f t="shared" si="9"/>
        <v>0</v>
      </c>
    </row>
    <row r="45" spans="1:32">
      <c r="A45" s="910">
        <f t="shared" si="3"/>
        <v>40</v>
      </c>
      <c r="B45" s="913" t="s">
        <v>680</v>
      </c>
      <c r="C45" s="896"/>
      <c r="D45" s="896"/>
      <c r="E45" s="899"/>
      <c r="F45" s="899"/>
      <c r="G45" s="899">
        <f t="shared" si="12"/>
        <v>0</v>
      </c>
      <c r="H45" s="896"/>
      <c r="I45" s="896"/>
      <c r="J45" s="896"/>
      <c r="K45" s="896"/>
      <c r="L45" s="896"/>
      <c r="M45" s="896"/>
      <c r="N45" s="896"/>
      <c r="O45" s="896"/>
      <c r="P45" s="896"/>
      <c r="Q45" s="896"/>
      <c r="R45" s="896"/>
      <c r="S45" s="896"/>
      <c r="T45" s="896"/>
      <c r="U45" s="896"/>
      <c r="V45" s="896"/>
      <c r="W45" s="896">
        <f t="shared" si="13"/>
        <v>0</v>
      </c>
      <c r="X45" s="896"/>
      <c r="Y45" s="896"/>
      <c r="Z45" s="896"/>
      <c r="AA45" s="896">
        <f t="shared" si="4"/>
        <v>0</v>
      </c>
      <c r="AB45" s="896">
        <f t="shared" si="5"/>
        <v>0</v>
      </c>
      <c r="AC45" s="896">
        <f t="shared" si="6"/>
        <v>0</v>
      </c>
      <c r="AD45" s="896">
        <f t="shared" si="7"/>
        <v>0</v>
      </c>
      <c r="AE45" s="896">
        <f t="shared" si="8"/>
        <v>0</v>
      </c>
      <c r="AF45" s="896">
        <f t="shared" si="9"/>
        <v>0</v>
      </c>
    </row>
    <row r="46" spans="1:32">
      <c r="A46" s="910">
        <f t="shared" si="3"/>
        <v>41</v>
      </c>
      <c r="B46" s="913" t="s">
        <v>681</v>
      </c>
      <c r="C46" s="896"/>
      <c r="D46" s="896"/>
      <c r="E46" s="899"/>
      <c r="F46" s="899"/>
      <c r="G46" s="899">
        <f t="shared" si="12"/>
        <v>0</v>
      </c>
      <c r="H46" s="896"/>
      <c r="I46" s="896"/>
      <c r="J46" s="896"/>
      <c r="K46" s="896"/>
      <c r="L46" s="896"/>
      <c r="M46" s="896"/>
      <c r="N46" s="896"/>
      <c r="O46" s="896"/>
      <c r="P46" s="896"/>
      <c r="Q46" s="896"/>
      <c r="R46" s="896"/>
      <c r="S46" s="896"/>
      <c r="T46" s="896"/>
      <c r="U46" s="896"/>
      <c r="V46" s="896"/>
      <c r="W46" s="896">
        <f t="shared" si="13"/>
        <v>0</v>
      </c>
      <c r="X46" s="896"/>
      <c r="Y46" s="896"/>
      <c r="Z46" s="896"/>
      <c r="AA46" s="896">
        <f t="shared" si="4"/>
        <v>0</v>
      </c>
      <c r="AB46" s="896">
        <f t="shared" si="5"/>
        <v>0</v>
      </c>
      <c r="AC46" s="896">
        <f t="shared" si="6"/>
        <v>0</v>
      </c>
      <c r="AD46" s="896">
        <f t="shared" si="7"/>
        <v>0</v>
      </c>
      <c r="AE46" s="896">
        <f t="shared" si="8"/>
        <v>0</v>
      </c>
      <c r="AF46" s="896">
        <f t="shared" si="9"/>
        <v>0</v>
      </c>
    </row>
    <row r="47" spans="1:32">
      <c r="A47" s="910">
        <f t="shared" si="3"/>
        <v>42</v>
      </c>
      <c r="B47" s="902" t="s">
        <v>187</v>
      </c>
      <c r="C47" s="896">
        <f>C38+C6</f>
        <v>0</v>
      </c>
      <c r="D47" s="896">
        <f>D38+D6</f>
        <v>0</v>
      </c>
      <c r="E47" s="899"/>
      <c r="F47" s="2183"/>
      <c r="G47" s="899"/>
      <c r="H47" s="896">
        <f t="shared" ref="H47:S47" si="14">H38+H6</f>
        <v>0</v>
      </c>
      <c r="I47" s="896">
        <f t="shared" si="14"/>
        <v>0</v>
      </c>
      <c r="J47" s="896">
        <f t="shared" si="14"/>
        <v>0</v>
      </c>
      <c r="K47" s="896">
        <f t="shared" si="14"/>
        <v>0</v>
      </c>
      <c r="L47" s="896">
        <f t="shared" si="14"/>
        <v>0</v>
      </c>
      <c r="M47" s="896">
        <f t="shared" si="14"/>
        <v>0</v>
      </c>
      <c r="N47" s="896">
        <f t="shared" si="14"/>
        <v>0</v>
      </c>
      <c r="O47" s="896">
        <f t="shared" si="14"/>
        <v>0</v>
      </c>
      <c r="P47" s="896">
        <f t="shared" si="14"/>
        <v>0</v>
      </c>
      <c r="Q47" s="896">
        <f t="shared" si="14"/>
        <v>0</v>
      </c>
      <c r="R47" s="2180">
        <f t="shared" si="14"/>
        <v>0</v>
      </c>
      <c r="S47" s="896">
        <f t="shared" si="14"/>
        <v>0</v>
      </c>
      <c r="T47" s="896">
        <f>T38+T6</f>
        <v>0</v>
      </c>
      <c r="U47" s="896">
        <f>U38+U6</f>
        <v>0</v>
      </c>
      <c r="V47" s="896">
        <f>V38+V6</f>
        <v>0</v>
      </c>
      <c r="W47" s="896">
        <f>W38+W6</f>
        <v>0</v>
      </c>
      <c r="X47" s="896"/>
      <c r="Y47" s="896">
        <f>Y38+Y6</f>
        <v>0</v>
      </c>
      <c r="Z47" s="896">
        <f>Z38+Z6</f>
        <v>0</v>
      </c>
      <c r="AA47" s="896">
        <f t="shared" ref="AA47:AF47" si="15">AA38+AA6</f>
        <v>0</v>
      </c>
      <c r="AB47" s="896">
        <f t="shared" si="15"/>
        <v>0</v>
      </c>
      <c r="AC47" s="896">
        <f t="shared" si="15"/>
        <v>0</v>
      </c>
      <c r="AD47" s="896">
        <f t="shared" si="15"/>
        <v>0</v>
      </c>
      <c r="AE47" s="896">
        <f t="shared" si="15"/>
        <v>0</v>
      </c>
      <c r="AF47" s="896">
        <f t="shared" si="15"/>
        <v>0</v>
      </c>
    </row>
    <row r="48" spans="1:32">
      <c r="A48" s="46" t="s">
        <v>682</v>
      </c>
      <c r="F48" s="917"/>
    </row>
    <row r="49" spans="1:24">
      <c r="A49" s="918">
        <v>1</v>
      </c>
      <c r="B49" s="45" t="s">
        <v>683</v>
      </c>
      <c r="C49" s="905"/>
      <c r="D49" s="905"/>
      <c r="E49" s="905"/>
      <c r="F49" s="919"/>
      <c r="G49" s="905"/>
      <c r="H49" s="905"/>
      <c r="I49" s="905"/>
      <c r="J49" s="905"/>
      <c r="K49" s="905"/>
      <c r="L49" s="905"/>
      <c r="M49" s="905"/>
      <c r="N49" s="905"/>
      <c r="O49" s="905"/>
      <c r="P49" s="905"/>
      <c r="Q49" s="905"/>
      <c r="R49" s="905"/>
      <c r="S49" s="905"/>
      <c r="T49" s="905"/>
      <c r="U49" s="905"/>
      <c r="V49" s="906"/>
      <c r="W49" s="905"/>
      <c r="X49" s="905"/>
    </row>
    <row r="50" spans="1:24">
      <c r="A50" s="918">
        <v>2</v>
      </c>
      <c r="B50" s="45" t="s">
        <v>684</v>
      </c>
      <c r="C50" s="46"/>
      <c r="D50" s="46"/>
      <c r="E50" s="46"/>
      <c r="F50" s="917"/>
      <c r="G50" s="46"/>
      <c r="H50" s="46"/>
      <c r="I50" s="46"/>
      <c r="J50" s="46"/>
      <c r="K50" s="46"/>
      <c r="L50" s="46"/>
      <c r="M50" s="46"/>
      <c r="N50" s="46"/>
      <c r="O50" s="46"/>
      <c r="P50" s="46"/>
      <c r="Q50" s="46"/>
      <c r="R50" s="46"/>
      <c r="S50" s="46"/>
      <c r="T50" s="46"/>
      <c r="U50" s="46"/>
      <c r="V50" s="46"/>
      <c r="W50" s="46"/>
      <c r="X50" s="46"/>
    </row>
    <row r="51" spans="1:24">
      <c r="A51" s="918">
        <v>3</v>
      </c>
      <c r="B51" s="920" t="s">
        <v>2578</v>
      </c>
      <c r="C51" s="46"/>
      <c r="D51" s="46"/>
      <c r="E51" s="46"/>
      <c r="F51" s="917"/>
      <c r="G51" s="46"/>
      <c r="H51" s="46"/>
      <c r="I51" s="46"/>
      <c r="J51" s="46"/>
      <c r="K51" s="46"/>
      <c r="L51" s="46"/>
      <c r="M51" s="46"/>
      <c r="N51" s="46"/>
      <c r="O51" s="46"/>
      <c r="P51" s="46"/>
      <c r="Q51" s="46"/>
      <c r="R51" s="46"/>
      <c r="S51" s="46"/>
      <c r="T51" s="46"/>
      <c r="U51" s="46"/>
      <c r="V51" s="46"/>
      <c r="W51" s="46"/>
      <c r="X51" s="46"/>
    </row>
    <row r="52" spans="1:24">
      <c r="A52" s="918">
        <v>4</v>
      </c>
      <c r="B52" s="46" t="s">
        <v>2579</v>
      </c>
      <c r="C52" s="46"/>
      <c r="D52" s="46"/>
      <c r="E52" s="46"/>
      <c r="F52" s="917"/>
      <c r="G52" s="46"/>
      <c r="H52" s="46"/>
      <c r="I52" s="46"/>
      <c r="J52" s="46"/>
      <c r="K52" s="46"/>
      <c r="L52" s="46"/>
      <c r="M52" s="46"/>
      <c r="N52" s="46"/>
      <c r="O52" s="46"/>
      <c r="P52" s="46"/>
      <c r="Q52" s="46"/>
      <c r="R52" s="46"/>
      <c r="S52" s="46"/>
      <c r="T52" s="46"/>
      <c r="U52" s="46"/>
      <c r="V52" s="46"/>
      <c r="W52" s="46"/>
      <c r="X52" s="46"/>
    </row>
    <row r="53" spans="1:24">
      <c r="A53" s="918">
        <v>5</v>
      </c>
      <c r="B53" s="907" t="s">
        <v>1018</v>
      </c>
      <c r="F53" s="917"/>
      <c r="I53" s="46"/>
      <c r="J53" s="46"/>
      <c r="K53" s="46"/>
      <c r="L53" s="46"/>
      <c r="M53" s="46"/>
      <c r="N53" s="46"/>
      <c r="O53" s="46"/>
      <c r="P53" s="46"/>
      <c r="Q53" s="46"/>
      <c r="R53" s="46"/>
      <c r="S53" s="46"/>
      <c r="T53" s="46"/>
      <c r="U53" s="46"/>
      <c r="V53" s="46"/>
      <c r="W53" s="46"/>
      <c r="X53" s="46"/>
    </row>
    <row r="54" spans="1:24">
      <c r="A54" s="918">
        <v>6</v>
      </c>
      <c r="B54" s="907" t="s">
        <v>685</v>
      </c>
      <c r="F54" s="917"/>
    </row>
    <row r="55" spans="1:24">
      <c r="A55" s="918">
        <v>7</v>
      </c>
      <c r="B55" s="46" t="s">
        <v>686</v>
      </c>
      <c r="F55" s="917"/>
    </row>
    <row r="56" spans="1:24">
      <c r="A56" s="918">
        <v>8</v>
      </c>
      <c r="B56" s="46" t="s">
        <v>687</v>
      </c>
      <c r="F56" s="917"/>
    </row>
    <row r="57" spans="1:24">
      <c r="A57" s="918">
        <v>9</v>
      </c>
      <c r="B57" s="46" t="s">
        <v>2580</v>
      </c>
      <c r="F57" s="917"/>
    </row>
    <row r="58" spans="1:24">
      <c r="F58" s="917"/>
    </row>
    <row r="59" spans="1:24">
      <c r="F59" s="917"/>
    </row>
    <row r="60" spans="1:24">
      <c r="F60" s="917"/>
    </row>
    <row r="61" spans="1:24">
      <c r="F61" s="917"/>
    </row>
    <row r="62" spans="1:24">
      <c r="F62" s="917"/>
    </row>
    <row r="63" spans="1:24">
      <c r="F63" s="917"/>
    </row>
    <row r="64" spans="1:24">
      <c r="F64" s="917"/>
    </row>
    <row r="65" spans="6:6">
      <c r="F65" s="917"/>
    </row>
    <row r="66" spans="6:6">
      <c r="F66" s="917"/>
    </row>
    <row r="67" spans="6:6">
      <c r="F67" s="917"/>
    </row>
    <row r="68" spans="6:6">
      <c r="F68" s="917"/>
    </row>
    <row r="69" spans="6:6">
      <c r="F69" s="917"/>
    </row>
    <row r="70" spans="6:6">
      <c r="F70" s="917"/>
    </row>
    <row r="71" spans="6:6">
      <c r="F71" s="917"/>
    </row>
    <row r="72" spans="6:6">
      <c r="F72" s="917"/>
    </row>
    <row r="73" spans="6:6">
      <c r="F73" s="917"/>
    </row>
    <row r="74" spans="6:6">
      <c r="F74" s="917"/>
    </row>
    <row r="75" spans="6:6">
      <c r="F75" s="917"/>
    </row>
    <row r="76" spans="6:6">
      <c r="F76" s="917"/>
    </row>
    <row r="77" spans="6:6">
      <c r="F77" s="917"/>
    </row>
    <row r="78" spans="6:6">
      <c r="F78" s="917"/>
    </row>
    <row r="79" spans="6:6">
      <c r="F79" s="917"/>
    </row>
    <row r="80" spans="6:6">
      <c r="F80" s="917"/>
    </row>
    <row r="81" spans="6:6">
      <c r="F81" s="917"/>
    </row>
    <row r="82" spans="6:6">
      <c r="F82" s="917"/>
    </row>
    <row r="83" spans="6:6">
      <c r="F83" s="917"/>
    </row>
  </sheetData>
  <mergeCells count="5">
    <mergeCell ref="A3:A5"/>
    <mergeCell ref="B3:B5"/>
    <mergeCell ref="C3:S3"/>
    <mergeCell ref="T3:AB3"/>
    <mergeCell ref="AC3:AF3"/>
  </mergeCells>
  <phoneticPr fontId="30"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heetViews>
  <sheetFormatPr defaultColWidth="8" defaultRowHeight="14.25"/>
  <cols>
    <col min="1" max="1" width="5.5" style="44" customWidth="1"/>
    <col min="2" max="2" width="24" style="44" customWidth="1"/>
    <col min="3" max="4" width="10.5" style="44" customWidth="1"/>
    <col min="5" max="5" width="7.375" style="44" customWidth="1"/>
    <col min="6" max="6" width="6" style="44" customWidth="1"/>
    <col min="7" max="7" width="7.25" style="44" customWidth="1"/>
    <col min="8" max="8" width="9.5" style="44" customWidth="1"/>
    <col min="9" max="9" width="10.25" style="44" customWidth="1"/>
    <col min="10" max="10" width="8.625" style="44" customWidth="1"/>
    <col min="11" max="11" width="10.875" style="44" customWidth="1"/>
    <col min="12" max="12" width="10.25" style="44" customWidth="1"/>
    <col min="13" max="13" width="11.75" style="44" customWidth="1"/>
    <col min="14" max="14" width="11.25" style="44" customWidth="1"/>
    <col min="15" max="15" width="8.75" style="44" customWidth="1"/>
    <col min="16" max="17" width="9.875" style="44" customWidth="1"/>
    <col min="18" max="18" width="9.25" style="44" customWidth="1"/>
    <col min="19" max="19" width="8.875" style="44" customWidth="1"/>
    <col min="20" max="20" width="10.375" style="44" customWidth="1"/>
    <col min="21" max="21" width="8.75" style="44" customWidth="1"/>
    <col min="22" max="22" width="10.5" style="44" customWidth="1"/>
    <col min="23" max="24" width="12.125" style="44" customWidth="1"/>
    <col min="25" max="25" width="12.5" style="44" customWidth="1"/>
    <col min="26" max="26" width="11.25" style="44" customWidth="1"/>
    <col min="27" max="32" width="9.5" style="44" customWidth="1"/>
    <col min="33" max="16384" width="8" style="44"/>
  </cols>
  <sheetData>
    <row r="1" spans="1:32" ht="16.5">
      <c r="A1" s="2186" t="str">
        <f>+封面!A3&amp;" "&amp;封面!A2</f>
        <v xml:space="preserve"> 中央再保險股份有限公司 年度檢查報表</v>
      </c>
    </row>
    <row r="2" spans="1:32">
      <c r="A2" s="44" t="s">
        <v>256</v>
      </c>
      <c r="AF2" s="875" t="s">
        <v>169</v>
      </c>
    </row>
    <row r="3" spans="1:32" ht="16.5" customHeight="1">
      <c r="A3" s="3163" t="s">
        <v>179</v>
      </c>
      <c r="B3" s="3163" t="s">
        <v>86</v>
      </c>
      <c r="C3" s="3143" t="s">
        <v>229</v>
      </c>
      <c r="D3" s="3146"/>
      <c r="E3" s="3146"/>
      <c r="F3" s="3146"/>
      <c r="G3" s="3146"/>
      <c r="H3" s="3146"/>
      <c r="I3" s="3146"/>
      <c r="J3" s="3146"/>
      <c r="K3" s="3146"/>
      <c r="L3" s="3146"/>
      <c r="M3" s="3146"/>
      <c r="N3" s="3146"/>
      <c r="O3" s="3146"/>
      <c r="P3" s="3146"/>
      <c r="Q3" s="3146"/>
      <c r="R3" s="3146"/>
      <c r="S3" s="876"/>
      <c r="T3" s="3204" t="s">
        <v>230</v>
      </c>
      <c r="U3" s="3204"/>
      <c r="V3" s="3204"/>
      <c r="W3" s="3204"/>
      <c r="X3" s="3204"/>
      <c r="Y3" s="3204"/>
      <c r="Z3" s="3204"/>
      <c r="AA3" s="3204"/>
      <c r="AB3" s="3204"/>
      <c r="AC3" s="877"/>
      <c r="AD3" s="3146" t="s">
        <v>392</v>
      </c>
      <c r="AE3" s="3146"/>
      <c r="AF3" s="3147"/>
    </row>
    <row r="4" spans="1:32" ht="85.5">
      <c r="A4" s="3200"/>
      <c r="B4" s="3202"/>
      <c r="C4" s="878" t="s">
        <v>393</v>
      </c>
      <c r="D4" s="879" t="s">
        <v>976</v>
      </c>
      <c r="E4" s="878" t="s">
        <v>394</v>
      </c>
      <c r="F4" s="879" t="s">
        <v>395</v>
      </c>
      <c r="G4" s="878" t="s">
        <v>382</v>
      </c>
      <c r="H4" s="880" t="s">
        <v>983</v>
      </c>
      <c r="I4" s="881" t="s">
        <v>984</v>
      </c>
      <c r="J4" s="882" t="s">
        <v>889</v>
      </c>
      <c r="K4" s="880" t="s">
        <v>985</v>
      </c>
      <c r="L4" s="881" t="s">
        <v>986</v>
      </c>
      <c r="M4" s="880" t="s">
        <v>987</v>
      </c>
      <c r="N4" s="881" t="s">
        <v>988</v>
      </c>
      <c r="O4" s="883" t="s">
        <v>890</v>
      </c>
      <c r="P4" s="881" t="s">
        <v>989</v>
      </c>
      <c r="Q4" s="881" t="s">
        <v>990</v>
      </c>
      <c r="R4" s="881" t="s">
        <v>991</v>
      </c>
      <c r="S4" s="884" t="s">
        <v>992</v>
      </c>
      <c r="T4" s="885" t="s">
        <v>993</v>
      </c>
      <c r="U4" s="885" t="s">
        <v>994</v>
      </c>
      <c r="V4" s="886" t="s">
        <v>891</v>
      </c>
      <c r="W4" s="878" t="s">
        <v>2546</v>
      </c>
      <c r="X4" s="878" t="s">
        <v>892</v>
      </c>
      <c r="Y4" s="887" t="s">
        <v>995</v>
      </c>
      <c r="Z4" s="887" t="s">
        <v>996</v>
      </c>
      <c r="AA4" s="888" t="s">
        <v>997</v>
      </c>
      <c r="AB4" s="888" t="s">
        <v>992</v>
      </c>
      <c r="AC4" s="888" t="s">
        <v>998</v>
      </c>
      <c r="AD4" s="888" t="s">
        <v>999</v>
      </c>
      <c r="AE4" s="888" t="s">
        <v>997</v>
      </c>
      <c r="AF4" s="888" t="s">
        <v>992</v>
      </c>
    </row>
    <row r="5" spans="1:32" ht="42" customHeight="1">
      <c r="A5" s="3201"/>
      <c r="B5" s="3203"/>
      <c r="C5" s="889" t="s">
        <v>66</v>
      </c>
      <c r="D5" s="889" t="s">
        <v>639</v>
      </c>
      <c r="E5" s="889" t="s">
        <v>640</v>
      </c>
      <c r="F5" s="890" t="s">
        <v>641</v>
      </c>
      <c r="G5" s="889" t="s">
        <v>642</v>
      </c>
      <c r="H5" s="891" t="s">
        <v>893</v>
      </c>
      <c r="I5" s="891" t="s">
        <v>309</v>
      </c>
      <c r="J5" s="889" t="s">
        <v>454</v>
      </c>
      <c r="K5" s="891" t="s">
        <v>894</v>
      </c>
      <c r="L5" s="889" t="s">
        <v>449</v>
      </c>
      <c r="M5" s="891" t="s">
        <v>895</v>
      </c>
      <c r="N5" s="889" t="s">
        <v>450</v>
      </c>
      <c r="O5" s="892" t="s">
        <v>1004</v>
      </c>
      <c r="P5" s="889" t="s">
        <v>896</v>
      </c>
      <c r="Q5" s="892" t="s">
        <v>1005</v>
      </c>
      <c r="R5" s="889" t="s">
        <v>897</v>
      </c>
      <c r="S5" s="890" t="s">
        <v>1006</v>
      </c>
      <c r="T5" s="891" t="s">
        <v>898</v>
      </c>
      <c r="U5" s="891" t="s">
        <v>464</v>
      </c>
      <c r="V5" s="891" t="s">
        <v>899</v>
      </c>
      <c r="W5" s="889" t="s">
        <v>878</v>
      </c>
      <c r="X5" s="891" t="s">
        <v>185</v>
      </c>
      <c r="Y5" s="891" t="s">
        <v>900</v>
      </c>
      <c r="Z5" s="889" t="s">
        <v>476</v>
      </c>
      <c r="AA5" s="893" t="s">
        <v>901</v>
      </c>
      <c r="AB5" s="889" t="s">
        <v>1011</v>
      </c>
      <c r="AC5" s="889" t="s">
        <v>902</v>
      </c>
      <c r="AD5" s="889" t="s">
        <v>1012</v>
      </c>
      <c r="AE5" s="889" t="s">
        <v>903</v>
      </c>
      <c r="AF5" s="889" t="s">
        <v>1013</v>
      </c>
    </row>
    <row r="6" spans="1:32" ht="20.25" customHeight="1">
      <c r="A6" s="894">
        <v>1</v>
      </c>
      <c r="B6" s="895" t="s">
        <v>688</v>
      </c>
      <c r="C6" s="896">
        <f>SUM(C7:C13)</f>
        <v>0</v>
      </c>
      <c r="D6" s="896">
        <f>SUM(D7:D13)</f>
        <v>0</v>
      </c>
      <c r="E6" s="897"/>
      <c r="F6" s="898"/>
      <c r="G6" s="898"/>
      <c r="H6" s="896">
        <f t="shared" ref="H6:W6" si="0">SUM(H7:H13)</f>
        <v>0</v>
      </c>
      <c r="I6" s="896">
        <f t="shared" si="0"/>
        <v>0</v>
      </c>
      <c r="J6" s="896">
        <f t="shared" si="0"/>
        <v>0</v>
      </c>
      <c r="K6" s="896">
        <f t="shared" si="0"/>
        <v>0</v>
      </c>
      <c r="L6" s="896">
        <f t="shared" si="0"/>
        <v>0</v>
      </c>
      <c r="M6" s="896">
        <f t="shared" si="0"/>
        <v>0</v>
      </c>
      <c r="N6" s="896">
        <f t="shared" si="0"/>
        <v>0</v>
      </c>
      <c r="O6" s="896">
        <f t="shared" si="0"/>
        <v>0</v>
      </c>
      <c r="P6" s="896">
        <f t="shared" si="0"/>
        <v>0</v>
      </c>
      <c r="Q6" s="896">
        <f t="shared" si="0"/>
        <v>0</v>
      </c>
      <c r="R6" s="896">
        <f t="shared" si="0"/>
        <v>0</v>
      </c>
      <c r="S6" s="896">
        <f t="shared" si="0"/>
        <v>0</v>
      </c>
      <c r="T6" s="896">
        <f t="shared" si="0"/>
        <v>0</v>
      </c>
      <c r="U6" s="896">
        <f t="shared" si="0"/>
        <v>0</v>
      </c>
      <c r="V6" s="896">
        <f t="shared" si="0"/>
        <v>0</v>
      </c>
      <c r="W6" s="896">
        <f t="shared" si="0"/>
        <v>0</v>
      </c>
      <c r="X6" s="896"/>
      <c r="Y6" s="896">
        <f t="shared" ref="Y6:AF6" si="1">SUM(Y7:Y13)</f>
        <v>0</v>
      </c>
      <c r="Z6" s="896">
        <f t="shared" si="1"/>
        <v>0</v>
      </c>
      <c r="AA6" s="896">
        <f t="shared" si="1"/>
        <v>0</v>
      </c>
      <c r="AB6" s="896">
        <f t="shared" si="1"/>
        <v>0</v>
      </c>
      <c r="AC6" s="896">
        <f t="shared" si="1"/>
        <v>0</v>
      </c>
      <c r="AD6" s="896">
        <f t="shared" si="1"/>
        <v>0</v>
      </c>
      <c r="AE6" s="896">
        <f t="shared" si="1"/>
        <v>0</v>
      </c>
      <c r="AF6" s="896">
        <f t="shared" si="1"/>
        <v>0</v>
      </c>
    </row>
    <row r="7" spans="1:32" ht="20.25" customHeight="1">
      <c r="A7" s="894">
        <v>2</v>
      </c>
      <c r="B7" s="895" t="s">
        <v>375</v>
      </c>
      <c r="C7" s="896"/>
      <c r="D7" s="896"/>
      <c r="E7" s="897"/>
      <c r="F7" s="898"/>
      <c r="G7" s="899"/>
      <c r="H7" s="896"/>
      <c r="I7" s="896"/>
      <c r="J7" s="896"/>
      <c r="K7" s="900"/>
      <c r="L7" s="900"/>
      <c r="M7" s="900"/>
      <c r="N7" s="900"/>
      <c r="O7" s="896"/>
      <c r="P7" s="896"/>
      <c r="Q7" s="896"/>
      <c r="R7" s="896"/>
      <c r="S7" s="896"/>
      <c r="T7" s="896"/>
      <c r="U7" s="896"/>
      <c r="V7" s="896"/>
      <c r="W7" s="896"/>
      <c r="X7" s="896"/>
      <c r="Y7" s="896"/>
      <c r="Z7" s="896"/>
      <c r="AA7" s="896"/>
      <c r="AB7" s="896"/>
      <c r="AC7" s="896"/>
      <c r="AD7" s="896"/>
      <c r="AE7" s="896"/>
      <c r="AF7" s="896"/>
    </row>
    <row r="8" spans="1:32" ht="20.25" customHeight="1">
      <c r="A8" s="894">
        <v>3</v>
      </c>
      <c r="B8" s="895" t="s">
        <v>376</v>
      </c>
      <c r="C8" s="896"/>
      <c r="D8" s="896"/>
      <c r="E8" s="897"/>
      <c r="F8" s="898"/>
      <c r="G8" s="899"/>
      <c r="H8" s="896"/>
      <c r="I8" s="896"/>
      <c r="J8" s="896"/>
      <c r="K8" s="900"/>
      <c r="L8" s="900"/>
      <c r="M8" s="900"/>
      <c r="N8" s="900"/>
      <c r="O8" s="896"/>
      <c r="P8" s="896"/>
      <c r="Q8" s="896"/>
      <c r="R8" s="896"/>
      <c r="S8" s="896"/>
      <c r="T8" s="896"/>
      <c r="U8" s="896"/>
      <c r="V8" s="896"/>
      <c r="W8" s="896"/>
      <c r="X8" s="896"/>
      <c r="Y8" s="896"/>
      <c r="Z8" s="896"/>
      <c r="AA8" s="896"/>
      <c r="AB8" s="896"/>
      <c r="AC8" s="896"/>
      <c r="AD8" s="896"/>
      <c r="AE8" s="896"/>
      <c r="AF8" s="896"/>
    </row>
    <row r="9" spans="1:32" ht="20.25" customHeight="1">
      <c r="A9" s="894">
        <v>4</v>
      </c>
      <c r="B9" s="895" t="s">
        <v>1174</v>
      </c>
      <c r="C9" s="896"/>
      <c r="D9" s="896"/>
      <c r="E9" s="897"/>
      <c r="F9" s="898"/>
      <c r="G9" s="899"/>
      <c r="H9" s="896"/>
      <c r="I9" s="896"/>
      <c r="J9" s="896"/>
      <c r="K9" s="896"/>
      <c r="L9" s="896"/>
      <c r="M9" s="900"/>
      <c r="N9" s="900"/>
      <c r="O9" s="896"/>
      <c r="P9" s="896"/>
      <c r="Q9" s="896"/>
      <c r="R9" s="896"/>
      <c r="S9" s="896"/>
      <c r="T9" s="896"/>
      <c r="U9" s="896"/>
      <c r="V9" s="896"/>
      <c r="W9" s="896"/>
      <c r="X9" s="896"/>
      <c r="Y9" s="896"/>
      <c r="Z9" s="896"/>
      <c r="AA9" s="896"/>
      <c r="AB9" s="896"/>
      <c r="AC9" s="896"/>
      <c r="AD9" s="896"/>
      <c r="AE9" s="896"/>
      <c r="AF9" s="896"/>
    </row>
    <row r="10" spans="1:32" ht="20.25" customHeight="1">
      <c r="A10" s="894">
        <v>5</v>
      </c>
      <c r="B10" s="895" t="s">
        <v>377</v>
      </c>
      <c r="C10" s="896"/>
      <c r="D10" s="896"/>
      <c r="E10" s="897"/>
      <c r="F10" s="898"/>
      <c r="G10" s="899"/>
      <c r="H10" s="896"/>
      <c r="I10" s="896"/>
      <c r="J10" s="896"/>
      <c r="K10" s="900"/>
      <c r="L10" s="900"/>
      <c r="M10" s="900"/>
      <c r="N10" s="900"/>
      <c r="O10" s="896"/>
      <c r="P10" s="896"/>
      <c r="Q10" s="896"/>
      <c r="R10" s="896"/>
      <c r="S10" s="896"/>
      <c r="T10" s="896"/>
      <c r="U10" s="896"/>
      <c r="V10" s="896"/>
      <c r="W10" s="896"/>
      <c r="X10" s="896"/>
      <c r="Y10" s="896"/>
      <c r="Z10" s="896"/>
      <c r="AA10" s="896"/>
      <c r="AB10" s="896"/>
      <c r="AC10" s="896"/>
      <c r="AD10" s="896"/>
      <c r="AE10" s="896"/>
      <c r="AF10" s="896"/>
    </row>
    <row r="11" spans="1:32" ht="20.25" customHeight="1">
      <c r="A11" s="894">
        <v>6</v>
      </c>
      <c r="B11" s="895" t="s">
        <v>378</v>
      </c>
      <c r="C11" s="896"/>
      <c r="D11" s="896"/>
      <c r="E11" s="897"/>
      <c r="F11" s="898"/>
      <c r="G11" s="899"/>
      <c r="H11" s="896"/>
      <c r="I11" s="896"/>
      <c r="J11" s="896"/>
      <c r="K11" s="900"/>
      <c r="L11" s="900"/>
      <c r="M11" s="900"/>
      <c r="N11" s="900"/>
      <c r="O11" s="896"/>
      <c r="P11" s="896"/>
      <c r="Q11" s="896"/>
      <c r="R11" s="896"/>
      <c r="S11" s="896"/>
      <c r="T11" s="896"/>
      <c r="U11" s="896"/>
      <c r="V11" s="896"/>
      <c r="W11" s="896"/>
      <c r="X11" s="896"/>
      <c r="Y11" s="896"/>
      <c r="Z11" s="896"/>
      <c r="AA11" s="896"/>
      <c r="AB11" s="896"/>
      <c r="AC11" s="896"/>
      <c r="AD11" s="896"/>
      <c r="AE11" s="896"/>
      <c r="AF11" s="896"/>
    </row>
    <row r="12" spans="1:32" ht="20.25" customHeight="1">
      <c r="A12" s="894">
        <v>7</v>
      </c>
      <c r="B12" s="895" t="s">
        <v>1034</v>
      </c>
      <c r="C12" s="896"/>
      <c r="D12" s="896"/>
      <c r="E12" s="897"/>
      <c r="F12" s="898"/>
      <c r="G12" s="899"/>
      <c r="H12" s="896"/>
      <c r="I12" s="896"/>
      <c r="J12" s="896"/>
      <c r="K12" s="900"/>
      <c r="L12" s="900"/>
      <c r="M12" s="900"/>
      <c r="N12" s="900"/>
      <c r="O12" s="896"/>
      <c r="P12" s="896"/>
      <c r="Q12" s="896"/>
      <c r="R12" s="896"/>
      <c r="S12" s="896"/>
      <c r="T12" s="896"/>
      <c r="U12" s="896"/>
      <c r="V12" s="896"/>
      <c r="W12" s="896"/>
      <c r="X12" s="896"/>
      <c r="Y12" s="896"/>
      <c r="Z12" s="896"/>
      <c r="AA12" s="896"/>
      <c r="AB12" s="896"/>
      <c r="AC12" s="896"/>
      <c r="AD12" s="896"/>
      <c r="AE12" s="896"/>
      <c r="AF12" s="896"/>
    </row>
    <row r="13" spans="1:32" ht="20.25" customHeight="1">
      <c r="A13" s="894">
        <v>8</v>
      </c>
      <c r="B13" s="895" t="s">
        <v>1035</v>
      </c>
      <c r="C13" s="896"/>
      <c r="D13" s="896"/>
      <c r="E13" s="897"/>
      <c r="F13" s="898"/>
      <c r="G13" s="899"/>
      <c r="H13" s="896"/>
      <c r="I13" s="896"/>
      <c r="J13" s="896"/>
      <c r="K13" s="900"/>
      <c r="L13" s="900"/>
      <c r="M13" s="900"/>
      <c r="N13" s="900"/>
      <c r="O13" s="896"/>
      <c r="P13" s="896"/>
      <c r="Q13" s="896"/>
      <c r="R13" s="896"/>
      <c r="S13" s="896"/>
      <c r="T13" s="896"/>
      <c r="U13" s="896"/>
      <c r="V13" s="896"/>
      <c r="W13" s="896"/>
      <c r="X13" s="896"/>
      <c r="Y13" s="896"/>
      <c r="Z13" s="896"/>
      <c r="AA13" s="896"/>
      <c r="AB13" s="896"/>
      <c r="AC13" s="896"/>
      <c r="AD13" s="896"/>
      <c r="AE13" s="896"/>
      <c r="AF13" s="896"/>
    </row>
    <row r="14" spans="1:32" ht="20.25" customHeight="1">
      <c r="A14" s="894">
        <v>9</v>
      </c>
      <c r="B14" s="895" t="s">
        <v>689</v>
      </c>
      <c r="C14" s="896">
        <f>SUM(C15:C19)</f>
        <v>0</v>
      </c>
      <c r="D14" s="896">
        <f>SUM(D15:D19)</f>
        <v>0</v>
      </c>
      <c r="E14" s="897"/>
      <c r="F14" s="898"/>
      <c r="G14" s="899">
        <v>0</v>
      </c>
      <c r="H14" s="896">
        <f t="shared" ref="H14:AF14" si="2">SUM(H15:H19)</f>
        <v>0</v>
      </c>
      <c r="I14" s="896">
        <f t="shared" si="2"/>
        <v>0</v>
      </c>
      <c r="J14" s="896">
        <f t="shared" si="2"/>
        <v>0</v>
      </c>
      <c r="K14" s="896">
        <f t="shared" si="2"/>
        <v>0</v>
      </c>
      <c r="L14" s="896">
        <f t="shared" si="2"/>
        <v>0</v>
      </c>
      <c r="M14" s="896">
        <f t="shared" si="2"/>
        <v>0</v>
      </c>
      <c r="N14" s="896">
        <f t="shared" si="2"/>
        <v>0</v>
      </c>
      <c r="O14" s="896">
        <f t="shared" si="2"/>
        <v>0</v>
      </c>
      <c r="P14" s="896">
        <f t="shared" si="2"/>
        <v>0</v>
      </c>
      <c r="Q14" s="896">
        <f t="shared" si="2"/>
        <v>0</v>
      </c>
      <c r="R14" s="896">
        <f t="shared" si="2"/>
        <v>0</v>
      </c>
      <c r="S14" s="896">
        <f t="shared" si="2"/>
        <v>0</v>
      </c>
      <c r="T14" s="896">
        <f t="shared" si="2"/>
        <v>0</v>
      </c>
      <c r="U14" s="896">
        <f t="shared" si="2"/>
        <v>0</v>
      </c>
      <c r="V14" s="896">
        <f t="shared" si="2"/>
        <v>0</v>
      </c>
      <c r="W14" s="896">
        <f t="shared" si="2"/>
        <v>0</v>
      </c>
      <c r="X14" s="896"/>
      <c r="Y14" s="896">
        <f t="shared" si="2"/>
        <v>0</v>
      </c>
      <c r="Z14" s="896">
        <f t="shared" si="2"/>
        <v>0</v>
      </c>
      <c r="AA14" s="896">
        <f t="shared" si="2"/>
        <v>0</v>
      </c>
      <c r="AB14" s="896">
        <f t="shared" si="2"/>
        <v>0</v>
      </c>
      <c r="AC14" s="896">
        <f t="shared" si="2"/>
        <v>0</v>
      </c>
      <c r="AD14" s="896">
        <f t="shared" si="2"/>
        <v>0</v>
      </c>
      <c r="AE14" s="896">
        <f t="shared" si="2"/>
        <v>0</v>
      </c>
      <c r="AF14" s="896">
        <f t="shared" si="2"/>
        <v>0</v>
      </c>
    </row>
    <row r="15" spans="1:32" ht="20.25" customHeight="1">
      <c r="A15" s="894">
        <v>10</v>
      </c>
      <c r="B15" s="895" t="s">
        <v>977</v>
      </c>
      <c r="C15" s="896"/>
      <c r="D15" s="896"/>
      <c r="E15" s="897"/>
      <c r="F15" s="896"/>
      <c r="G15" s="899"/>
      <c r="H15" s="896"/>
      <c r="I15" s="896"/>
      <c r="J15" s="896"/>
      <c r="K15" s="900"/>
      <c r="L15" s="900"/>
      <c r="M15" s="900"/>
      <c r="N15" s="900"/>
      <c r="O15" s="896"/>
      <c r="P15" s="896"/>
      <c r="Q15" s="896"/>
      <c r="R15" s="896"/>
      <c r="S15" s="896"/>
      <c r="T15" s="896"/>
      <c r="U15" s="896"/>
      <c r="V15" s="896"/>
      <c r="W15" s="896"/>
      <c r="X15" s="896"/>
      <c r="Y15" s="896"/>
      <c r="Z15" s="896"/>
      <c r="AA15" s="896"/>
      <c r="AB15" s="896"/>
      <c r="AC15" s="896"/>
      <c r="AD15" s="896"/>
      <c r="AE15" s="896"/>
      <c r="AF15" s="896"/>
    </row>
    <row r="16" spans="1:32" ht="20.25" customHeight="1">
      <c r="A16" s="894">
        <v>11</v>
      </c>
      <c r="B16" s="895" t="s">
        <v>978</v>
      </c>
      <c r="C16" s="896"/>
      <c r="D16" s="896"/>
      <c r="E16" s="897"/>
      <c r="F16" s="896"/>
      <c r="G16" s="899"/>
      <c r="H16" s="896"/>
      <c r="I16" s="896"/>
      <c r="J16" s="896"/>
      <c r="K16" s="901"/>
      <c r="L16" s="901"/>
      <c r="M16" s="901"/>
      <c r="N16" s="901"/>
      <c r="O16" s="896"/>
      <c r="P16" s="896"/>
      <c r="Q16" s="896"/>
      <c r="R16" s="896"/>
      <c r="S16" s="896"/>
      <c r="T16" s="896"/>
      <c r="U16" s="896"/>
      <c r="V16" s="896"/>
      <c r="W16" s="896"/>
      <c r="X16" s="896"/>
      <c r="Y16" s="896"/>
      <c r="Z16" s="896"/>
      <c r="AA16" s="896"/>
      <c r="AB16" s="896"/>
      <c r="AC16" s="896"/>
      <c r="AD16" s="896"/>
      <c r="AE16" s="896"/>
      <c r="AF16" s="896"/>
    </row>
    <row r="17" spans="1:32" ht="20.25" customHeight="1">
      <c r="A17" s="894">
        <v>12</v>
      </c>
      <c r="B17" s="895" t="s">
        <v>979</v>
      </c>
      <c r="C17" s="896"/>
      <c r="D17" s="896"/>
      <c r="E17" s="897"/>
      <c r="F17" s="896"/>
      <c r="G17" s="899"/>
      <c r="H17" s="896"/>
      <c r="I17" s="896"/>
      <c r="J17" s="896"/>
      <c r="K17" s="901"/>
      <c r="L17" s="901"/>
      <c r="M17" s="901"/>
      <c r="N17" s="901"/>
      <c r="O17" s="896"/>
      <c r="P17" s="896"/>
      <c r="Q17" s="896"/>
      <c r="R17" s="896"/>
      <c r="S17" s="896"/>
      <c r="T17" s="896"/>
      <c r="U17" s="896"/>
      <c r="V17" s="896"/>
      <c r="W17" s="896"/>
      <c r="X17" s="896"/>
      <c r="Y17" s="896"/>
      <c r="Z17" s="896"/>
      <c r="AA17" s="896"/>
      <c r="AB17" s="896"/>
      <c r="AC17" s="896"/>
      <c r="AD17" s="896"/>
      <c r="AE17" s="896"/>
      <c r="AF17" s="896"/>
    </row>
    <row r="18" spans="1:32" ht="20.25" customHeight="1">
      <c r="A18" s="894">
        <v>13</v>
      </c>
      <c r="B18" s="895" t="s">
        <v>980</v>
      </c>
      <c r="C18" s="896"/>
      <c r="D18" s="896"/>
      <c r="E18" s="897"/>
      <c r="F18" s="896"/>
      <c r="G18" s="899"/>
      <c r="H18" s="896"/>
      <c r="I18" s="896"/>
      <c r="J18" s="896"/>
      <c r="K18" s="901"/>
      <c r="L18" s="901"/>
      <c r="M18" s="901"/>
      <c r="N18" s="901"/>
      <c r="O18" s="896"/>
      <c r="P18" s="896"/>
      <c r="Q18" s="896"/>
      <c r="R18" s="896"/>
      <c r="S18" s="896"/>
      <c r="T18" s="896"/>
      <c r="U18" s="896"/>
      <c r="V18" s="896"/>
      <c r="W18" s="896"/>
      <c r="X18" s="896"/>
      <c r="Y18" s="896"/>
      <c r="Z18" s="896"/>
      <c r="AA18" s="896"/>
      <c r="AB18" s="896"/>
      <c r="AC18" s="896"/>
      <c r="AD18" s="896"/>
      <c r="AE18" s="896"/>
      <c r="AF18" s="896"/>
    </row>
    <row r="19" spans="1:32" ht="20.25" customHeight="1">
      <c r="A19" s="894">
        <v>14</v>
      </c>
      <c r="B19" s="895" t="s">
        <v>981</v>
      </c>
      <c r="C19" s="896"/>
      <c r="D19" s="896"/>
      <c r="E19" s="897"/>
      <c r="F19" s="896"/>
      <c r="G19" s="899"/>
      <c r="H19" s="896"/>
      <c r="I19" s="896"/>
      <c r="J19" s="896"/>
      <c r="K19" s="901"/>
      <c r="L19" s="901"/>
      <c r="M19" s="901"/>
      <c r="N19" s="901"/>
      <c r="O19" s="896"/>
      <c r="P19" s="896"/>
      <c r="Q19" s="896"/>
      <c r="R19" s="896"/>
      <c r="S19" s="896"/>
      <c r="T19" s="896"/>
      <c r="U19" s="896"/>
      <c r="V19" s="896"/>
      <c r="W19" s="896"/>
      <c r="X19" s="896"/>
      <c r="Y19" s="896"/>
      <c r="Z19" s="896"/>
      <c r="AA19" s="896"/>
      <c r="AB19" s="896"/>
      <c r="AC19" s="896"/>
      <c r="AD19" s="896"/>
      <c r="AE19" s="896"/>
      <c r="AF19" s="896"/>
    </row>
    <row r="20" spans="1:32" ht="20.25" customHeight="1">
      <c r="A20" s="894">
        <v>15</v>
      </c>
      <c r="B20" s="902" t="s">
        <v>379</v>
      </c>
      <c r="C20" s="896">
        <f>C6+C14</f>
        <v>0</v>
      </c>
      <c r="D20" s="896">
        <f>D6+D14</f>
        <v>0</v>
      </c>
      <c r="E20" s="897"/>
      <c r="F20" s="903"/>
      <c r="G20" s="899">
        <v>0</v>
      </c>
      <c r="H20" s="896">
        <f t="shared" ref="H20:AF20" si="3">H6+H14</f>
        <v>0</v>
      </c>
      <c r="I20" s="896">
        <f t="shared" si="3"/>
        <v>0</v>
      </c>
      <c r="J20" s="896">
        <f t="shared" si="3"/>
        <v>0</v>
      </c>
      <c r="K20" s="896">
        <f t="shared" si="3"/>
        <v>0</v>
      </c>
      <c r="L20" s="896">
        <f t="shared" si="3"/>
        <v>0</v>
      </c>
      <c r="M20" s="896">
        <f t="shared" si="3"/>
        <v>0</v>
      </c>
      <c r="N20" s="896">
        <f t="shared" si="3"/>
        <v>0</v>
      </c>
      <c r="O20" s="896">
        <f t="shared" si="3"/>
        <v>0</v>
      </c>
      <c r="P20" s="896">
        <f t="shared" si="3"/>
        <v>0</v>
      </c>
      <c r="Q20" s="896">
        <f t="shared" si="3"/>
        <v>0</v>
      </c>
      <c r="R20" s="896">
        <f t="shared" si="3"/>
        <v>0</v>
      </c>
      <c r="S20" s="896">
        <f t="shared" si="3"/>
        <v>0</v>
      </c>
      <c r="T20" s="896">
        <f t="shared" si="3"/>
        <v>0</v>
      </c>
      <c r="U20" s="896">
        <f t="shared" si="3"/>
        <v>0</v>
      </c>
      <c r="V20" s="896">
        <f t="shared" si="3"/>
        <v>0</v>
      </c>
      <c r="W20" s="896">
        <f t="shared" si="3"/>
        <v>0</v>
      </c>
      <c r="X20" s="896"/>
      <c r="Y20" s="896">
        <f t="shared" si="3"/>
        <v>0</v>
      </c>
      <c r="Z20" s="896">
        <f t="shared" si="3"/>
        <v>0</v>
      </c>
      <c r="AA20" s="896">
        <f t="shared" si="3"/>
        <v>0</v>
      </c>
      <c r="AB20" s="896">
        <f>AB6+AB14</f>
        <v>0</v>
      </c>
      <c r="AC20" s="896">
        <f>AC6+AC14</f>
        <v>0</v>
      </c>
      <c r="AD20" s="896">
        <f t="shared" si="3"/>
        <v>0</v>
      </c>
      <c r="AE20" s="896">
        <f t="shared" si="3"/>
        <v>0</v>
      </c>
      <c r="AF20" s="896">
        <f t="shared" si="3"/>
        <v>0</v>
      </c>
    </row>
    <row r="21" spans="1:32">
      <c r="A21" s="46" t="s">
        <v>690</v>
      </c>
    </row>
    <row r="22" spans="1:32">
      <c r="A22" s="904">
        <v>1</v>
      </c>
      <c r="B22" s="44" t="s">
        <v>1043</v>
      </c>
      <c r="C22" s="905"/>
      <c r="D22" s="905"/>
      <c r="E22" s="905"/>
      <c r="F22" s="905"/>
      <c r="G22" s="905"/>
      <c r="H22" s="905"/>
      <c r="I22" s="905"/>
      <c r="J22" s="905"/>
      <c r="K22" s="905"/>
      <c r="L22" s="905"/>
      <c r="M22" s="905"/>
      <c r="N22" s="905"/>
      <c r="O22" s="905"/>
      <c r="P22" s="905"/>
      <c r="Q22" s="905"/>
      <c r="R22" s="905"/>
      <c r="S22" s="905"/>
      <c r="T22" s="905"/>
      <c r="U22" s="905"/>
      <c r="V22" s="906"/>
      <c r="W22" s="905"/>
      <c r="X22" s="905"/>
    </row>
    <row r="23" spans="1:32">
      <c r="A23" s="904">
        <v>2</v>
      </c>
      <c r="B23" s="44" t="s">
        <v>1044</v>
      </c>
      <c r="C23" s="46"/>
      <c r="D23" s="46"/>
      <c r="E23" s="46"/>
      <c r="F23" s="46"/>
      <c r="G23" s="46"/>
      <c r="H23" s="46"/>
      <c r="I23" s="46"/>
      <c r="J23" s="46"/>
      <c r="K23" s="46"/>
      <c r="L23" s="46"/>
      <c r="M23" s="46"/>
      <c r="N23" s="46"/>
      <c r="O23" s="46"/>
      <c r="P23" s="46"/>
      <c r="Q23" s="46"/>
      <c r="R23" s="46"/>
      <c r="S23" s="46"/>
      <c r="T23" s="46"/>
      <c r="U23" s="46"/>
      <c r="V23" s="46"/>
      <c r="W23" s="46"/>
      <c r="X23" s="46"/>
    </row>
    <row r="24" spans="1:32">
      <c r="A24" s="904">
        <v>3</v>
      </c>
      <c r="B24" s="46" t="s">
        <v>1045</v>
      </c>
      <c r="C24" s="46"/>
      <c r="D24" s="46"/>
      <c r="E24" s="46"/>
      <c r="F24" s="46"/>
      <c r="G24" s="46"/>
      <c r="H24" s="46"/>
      <c r="I24" s="46"/>
      <c r="J24" s="46"/>
      <c r="K24" s="46"/>
      <c r="L24" s="46"/>
      <c r="M24" s="46"/>
      <c r="N24" s="46"/>
      <c r="O24" s="46"/>
      <c r="P24" s="46"/>
      <c r="Q24" s="46"/>
      <c r="R24" s="46"/>
      <c r="S24" s="46"/>
      <c r="T24" s="46"/>
      <c r="U24" s="46"/>
      <c r="V24" s="46"/>
      <c r="W24" s="46"/>
      <c r="X24" s="46"/>
    </row>
    <row r="25" spans="1:32">
      <c r="A25" s="904">
        <v>4</v>
      </c>
      <c r="B25" s="907" t="s">
        <v>1046</v>
      </c>
    </row>
    <row r="26" spans="1:32">
      <c r="A26" s="904">
        <v>5</v>
      </c>
      <c r="B26" s="46" t="s">
        <v>1047</v>
      </c>
    </row>
    <row r="27" spans="1:32">
      <c r="A27" s="904">
        <v>6</v>
      </c>
      <c r="B27" s="908" t="s">
        <v>1048</v>
      </c>
    </row>
    <row r="28" spans="1:32">
      <c r="A28" s="904">
        <v>7</v>
      </c>
      <c r="B28" s="50" t="s">
        <v>1039</v>
      </c>
    </row>
  </sheetData>
  <mergeCells count="5">
    <mergeCell ref="A3:A5"/>
    <mergeCell ref="B3:B5"/>
    <mergeCell ref="C3:R3"/>
    <mergeCell ref="T3:AB3"/>
    <mergeCell ref="AD3:AF3"/>
  </mergeCells>
  <phoneticPr fontId="30"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heetViews>
  <sheetFormatPr defaultColWidth="10.625" defaultRowHeight="14.25" customHeight="1"/>
  <cols>
    <col min="1" max="1" width="3.375" style="42" customWidth="1"/>
    <col min="2" max="2" width="9.75" style="42" customWidth="1"/>
    <col min="3" max="3" width="16" style="42" customWidth="1"/>
    <col min="4" max="4" width="2.375" style="42" customWidth="1"/>
    <col min="5" max="7" width="20.125" style="42" customWidth="1"/>
    <col min="8" max="8" width="15.625" style="42" customWidth="1"/>
    <col min="9" max="16384" width="10.625" style="42"/>
  </cols>
  <sheetData>
    <row r="1" spans="1:8" ht="21">
      <c r="A1" s="2186" t="str">
        <f>+封面!A3&amp;" "&amp;封面!A2</f>
        <v xml:space="preserve"> 中央再保險股份有限公司 年度檢查報表</v>
      </c>
      <c r="E1" s="866"/>
    </row>
    <row r="2" spans="1:8">
      <c r="A2" s="867" t="s">
        <v>888</v>
      </c>
      <c r="C2" s="867"/>
      <c r="G2" s="43"/>
      <c r="H2" s="43" t="s">
        <v>283</v>
      </c>
    </row>
    <row r="3" spans="1:8" s="869" customFormat="1">
      <c r="A3" s="3208" t="s">
        <v>179</v>
      </c>
      <c r="B3" s="3209" t="s">
        <v>879</v>
      </c>
      <c r="C3" s="3209"/>
      <c r="D3" s="3209"/>
      <c r="E3" s="868" t="s">
        <v>880</v>
      </c>
      <c r="F3" s="868" t="s">
        <v>881</v>
      </c>
      <c r="G3" s="868" t="s">
        <v>882</v>
      </c>
      <c r="H3" s="868" t="s">
        <v>121</v>
      </c>
    </row>
    <row r="4" spans="1:8" s="869" customFormat="1">
      <c r="A4" s="3208"/>
      <c r="B4" s="3209"/>
      <c r="C4" s="3209"/>
      <c r="D4" s="3209"/>
      <c r="E4" s="870" t="s">
        <v>122</v>
      </c>
      <c r="F4" s="870" t="s">
        <v>183</v>
      </c>
      <c r="G4" s="870" t="s">
        <v>883</v>
      </c>
      <c r="H4" s="868" t="s">
        <v>297</v>
      </c>
    </row>
    <row r="5" spans="1:8" ht="16.5" customHeight="1">
      <c r="A5" s="871">
        <v>1</v>
      </c>
      <c r="B5" s="3210" t="s">
        <v>1221</v>
      </c>
      <c r="C5" s="3206"/>
      <c r="D5" s="3207"/>
      <c r="E5" s="872"/>
      <c r="F5" s="872"/>
      <c r="G5" s="872"/>
      <c r="H5" s="873"/>
    </row>
    <row r="6" spans="1:8" ht="16.5" customHeight="1">
      <c r="A6" s="871">
        <v>2</v>
      </c>
      <c r="B6" s="3205" t="s">
        <v>4094</v>
      </c>
      <c r="C6" s="3206"/>
      <c r="D6" s="3207"/>
      <c r="E6" s="872"/>
      <c r="F6" s="872"/>
      <c r="G6" s="872"/>
      <c r="H6" s="873"/>
    </row>
    <row r="7" spans="1:8" ht="16.5" customHeight="1">
      <c r="A7" s="871">
        <v>3</v>
      </c>
      <c r="B7" s="3205" t="s">
        <v>4095</v>
      </c>
      <c r="C7" s="3206"/>
      <c r="D7" s="3207"/>
      <c r="E7" s="872"/>
      <c r="F7" s="872"/>
      <c r="G7" s="872"/>
      <c r="H7" s="873"/>
    </row>
    <row r="8" spans="1:8" ht="16.5" customHeight="1">
      <c r="A8" s="871">
        <v>4</v>
      </c>
      <c r="B8" s="3205" t="s">
        <v>4096</v>
      </c>
      <c r="C8" s="3206"/>
      <c r="D8" s="3207"/>
      <c r="E8" s="872"/>
      <c r="F8" s="872"/>
      <c r="G8" s="872"/>
      <c r="H8" s="873"/>
    </row>
    <row r="9" spans="1:8" ht="16.5" customHeight="1">
      <c r="A9" s="871">
        <v>5</v>
      </c>
      <c r="B9" s="3205"/>
      <c r="C9" s="3206"/>
      <c r="D9" s="3207"/>
      <c r="E9" s="872"/>
      <c r="F9" s="872"/>
      <c r="G9" s="872"/>
      <c r="H9" s="873"/>
    </row>
    <row r="10" spans="1:8" ht="16.5" customHeight="1">
      <c r="A10" s="871">
        <v>6</v>
      </c>
      <c r="B10" s="3210"/>
      <c r="C10" s="3211"/>
      <c r="D10" s="3212"/>
      <c r="E10" s="872"/>
      <c r="F10" s="872"/>
      <c r="G10" s="872"/>
      <c r="H10" s="873"/>
    </row>
    <row r="11" spans="1:8" ht="16.5" customHeight="1">
      <c r="A11" s="871">
        <v>7</v>
      </c>
      <c r="B11" s="3210"/>
      <c r="C11" s="3211"/>
      <c r="D11" s="3212"/>
      <c r="E11" s="872"/>
      <c r="F11" s="872"/>
      <c r="G11" s="872"/>
      <c r="H11" s="873"/>
    </row>
    <row r="12" spans="1:8" ht="16.5" customHeight="1">
      <c r="A12" s="871">
        <v>8</v>
      </c>
      <c r="B12" s="3210"/>
      <c r="C12" s="3211"/>
      <c r="D12" s="3212"/>
      <c r="E12" s="872"/>
      <c r="F12" s="872"/>
      <c r="G12" s="872"/>
      <c r="H12" s="873"/>
    </row>
    <row r="13" spans="1:8" ht="16.5" customHeight="1">
      <c r="A13" s="871">
        <v>9</v>
      </c>
      <c r="B13" s="3210"/>
      <c r="C13" s="3211"/>
      <c r="D13" s="3212"/>
      <c r="E13" s="872"/>
      <c r="F13" s="872"/>
      <c r="G13" s="872"/>
      <c r="H13" s="873"/>
    </row>
    <row r="14" spans="1:8" ht="16.5" customHeight="1">
      <c r="A14" s="871">
        <v>10</v>
      </c>
      <c r="B14" s="3210"/>
      <c r="C14" s="3211"/>
      <c r="D14" s="3212"/>
      <c r="E14" s="872"/>
      <c r="F14" s="872"/>
      <c r="G14" s="872"/>
      <c r="H14" s="873"/>
    </row>
    <row r="15" spans="1:8" ht="16.5" customHeight="1">
      <c r="A15" s="871">
        <v>11</v>
      </c>
      <c r="B15" s="3210"/>
      <c r="C15" s="3211"/>
      <c r="D15" s="3212"/>
      <c r="E15" s="872"/>
      <c r="F15" s="872"/>
      <c r="G15" s="872"/>
      <c r="H15" s="873"/>
    </row>
    <row r="16" spans="1:8" ht="16.5" customHeight="1">
      <c r="A16" s="871">
        <v>12</v>
      </c>
      <c r="B16" s="3213" t="s">
        <v>884</v>
      </c>
      <c r="C16" s="3213"/>
      <c r="D16" s="3213"/>
      <c r="E16" s="872"/>
      <c r="F16" s="872"/>
      <c r="G16" s="872"/>
      <c r="H16" s="873"/>
    </row>
    <row r="17" spans="1:2">
      <c r="A17" s="42" t="s">
        <v>380</v>
      </c>
      <c r="B17" s="874"/>
    </row>
    <row r="18" spans="1:2">
      <c r="A18" s="42">
        <v>1</v>
      </c>
      <c r="B18" s="42" t="s">
        <v>885</v>
      </c>
    </row>
    <row r="19" spans="1:2" ht="14.25" customHeight="1">
      <c r="B19" s="42" t="s">
        <v>886</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30"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zoomScaleNormal="100" workbookViewId="0"/>
  </sheetViews>
  <sheetFormatPr defaultColWidth="15.625" defaultRowHeight="15.75"/>
  <cols>
    <col min="1" max="1" width="52.75" style="41" customWidth="1"/>
    <col min="2" max="2" width="21.25" style="41" customWidth="1"/>
    <col min="3" max="3" width="29.125" style="41" customWidth="1"/>
    <col min="4" max="4" width="25.75" style="41" customWidth="1"/>
    <col min="5" max="5" width="5.875" style="41" customWidth="1"/>
    <col min="6" max="6" width="35.125" style="41" customWidth="1"/>
    <col min="7" max="7" width="15.625" style="41"/>
    <col min="8" max="8" width="17.25" style="41" customWidth="1"/>
    <col min="9" max="16384" width="15.625" style="41"/>
  </cols>
  <sheetData>
    <row r="1" spans="1:9" ht="16.5">
      <c r="A1" s="2186" t="str">
        <f>+封面!A3&amp;" "&amp;封面!A2</f>
        <v xml:space="preserve"> 中央再保險股份有限公司 年度檢查報表</v>
      </c>
      <c r="B1" s="811"/>
      <c r="C1" s="812"/>
      <c r="D1" s="812"/>
    </row>
    <row r="2" spans="1:9" ht="16.5">
      <c r="A2" s="813" t="s">
        <v>4066</v>
      </c>
    </row>
    <row r="4" spans="1:9" s="13" customFormat="1" ht="16.5">
      <c r="A4" s="814" t="s">
        <v>2537</v>
      </c>
      <c r="B4" s="815"/>
      <c r="C4" s="73"/>
      <c r="D4" s="73"/>
      <c r="E4" s="73"/>
      <c r="F4" s="814" t="s">
        <v>2538</v>
      </c>
    </row>
    <row r="5" spans="1:9" ht="16.5">
      <c r="A5" s="41" t="s">
        <v>4067</v>
      </c>
      <c r="F5" s="13" t="s">
        <v>4067</v>
      </c>
      <c r="G5" s="13"/>
      <c r="H5" s="13"/>
    </row>
    <row r="6" spans="1:9" ht="16.5">
      <c r="A6" s="816" t="s">
        <v>4068</v>
      </c>
      <c r="B6" s="817"/>
      <c r="F6" s="100" t="s">
        <v>4069</v>
      </c>
      <c r="G6" s="100"/>
      <c r="H6" s="100"/>
    </row>
    <row r="7" spans="1:9">
      <c r="A7" s="816"/>
      <c r="B7" s="817"/>
      <c r="F7" s="13"/>
      <c r="G7" s="13"/>
      <c r="H7" s="13"/>
    </row>
    <row r="8" spans="1:9" ht="16.5">
      <c r="A8" s="818" t="s">
        <v>4070</v>
      </c>
      <c r="F8" s="13"/>
      <c r="G8" s="13"/>
      <c r="H8" s="13"/>
    </row>
    <row r="9" spans="1:9">
      <c r="F9" s="13"/>
      <c r="G9" s="13"/>
      <c r="H9" s="13"/>
    </row>
    <row r="10" spans="1:9" ht="17.25" thickBot="1">
      <c r="A10" s="41" t="s">
        <v>4071</v>
      </c>
      <c r="D10" s="819" t="s">
        <v>3525</v>
      </c>
      <c r="F10" s="810" t="s">
        <v>4071</v>
      </c>
      <c r="G10" s="815"/>
      <c r="H10" s="13" t="s">
        <v>3440</v>
      </c>
    </row>
    <row r="11" spans="1:9" ht="16.5">
      <c r="A11" s="820" t="s">
        <v>4072</v>
      </c>
      <c r="B11" s="821" t="s">
        <v>4065</v>
      </c>
      <c r="C11" s="515" t="s">
        <v>4073</v>
      </c>
      <c r="D11" s="822" t="s">
        <v>4074</v>
      </c>
      <c r="F11" s="823" t="s">
        <v>512</v>
      </c>
      <c r="G11" s="824" t="s">
        <v>2530</v>
      </c>
      <c r="H11" s="825" t="s">
        <v>2531</v>
      </c>
      <c r="I11" s="826" t="s">
        <v>2539</v>
      </c>
    </row>
    <row r="12" spans="1:9" ht="18.75">
      <c r="A12" s="827" t="s">
        <v>4075</v>
      </c>
      <c r="B12" s="828">
        <f ca="1">'表30-2'!F130</f>
        <v>0</v>
      </c>
      <c r="C12" s="829">
        <f t="shared" ref="C12:C24" ca="1" si="0">IFERROR(B12/B$25,0)</f>
        <v>0</v>
      </c>
      <c r="D12" s="830">
        <f t="shared" ref="D12" ca="1" si="1">IFERROR(B12/B$26,0)</f>
        <v>0</v>
      </c>
      <c r="F12" s="831" t="s">
        <v>2532</v>
      </c>
      <c r="G12" s="832">
        <f>表03!O96</f>
        <v>0</v>
      </c>
      <c r="H12" s="833"/>
      <c r="I12" s="784"/>
    </row>
    <row r="13" spans="1:9" ht="19.5" thickBot="1">
      <c r="A13" s="834" t="s">
        <v>4076</v>
      </c>
      <c r="B13" s="835">
        <f ca="1">B12-B14</f>
        <v>0</v>
      </c>
      <c r="C13" s="829">
        <f t="shared" ca="1" si="0"/>
        <v>0</v>
      </c>
      <c r="D13" s="836">
        <f ca="1">IFERROR(B13/B$26,0)</f>
        <v>0</v>
      </c>
      <c r="F13" s="837" t="s">
        <v>2533</v>
      </c>
      <c r="G13" s="838">
        <f>表03!E104-表03!E99</f>
        <v>0</v>
      </c>
      <c r="H13" s="839"/>
      <c r="I13" s="840"/>
    </row>
    <row r="14" spans="1:9" ht="20.25" thickTop="1" thickBot="1">
      <c r="A14" s="834" t="s">
        <v>4077</v>
      </c>
      <c r="B14" s="835">
        <f>'表30-2'!F129</f>
        <v>0</v>
      </c>
      <c r="C14" s="829">
        <f t="shared" ca="1" si="0"/>
        <v>0</v>
      </c>
      <c r="D14" s="841">
        <f t="shared" ref="D14:D24" ca="1" si="2">IFERROR(B14/B$26,0)</f>
        <v>0</v>
      </c>
      <c r="F14" s="842" t="s">
        <v>2534</v>
      </c>
      <c r="G14" s="843" t="e">
        <f>G12/G13</f>
        <v>#DIV/0!</v>
      </c>
      <c r="H14" s="844" t="e">
        <f>H12/H13</f>
        <v>#DIV/0!</v>
      </c>
      <c r="I14" s="845"/>
    </row>
    <row r="15" spans="1:9" ht="18.75">
      <c r="A15" s="846" t="s">
        <v>4078</v>
      </c>
      <c r="B15" s="847">
        <f ca="1">'表30-3'!F180</f>
        <v>0</v>
      </c>
      <c r="C15" s="829">
        <f t="shared" ca="1" si="0"/>
        <v>0</v>
      </c>
      <c r="D15" s="836">
        <f t="shared" ca="1" si="2"/>
        <v>0</v>
      </c>
      <c r="F15" s="13"/>
      <c r="G15" s="13"/>
      <c r="H15" s="13"/>
    </row>
    <row r="16" spans="1:9" ht="18.75">
      <c r="A16" s="834" t="s">
        <v>4079</v>
      </c>
      <c r="B16" s="847">
        <f ca="1">B15-B18-B17</f>
        <v>0</v>
      </c>
      <c r="C16" s="829">
        <f t="shared" ca="1" si="0"/>
        <v>0</v>
      </c>
      <c r="D16" s="836">
        <f t="shared" ca="1" si="2"/>
        <v>0</v>
      </c>
      <c r="F16" s="100" t="s">
        <v>4080</v>
      </c>
      <c r="G16" s="13"/>
      <c r="H16" s="13"/>
    </row>
    <row r="17" spans="1:6" ht="18.75">
      <c r="A17" s="834" t="s">
        <v>4081</v>
      </c>
      <c r="B17" s="847">
        <f>'表30-3'!F172</f>
        <v>0</v>
      </c>
      <c r="C17" s="829">
        <f t="shared" ca="1" si="0"/>
        <v>0</v>
      </c>
      <c r="D17" s="836">
        <f t="shared" ca="1" si="2"/>
        <v>0</v>
      </c>
      <c r="F17" s="100" t="s">
        <v>4082</v>
      </c>
    </row>
    <row r="18" spans="1:6" ht="18.75">
      <c r="A18" s="834" t="s">
        <v>4083</v>
      </c>
      <c r="B18" s="847">
        <f ca="1">SUM('表30-3'!F26,'表30-3'!F96,'表30-3'!F139,'表30-3'!F40,'表30-3'!F46,,'表30-3'!F117,'表30-3'!F159,'表30-3'!F102,'表30-3'!F145,'表30-3'!F106,'表30-3'!F149)</f>
        <v>0</v>
      </c>
      <c r="C18" s="829">
        <f t="shared" ca="1" si="0"/>
        <v>0</v>
      </c>
      <c r="D18" s="836">
        <f t="shared" ca="1" si="2"/>
        <v>0</v>
      </c>
    </row>
    <row r="19" spans="1:6" ht="18.75">
      <c r="A19" s="846" t="s">
        <v>4084</v>
      </c>
      <c r="B19" s="847">
        <f>'表30-4'!F14</f>
        <v>0</v>
      </c>
      <c r="C19" s="829">
        <f t="shared" ca="1" si="0"/>
        <v>0</v>
      </c>
      <c r="D19" s="836">
        <f t="shared" ca="1" si="2"/>
        <v>0</v>
      </c>
    </row>
    <row r="20" spans="1:6" ht="18.75">
      <c r="A20" s="848" t="s">
        <v>4085</v>
      </c>
      <c r="B20" s="847">
        <f>'表30-5'!F73</f>
        <v>0</v>
      </c>
      <c r="C20" s="829">
        <f t="shared" ca="1" si="0"/>
        <v>0</v>
      </c>
      <c r="D20" s="836">
        <f t="shared" ca="1" si="2"/>
        <v>0</v>
      </c>
    </row>
    <row r="21" spans="1:6" ht="18.75">
      <c r="A21" s="848" t="s">
        <v>4086</v>
      </c>
      <c r="B21" s="847">
        <f>'表30-5'!F143</f>
        <v>0</v>
      </c>
      <c r="C21" s="829">
        <f t="shared" ca="1" si="0"/>
        <v>0</v>
      </c>
      <c r="D21" s="836">
        <f t="shared" ca="1" si="2"/>
        <v>0</v>
      </c>
    </row>
    <row r="22" spans="1:6" ht="18.75">
      <c r="A22" s="849" t="s">
        <v>4087</v>
      </c>
      <c r="B22" s="850">
        <f>'表30-5-3'!D12</f>
        <v>0</v>
      </c>
      <c r="C22" s="829">
        <f t="shared" ca="1" si="0"/>
        <v>0</v>
      </c>
      <c r="D22" s="836">
        <f t="shared" ca="1" si="2"/>
        <v>0</v>
      </c>
    </row>
    <row r="23" spans="1:6" ht="18.75">
      <c r="A23" s="846" t="s">
        <v>4088</v>
      </c>
      <c r="B23" s="847">
        <f>'表30-6'!F15</f>
        <v>0</v>
      </c>
      <c r="C23" s="829">
        <f t="shared" ca="1" si="0"/>
        <v>0</v>
      </c>
      <c r="D23" s="841">
        <f t="shared" ca="1" si="2"/>
        <v>0</v>
      </c>
    </row>
    <row r="24" spans="1:6" ht="18.75">
      <c r="A24" s="851" t="s">
        <v>4089</v>
      </c>
      <c r="B24" s="847">
        <f>'表30-7'!F10</f>
        <v>0</v>
      </c>
      <c r="C24" s="852">
        <f t="shared" ca="1" si="0"/>
        <v>0</v>
      </c>
      <c r="D24" s="853">
        <f t="shared" ca="1" si="2"/>
        <v>0</v>
      </c>
    </row>
    <row r="25" spans="1:6" ht="16.5">
      <c r="A25" s="849" t="s">
        <v>4090</v>
      </c>
      <c r="B25" s="828">
        <f ca="1">B12+B15+B19+B20+B21+B23+B24+B22</f>
        <v>0</v>
      </c>
      <c r="C25" s="854">
        <f ca="1">C12+C15+C19+C20+C21+C23+C24+C22</f>
        <v>0</v>
      </c>
      <c r="D25" s="855"/>
    </row>
    <row r="26" spans="1:6" ht="16.5">
      <c r="A26" s="851" t="s">
        <v>4091</v>
      </c>
      <c r="B26" s="847">
        <f ca="1">0.5*(B13+B24+((B16+B23)^2+(B14+B17)^2+B18^2+B19^2+B20^2+B21^2+B22^2)^0.5)</f>
        <v>0</v>
      </c>
      <c r="C26" s="856"/>
      <c r="D26" s="857"/>
    </row>
    <row r="27" spans="1:6" ht="17.25" thickBot="1">
      <c r="A27" s="858" t="s">
        <v>4092</v>
      </c>
      <c r="B27" s="859">
        <f ca="1">'表30-8'!G59</f>
        <v>0</v>
      </c>
      <c r="C27" s="860"/>
      <c r="D27" s="861"/>
    </row>
    <row r="28" spans="1:6" ht="18" thickTop="1" thickBot="1">
      <c r="A28" s="862" t="s">
        <v>2536</v>
      </c>
      <c r="B28" s="863" t="e">
        <f ca="1">B27/B26</f>
        <v>#DIV/0!</v>
      </c>
      <c r="C28" s="864"/>
      <c r="D28" s="865"/>
    </row>
    <row r="30" spans="1:6" ht="16.5">
      <c r="A30" s="100" t="s">
        <v>4093</v>
      </c>
    </row>
    <row r="31" spans="1:6">
      <c r="A31" s="100"/>
    </row>
  </sheetData>
  <phoneticPr fontId="30"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FFFF00"/>
    <pageSetUpPr fitToPage="1"/>
  </sheetPr>
  <dimension ref="A1:G140"/>
  <sheetViews>
    <sheetView view="pageBreakPreview" zoomScaleNormal="85" zoomScaleSheetLayoutView="100" workbookViewId="0">
      <selection activeCell="D84" sqref="D84"/>
    </sheetView>
  </sheetViews>
  <sheetFormatPr defaultColWidth="15.625" defaultRowHeight="15.75"/>
  <cols>
    <col min="1" max="1" width="5.625" style="2112" customWidth="1"/>
    <col min="2" max="3" width="70.625" style="41" customWidth="1"/>
    <col min="4" max="4" width="20.625" style="2173" customWidth="1"/>
    <col min="5" max="5" width="20.625" style="2174" customWidth="1"/>
    <col min="6" max="6" width="20.625" style="2173" customWidth="1"/>
    <col min="7" max="7" width="15.625" style="41" customWidth="1"/>
    <col min="8" max="16384" width="15.625" style="13"/>
  </cols>
  <sheetData>
    <row r="1" spans="1:7" ht="16.5">
      <c r="A1" s="2186" t="str">
        <f>+封面!A3&amp;" "&amp;封面!A2</f>
        <v xml:space="preserve"> 中央再保險股份有限公司 年度檢查報表</v>
      </c>
      <c r="C1" s="71"/>
      <c r="D1" s="40"/>
      <c r="E1" s="40"/>
      <c r="F1" s="40"/>
      <c r="G1" s="73"/>
    </row>
    <row r="2" spans="1:7" ht="16.5">
      <c r="A2" s="2114" t="s">
        <v>5399</v>
      </c>
      <c r="C2" s="2115"/>
      <c r="D2" s="2116"/>
      <c r="E2" s="2117"/>
      <c r="F2" s="2118" t="s">
        <v>3440</v>
      </c>
      <c r="G2" s="2119"/>
    </row>
    <row r="3" spans="1:7" ht="16.5">
      <c r="A3" s="3214" t="s">
        <v>5400</v>
      </c>
      <c r="B3" s="3215" t="s">
        <v>3702</v>
      </c>
      <c r="C3" s="3215" t="s">
        <v>3703</v>
      </c>
      <c r="D3" s="2120" t="s">
        <v>3704</v>
      </c>
      <c r="E3" s="2121" t="s">
        <v>3778</v>
      </c>
      <c r="F3" s="2120" t="s">
        <v>4065</v>
      </c>
    </row>
    <row r="4" spans="1:7">
      <c r="A4" s="3214"/>
      <c r="B4" s="3215"/>
      <c r="C4" s="3215"/>
      <c r="D4" s="2122" t="s">
        <v>66</v>
      </c>
      <c r="E4" s="2122" t="s">
        <v>370</v>
      </c>
      <c r="F4" s="2122" t="s">
        <v>1218</v>
      </c>
    </row>
    <row r="5" spans="1:7" ht="16.5">
      <c r="A5" s="2123">
        <v>1</v>
      </c>
      <c r="B5" s="2124" t="s">
        <v>5401</v>
      </c>
      <c r="C5" s="2125"/>
      <c r="D5" s="2126">
        <f>D6+D16</f>
        <v>0</v>
      </c>
      <c r="E5" s="2127"/>
      <c r="F5" s="2126">
        <f ca="1">F6+F16</f>
        <v>0</v>
      </c>
    </row>
    <row r="6" spans="1:7" ht="16.5">
      <c r="A6" s="2128">
        <f>A5+1</f>
        <v>2</v>
      </c>
      <c r="B6" s="2129" t="s">
        <v>5402</v>
      </c>
      <c r="C6" s="2130"/>
      <c r="D6" s="2131">
        <f>D7+D11</f>
        <v>0</v>
      </c>
      <c r="E6" s="2132"/>
      <c r="F6" s="2131">
        <f>F7+F11</f>
        <v>0</v>
      </c>
    </row>
    <row r="7" spans="1:7" ht="16.5">
      <c r="A7" s="2128">
        <f t="shared" ref="A7:A72" si="0">A6+1</f>
        <v>3</v>
      </c>
      <c r="B7" s="2133" t="s">
        <v>5403</v>
      </c>
      <c r="C7" s="2130"/>
      <c r="D7" s="2134">
        <f>D8+D9+D10</f>
        <v>0</v>
      </c>
      <c r="E7" s="2132"/>
      <c r="F7" s="2131">
        <f>F8+F9+F10</f>
        <v>0</v>
      </c>
    </row>
    <row r="8" spans="1:7" ht="33">
      <c r="A8" s="2128">
        <f t="shared" si="0"/>
        <v>4</v>
      </c>
      <c r="B8" s="2135" t="s">
        <v>5404</v>
      </c>
      <c r="C8" s="2078" t="s">
        <v>5405</v>
      </c>
      <c r="D8" s="2136">
        <f>'表30-8-7'!G24+'表30-8-7'!H24</f>
        <v>0</v>
      </c>
      <c r="E8" s="2137" t="s">
        <v>1421</v>
      </c>
      <c r="F8" s="2131"/>
    </row>
    <row r="9" spans="1:7" ht="49.5">
      <c r="A9" s="2128">
        <f t="shared" si="0"/>
        <v>5</v>
      </c>
      <c r="B9" s="2135" t="s">
        <v>5406</v>
      </c>
      <c r="C9" s="2078" t="s">
        <v>5407</v>
      </c>
      <c r="D9" s="2136">
        <f>'表10-3'!G8+'表10-3'!H8+'表10-3'!I8-SUM('表30-8-7'!G24:H25)</f>
        <v>0</v>
      </c>
      <c r="E9" s="2137">
        <v>0.61470000000000002</v>
      </c>
      <c r="F9" s="2138">
        <f>ROUND(D9*E9,0)</f>
        <v>0</v>
      </c>
    </row>
    <row r="10" spans="1:7" ht="33">
      <c r="A10" s="2128">
        <f t="shared" si="0"/>
        <v>6</v>
      </c>
      <c r="B10" s="2135" t="s">
        <v>5408</v>
      </c>
      <c r="C10" s="2694" t="s">
        <v>8462</v>
      </c>
      <c r="D10" s="2696">
        <f>'表10-3'!H35+'表10-3'!G35+'表10-3'!I35-SUM('表10-3'!G48:I48)</f>
        <v>0</v>
      </c>
      <c r="E10" s="2137">
        <v>0.35</v>
      </c>
      <c r="F10" s="2138">
        <f>ROUND(D10*E10,0)</f>
        <v>0</v>
      </c>
    </row>
    <row r="11" spans="1:7" ht="16.5">
      <c r="A11" s="2128">
        <f t="shared" si="0"/>
        <v>7</v>
      </c>
      <c r="B11" s="2133" t="s">
        <v>5409</v>
      </c>
      <c r="C11" s="2130"/>
      <c r="D11" s="2134">
        <f>SUM(D12:D13)</f>
        <v>0</v>
      </c>
      <c r="E11" s="2132"/>
      <c r="F11" s="2131">
        <f>F12+F13</f>
        <v>0</v>
      </c>
    </row>
    <row r="12" spans="1:7" ht="16.5">
      <c r="A12" s="2128">
        <f t="shared" si="0"/>
        <v>8</v>
      </c>
      <c r="B12" s="2135" t="s">
        <v>5410</v>
      </c>
      <c r="C12" s="2078" t="s">
        <v>5411</v>
      </c>
      <c r="D12" s="2136">
        <f>'表10-3'!G14+'表10-3'!H14+'表10-3'!G15+'表10-3'!H15+'表10-3'!G16+'表10-3'!H16</f>
        <v>0</v>
      </c>
      <c r="E12" s="2137">
        <v>0.4098</v>
      </c>
      <c r="F12" s="2138">
        <f>ROUND(D12*E12,0)</f>
        <v>0</v>
      </c>
    </row>
    <row r="13" spans="1:7" ht="16.5">
      <c r="A13" s="2128">
        <f t="shared" si="0"/>
        <v>9</v>
      </c>
      <c r="B13" s="2139" t="s">
        <v>5412</v>
      </c>
      <c r="C13" s="2130"/>
      <c r="D13" s="2134">
        <f>D14+D15</f>
        <v>0</v>
      </c>
      <c r="E13" s="2132"/>
      <c r="F13" s="2131">
        <f>F14+F15</f>
        <v>0</v>
      </c>
    </row>
    <row r="14" spans="1:7" ht="16.5">
      <c r="A14" s="2128">
        <f t="shared" si="0"/>
        <v>10</v>
      </c>
      <c r="B14" s="2140" t="s">
        <v>5413</v>
      </c>
      <c r="C14" s="2078" t="s">
        <v>5414</v>
      </c>
      <c r="D14" s="2136">
        <f>'表13-4'!K21</f>
        <v>0</v>
      </c>
      <c r="E14" s="2137">
        <v>0.1</v>
      </c>
      <c r="F14" s="2138">
        <f>ROUND(D14*E14,0)</f>
        <v>0</v>
      </c>
    </row>
    <row r="15" spans="1:7" ht="16.5">
      <c r="A15" s="2128">
        <f t="shared" si="0"/>
        <v>11</v>
      </c>
      <c r="B15" s="2140" t="s">
        <v>5415</v>
      </c>
      <c r="C15" s="2078" t="s">
        <v>5416</v>
      </c>
      <c r="D15" s="2136">
        <f>'表10-3'!G41+'表10-3'!H41</f>
        <v>0</v>
      </c>
      <c r="E15" s="2137">
        <v>0.44669999999999999</v>
      </c>
      <c r="F15" s="2138">
        <f>ROUND(D15*E15,0)</f>
        <v>0</v>
      </c>
    </row>
    <row r="16" spans="1:7" ht="16.5">
      <c r="A16" s="2128">
        <f t="shared" si="0"/>
        <v>12</v>
      </c>
      <c r="B16" s="2129" t="s">
        <v>5417</v>
      </c>
      <c r="C16" s="2130"/>
      <c r="D16" s="2131">
        <f>D17+D18+D24+D40+D43+D46+D47+D55+D58</f>
        <v>0</v>
      </c>
      <c r="E16" s="2141"/>
      <c r="F16" s="2131">
        <f ca="1">F17+F18+F24+F40+F43+F46+F47+F55+F58</f>
        <v>0</v>
      </c>
    </row>
    <row r="17" spans="1:6" ht="16.5">
      <c r="A17" s="2128">
        <f t="shared" si="0"/>
        <v>13</v>
      </c>
      <c r="B17" s="2142" t="s">
        <v>5418</v>
      </c>
      <c r="C17" s="2078" t="s">
        <v>5419</v>
      </c>
      <c r="D17" s="2136">
        <f>'表05-1'!G9+'表05-1'!G173</f>
        <v>0</v>
      </c>
      <c r="E17" s="2137">
        <v>1.1000000000000001E-2</v>
      </c>
      <c r="F17" s="2138">
        <f>ROUND(D17*E17-'表30-9'!F5-'表30-9'!F6-'表30-9'!F7,0)</f>
        <v>0</v>
      </c>
    </row>
    <row r="18" spans="1:6" ht="33">
      <c r="A18" s="2128">
        <f t="shared" si="0"/>
        <v>14</v>
      </c>
      <c r="B18" s="2133" t="s">
        <v>5420</v>
      </c>
      <c r="C18" s="2130"/>
      <c r="D18" s="2134">
        <f>SUM(D19:D20,D23)</f>
        <v>0</v>
      </c>
      <c r="E18" s="2132"/>
      <c r="F18" s="2131">
        <f>SUM(F19:F20,F23)</f>
        <v>0</v>
      </c>
    </row>
    <row r="19" spans="1:6" ht="33">
      <c r="A19" s="2128">
        <f t="shared" si="0"/>
        <v>15</v>
      </c>
      <c r="B19" s="2135" t="s">
        <v>5421</v>
      </c>
      <c r="C19" s="2066" t="s">
        <v>5422</v>
      </c>
      <c r="D19" s="2136">
        <f>'表30-8-7'!F24</f>
        <v>0</v>
      </c>
      <c r="E19" s="2137" t="s">
        <v>1421</v>
      </c>
      <c r="F19" s="2131"/>
    </row>
    <row r="20" spans="1:6" ht="16.5">
      <c r="A20" s="2128">
        <f t="shared" si="0"/>
        <v>16</v>
      </c>
      <c r="B20" s="2139" t="s">
        <v>5423</v>
      </c>
      <c r="C20" s="2143"/>
      <c r="D20" s="2134">
        <f>D21+D22</f>
        <v>0</v>
      </c>
      <c r="E20" s="2132"/>
      <c r="F20" s="2131">
        <f>F21+F22</f>
        <v>0</v>
      </c>
    </row>
    <row r="21" spans="1:6" ht="66">
      <c r="A21" s="2128">
        <f t="shared" si="0"/>
        <v>17</v>
      </c>
      <c r="B21" s="2140" t="s">
        <v>5424</v>
      </c>
      <c r="C21" s="2144" t="s">
        <v>5425</v>
      </c>
      <c r="D21" s="2136">
        <f>'表09-2'!D24+'表11-2'!D32-'表30-8-7'!F25</f>
        <v>0</v>
      </c>
      <c r="E21" s="2137">
        <v>0.61470000000000002</v>
      </c>
      <c r="F21" s="2138">
        <f>ROUND(D21*E21,0)</f>
        <v>0</v>
      </c>
    </row>
    <row r="22" spans="1:6" ht="49.5">
      <c r="A22" s="2128">
        <f t="shared" si="0"/>
        <v>18</v>
      </c>
      <c r="B22" s="2140" t="s">
        <v>5426</v>
      </c>
      <c r="C22" s="2695" t="s">
        <v>8463</v>
      </c>
      <c r="D22" s="2696">
        <f>'表11-2'!H32+'表09-2'!H24-'表11-2'!H47-'表09-2'!H30</f>
        <v>0</v>
      </c>
      <c r="E22" s="2137">
        <v>0.35</v>
      </c>
      <c r="F22" s="2138">
        <f>ROUND(D22*E22,0)</f>
        <v>0</v>
      </c>
    </row>
    <row r="23" spans="1:6" ht="33">
      <c r="A23" s="2128">
        <f t="shared" si="0"/>
        <v>19</v>
      </c>
      <c r="B23" s="2135" t="s">
        <v>5427</v>
      </c>
      <c r="C23" s="2066" t="s">
        <v>5428</v>
      </c>
      <c r="D23" s="2136">
        <f>'表05-1'!G33+'表05-1'!G53+'表05-1'!G175-D19-D20</f>
        <v>0</v>
      </c>
      <c r="E23" s="2137">
        <v>1.0999999999999999E-2</v>
      </c>
      <c r="F23" s="2138">
        <f>ROUND(D23*E23,0)</f>
        <v>0</v>
      </c>
    </row>
    <row r="24" spans="1:6" ht="16.5">
      <c r="A24" s="2128">
        <f t="shared" si="0"/>
        <v>20</v>
      </c>
      <c r="B24" s="2133" t="s">
        <v>5429</v>
      </c>
      <c r="C24" s="2145"/>
      <c r="D24" s="2134">
        <f>SUM(D25:D30)</f>
        <v>0</v>
      </c>
      <c r="E24" s="2146"/>
      <c r="F24" s="2131">
        <f ca="1">SUM(F25:F30)</f>
        <v>0</v>
      </c>
    </row>
    <row r="25" spans="1:6" ht="49.5">
      <c r="A25" s="2128">
        <f t="shared" si="0"/>
        <v>21</v>
      </c>
      <c r="B25" s="2135" t="s">
        <v>5430</v>
      </c>
      <c r="C25" s="2078" t="s">
        <v>5431</v>
      </c>
      <c r="D25" s="2136">
        <f>'表05-1'!M66-'表30-14-1'!L32</f>
        <v>0</v>
      </c>
      <c r="E25" s="2147">
        <f ca="1">'表30-14'!$J$13</f>
        <v>0.2261</v>
      </c>
      <c r="F25" s="2138">
        <f ca="1">ROUND(D25*E25,0)</f>
        <v>0</v>
      </c>
    </row>
    <row r="26" spans="1:6" ht="49.5">
      <c r="A26" s="2128">
        <f t="shared" si="0"/>
        <v>22</v>
      </c>
      <c r="B26" s="2135" t="s">
        <v>5432</v>
      </c>
      <c r="C26" s="2078" t="s">
        <v>5433</v>
      </c>
      <c r="D26" s="2136">
        <f>'表05-1'!G67-'表30-14-1'!L34</f>
        <v>0</v>
      </c>
      <c r="E26" s="2137">
        <v>8.1000000000000003E-2</v>
      </c>
      <c r="F26" s="2138">
        <f>ROUND(D26*E26-'表30-9'!F8-'表30-9'!F9-'表30-9'!F10,0)</f>
        <v>0</v>
      </c>
    </row>
    <row r="27" spans="1:6" ht="49.5">
      <c r="A27" s="2128">
        <f t="shared" si="0"/>
        <v>23</v>
      </c>
      <c r="B27" s="2135" t="s">
        <v>5434</v>
      </c>
      <c r="C27" s="2078" t="s">
        <v>5435</v>
      </c>
      <c r="D27" s="2136">
        <f>'表05-1'!M68-'表30-14-1'!L36</f>
        <v>0</v>
      </c>
      <c r="E27" s="2147">
        <f ca="1">'表30-14'!$J$14</f>
        <v>0.2261</v>
      </c>
      <c r="F27" s="2138">
        <f ca="1">ROUND(D27*E27,0)</f>
        <v>0</v>
      </c>
    </row>
    <row r="28" spans="1:6" ht="16.5">
      <c r="A28" s="2128">
        <f t="shared" si="0"/>
        <v>24</v>
      </c>
      <c r="B28" s="2135" t="s">
        <v>5436</v>
      </c>
      <c r="C28" s="2078" t="s">
        <v>5437</v>
      </c>
      <c r="D28" s="2136">
        <f>'表05-1'!G70</f>
        <v>0</v>
      </c>
      <c r="E28" s="2137">
        <v>1.4E-2</v>
      </c>
      <c r="F28" s="2138">
        <f>ROUND(D28*E28-'表30-9'!F11-'表30-9'!F12-'表30-9'!F13,0)</f>
        <v>0</v>
      </c>
    </row>
    <row r="29" spans="1:6" ht="33">
      <c r="A29" s="2128">
        <f t="shared" si="0"/>
        <v>25</v>
      </c>
      <c r="B29" s="2135" t="s">
        <v>5438</v>
      </c>
      <c r="C29" s="2148" t="s">
        <v>5439</v>
      </c>
      <c r="D29" s="2136">
        <f>'表05-1'!G71-'表30-14-1'!L46</f>
        <v>0</v>
      </c>
      <c r="E29" s="2083">
        <v>0.33750000000000002</v>
      </c>
      <c r="F29" s="2138">
        <f>ROUND(D29*E29,0)</f>
        <v>0</v>
      </c>
    </row>
    <row r="30" spans="1:6" ht="16.5">
      <c r="A30" s="2128">
        <f t="shared" si="0"/>
        <v>26</v>
      </c>
      <c r="B30" s="2139" t="s">
        <v>5440</v>
      </c>
      <c r="C30" s="2145"/>
      <c r="D30" s="2134">
        <f>D31+D32+D33+D34+D35+D36+D37+D38+D39</f>
        <v>0</v>
      </c>
      <c r="E30" s="2149"/>
      <c r="F30" s="2131">
        <f ca="1">F31+F32+F33+F34+F35+F36+F37+F38+F39</f>
        <v>0</v>
      </c>
    </row>
    <row r="31" spans="1:6" ht="49.5">
      <c r="A31" s="2128">
        <f t="shared" si="0"/>
        <v>27</v>
      </c>
      <c r="B31" s="2140" t="s">
        <v>5441</v>
      </c>
      <c r="C31" s="2078" t="s">
        <v>5442</v>
      </c>
      <c r="D31" s="2136">
        <f>'表12-2'!G39+'表30-14-1'!L32</f>
        <v>0</v>
      </c>
      <c r="E31" s="2137">
        <f ca="1">'表30-14'!E19</f>
        <v>0.2631</v>
      </c>
      <c r="F31" s="2138">
        <f t="shared" ref="F31:F38" ca="1" si="1">ROUND(D31*E31,0)</f>
        <v>0</v>
      </c>
    </row>
    <row r="32" spans="1:6" ht="49.5">
      <c r="A32" s="2128">
        <f t="shared" si="0"/>
        <v>28</v>
      </c>
      <c r="B32" s="2140" t="s">
        <v>5443</v>
      </c>
      <c r="C32" s="2078" t="s">
        <v>5444</v>
      </c>
      <c r="D32" s="2136">
        <f>'表12-2'!D40+'表30-14-1'!L34</f>
        <v>0</v>
      </c>
      <c r="E32" s="2137">
        <v>6.3299999999999995E-2</v>
      </c>
      <c r="F32" s="2138">
        <f t="shared" si="1"/>
        <v>0</v>
      </c>
    </row>
    <row r="33" spans="1:6" ht="49.5">
      <c r="A33" s="2128">
        <f t="shared" si="0"/>
        <v>29</v>
      </c>
      <c r="B33" s="2140" t="s">
        <v>5445</v>
      </c>
      <c r="C33" s="2078" t="s">
        <v>5446</v>
      </c>
      <c r="D33" s="2136">
        <f>'表12-2'!G41+'表30-14-1'!L36</f>
        <v>0</v>
      </c>
      <c r="E33" s="2137">
        <f ca="1">'表30-14'!E20</f>
        <v>0.2631</v>
      </c>
      <c r="F33" s="2138">
        <f t="shared" ca="1" si="1"/>
        <v>0</v>
      </c>
    </row>
    <row r="34" spans="1:6" ht="16.5">
      <c r="A34" s="2128">
        <f t="shared" si="0"/>
        <v>30</v>
      </c>
      <c r="B34" s="2140" t="s">
        <v>5447</v>
      </c>
      <c r="C34" s="2078" t="s">
        <v>5448</v>
      </c>
      <c r="D34" s="2136">
        <f>'表12-2'!D42</f>
        <v>0</v>
      </c>
      <c r="E34" s="2137">
        <v>1.09E-2</v>
      </c>
      <c r="F34" s="2138">
        <f t="shared" si="1"/>
        <v>0</v>
      </c>
    </row>
    <row r="35" spans="1:6" ht="49.5">
      <c r="A35" s="2128">
        <f t="shared" si="0"/>
        <v>31</v>
      </c>
      <c r="B35" s="2140" t="s">
        <v>5449</v>
      </c>
      <c r="C35" s="2148" t="s">
        <v>5450</v>
      </c>
      <c r="D35" s="2136">
        <f>'表12-2'!D43+'表30-14-1'!L46</f>
        <v>0</v>
      </c>
      <c r="E35" s="2083">
        <v>0.33750000000000002</v>
      </c>
      <c r="F35" s="2138">
        <f t="shared" si="1"/>
        <v>0</v>
      </c>
    </row>
    <row r="36" spans="1:6" ht="16.5">
      <c r="A36" s="2128">
        <f t="shared" si="0"/>
        <v>32</v>
      </c>
      <c r="B36" s="2140" t="s">
        <v>5451</v>
      </c>
      <c r="C36" s="2078" t="s">
        <v>5452</v>
      </c>
      <c r="D36" s="2136">
        <f>'表12-2'!D44</f>
        <v>0</v>
      </c>
      <c r="E36" s="2083">
        <v>0.33750000000000002</v>
      </c>
      <c r="F36" s="2138">
        <f t="shared" si="1"/>
        <v>0</v>
      </c>
    </row>
    <row r="37" spans="1:6" ht="16.5">
      <c r="A37" s="2128">
        <f t="shared" si="0"/>
        <v>33</v>
      </c>
      <c r="B37" s="2140" t="s">
        <v>5453</v>
      </c>
      <c r="C37" s="2078" t="s">
        <v>5454</v>
      </c>
      <c r="D37" s="2136">
        <f>'表12-2'!D45</f>
        <v>0</v>
      </c>
      <c r="E37" s="2083">
        <v>0.33750000000000002</v>
      </c>
      <c r="F37" s="2138">
        <f t="shared" si="1"/>
        <v>0</v>
      </c>
    </row>
    <row r="38" spans="1:6" ht="16.5">
      <c r="A38" s="2128">
        <f t="shared" si="0"/>
        <v>34</v>
      </c>
      <c r="B38" s="2140" t="s">
        <v>5455</v>
      </c>
      <c r="C38" s="2078" t="s">
        <v>5456</v>
      </c>
      <c r="D38" s="2136">
        <f>'表05-1'!G180</f>
        <v>0</v>
      </c>
      <c r="E38" s="2137">
        <v>0.1018</v>
      </c>
      <c r="F38" s="2138">
        <f t="shared" si="1"/>
        <v>0</v>
      </c>
    </row>
    <row r="39" spans="1:6" ht="16.5">
      <c r="A39" s="2128">
        <f t="shared" si="0"/>
        <v>35</v>
      </c>
      <c r="B39" s="2140" t="s">
        <v>5457</v>
      </c>
      <c r="C39" s="2078" t="s">
        <v>5458</v>
      </c>
      <c r="D39" s="2136">
        <f>'表05-1'!G182</f>
        <v>0</v>
      </c>
      <c r="E39" s="2137">
        <v>0.29499999999999998</v>
      </c>
      <c r="F39" s="2138">
        <f>ROUND(D39*E39,0)</f>
        <v>0</v>
      </c>
    </row>
    <row r="40" spans="1:6" ht="16.5">
      <c r="A40" s="2128">
        <f t="shared" si="0"/>
        <v>36</v>
      </c>
      <c r="B40" s="2133" t="s">
        <v>5459</v>
      </c>
      <c r="C40" s="2130"/>
      <c r="D40" s="2131">
        <f>SUM(D41:D42)</f>
        <v>0</v>
      </c>
      <c r="E40" s="2149"/>
      <c r="F40" s="2131">
        <f>SUM(F41:F42)</f>
        <v>0</v>
      </c>
    </row>
    <row r="41" spans="1:6" ht="66">
      <c r="A41" s="2128">
        <f t="shared" si="0"/>
        <v>37</v>
      </c>
      <c r="B41" s="2135" t="s">
        <v>5460</v>
      </c>
      <c r="C41" s="2078" t="s">
        <v>6097</v>
      </c>
      <c r="D41" s="2136">
        <f>'表13-2'!T20+'表13-2'!T21+'表30-8-3'!E18+'表30-8-3'!E19-'表30-8-4'!D11-'表30-8-4'!D12</f>
        <v>0</v>
      </c>
      <c r="E41" s="2137">
        <v>0.12280000000000001</v>
      </c>
      <c r="F41" s="2136">
        <f>ROUND(D41*E41,0)</f>
        <v>0</v>
      </c>
    </row>
    <row r="42" spans="1:6" ht="33">
      <c r="A42" s="2128">
        <f t="shared" si="0"/>
        <v>38</v>
      </c>
      <c r="B42" s="2135" t="s">
        <v>5461</v>
      </c>
      <c r="C42" s="2148" t="s">
        <v>5462</v>
      </c>
      <c r="D42" s="2136">
        <f>'表30-8-4'!D11+'表30-8-4'!D12</f>
        <v>0</v>
      </c>
      <c r="E42" s="2132"/>
      <c r="F42" s="2136">
        <f>'表30-8-4'!E11+'表30-8-4'!E12</f>
        <v>0</v>
      </c>
    </row>
    <row r="43" spans="1:6" ht="16.5">
      <c r="A43" s="2128">
        <f t="shared" si="0"/>
        <v>39</v>
      </c>
      <c r="B43" s="2133" t="s">
        <v>5463</v>
      </c>
      <c r="C43" s="2130"/>
      <c r="D43" s="2134">
        <f>SUM(D44:D45)</f>
        <v>0</v>
      </c>
      <c r="E43" s="2132"/>
      <c r="F43" s="2131">
        <f>SUM(F44:F45)</f>
        <v>0</v>
      </c>
    </row>
    <row r="44" spans="1:6" ht="33">
      <c r="A44" s="2128">
        <f t="shared" si="0"/>
        <v>40</v>
      </c>
      <c r="B44" s="2074" t="s">
        <v>5464</v>
      </c>
      <c r="C44" s="2078" t="s">
        <v>5465</v>
      </c>
      <c r="D44" s="2136">
        <f>'表05-1'!G107+'表05-1'!G174+'表05-1'!G229-'表13-4'!L21</f>
        <v>0</v>
      </c>
      <c r="E44" s="2137">
        <v>0.26079999999999998</v>
      </c>
      <c r="F44" s="2138">
        <f>ROUND(D44*E44,0)</f>
        <v>0</v>
      </c>
    </row>
    <row r="45" spans="1:6" ht="33">
      <c r="A45" s="2128">
        <f t="shared" si="0"/>
        <v>41</v>
      </c>
      <c r="B45" s="2074" t="s">
        <v>5466</v>
      </c>
      <c r="C45" s="2078" t="s">
        <v>5467</v>
      </c>
      <c r="D45" s="2136">
        <f>'表13-4'!L21</f>
        <v>0</v>
      </c>
      <c r="E45" s="2137">
        <v>0.1</v>
      </c>
      <c r="F45" s="2138">
        <f>ROUND(D45*E45,0)</f>
        <v>0</v>
      </c>
    </row>
    <row r="46" spans="1:6" ht="16.5">
      <c r="A46" s="2128">
        <f t="shared" si="0"/>
        <v>42</v>
      </c>
      <c r="B46" s="2142" t="s">
        <v>5468</v>
      </c>
      <c r="C46" s="2078" t="s">
        <v>5469</v>
      </c>
      <c r="D46" s="2136">
        <f>表03!H10</f>
        <v>0</v>
      </c>
      <c r="E46" s="2137">
        <v>5.8999999999999997E-2</v>
      </c>
      <c r="F46" s="2138">
        <f>ROUND(D46*E46,0)</f>
        <v>0</v>
      </c>
    </row>
    <row r="47" spans="1:6">
      <c r="A47" s="2128">
        <f t="shared" si="0"/>
        <v>43</v>
      </c>
      <c r="B47" s="2150" t="s">
        <v>1417</v>
      </c>
      <c r="C47" s="2130"/>
      <c r="D47" s="2134">
        <f>SUM(D48:D51)</f>
        <v>0</v>
      </c>
      <c r="E47" s="2132"/>
      <c r="F47" s="2131">
        <f ca="1">SUM(F48:F51)</f>
        <v>0</v>
      </c>
    </row>
    <row r="48" spans="1:6" ht="33">
      <c r="A48" s="2128">
        <f t="shared" si="0"/>
        <v>44</v>
      </c>
      <c r="B48" s="2074" t="s">
        <v>5470</v>
      </c>
      <c r="C48" s="2078" t="s">
        <v>5471</v>
      </c>
      <c r="D48" s="2136">
        <f>'表05-1'!M29-'表30-14-1'!L38</f>
        <v>0</v>
      </c>
      <c r="E48" s="2137">
        <f ca="1">'表30-14'!$J$13</f>
        <v>0.2261</v>
      </c>
      <c r="F48" s="2138">
        <f ca="1">ROUND(D48*E48,0)</f>
        <v>0</v>
      </c>
    </row>
    <row r="49" spans="1:7" ht="33">
      <c r="A49" s="2128">
        <f t="shared" si="0"/>
        <v>45</v>
      </c>
      <c r="B49" s="2074" t="s">
        <v>5472</v>
      </c>
      <c r="C49" s="2078" t="s">
        <v>5473</v>
      </c>
      <c r="D49" s="2136">
        <f>'表05-1'!G30-'表30-14-1'!L40</f>
        <v>0</v>
      </c>
      <c r="E49" s="2137">
        <v>8.1000000000000003E-2</v>
      </c>
      <c r="F49" s="2138">
        <f>ROUND(D49*E49,0)</f>
        <v>0</v>
      </c>
    </row>
    <row r="50" spans="1:7" ht="33">
      <c r="A50" s="2128">
        <f t="shared" si="0"/>
        <v>46</v>
      </c>
      <c r="B50" s="2074" t="s">
        <v>5474</v>
      </c>
      <c r="C50" s="2078" t="s">
        <v>5475</v>
      </c>
      <c r="D50" s="2136">
        <f>'表05-1'!G31-'表30-14-1'!L42</f>
        <v>0</v>
      </c>
      <c r="E50" s="2137">
        <v>0.2165</v>
      </c>
      <c r="F50" s="2138">
        <f>ROUND(D50*E50,0)</f>
        <v>0</v>
      </c>
    </row>
    <row r="51" spans="1:7" ht="16.5">
      <c r="A51" s="2128">
        <f t="shared" si="0"/>
        <v>47</v>
      </c>
      <c r="B51" s="2151" t="s">
        <v>5476</v>
      </c>
      <c r="C51" s="2130"/>
      <c r="D51" s="2134">
        <f>SUM(D52:D54)</f>
        <v>0</v>
      </c>
      <c r="E51" s="2152"/>
      <c r="F51" s="2131">
        <f ca="1">SUM(F52:F54)</f>
        <v>0</v>
      </c>
    </row>
    <row r="52" spans="1:7" ht="33">
      <c r="A52" s="2128">
        <f t="shared" si="0"/>
        <v>48</v>
      </c>
      <c r="B52" s="2077" t="s">
        <v>5477</v>
      </c>
      <c r="C52" s="2078" t="s">
        <v>5478</v>
      </c>
      <c r="D52" s="2136">
        <f>'表05-1'!M183+'表30-14-1'!L38</f>
        <v>0</v>
      </c>
      <c r="E52" s="2137">
        <f ca="1">'表30-14'!E19</f>
        <v>0.2631</v>
      </c>
      <c r="F52" s="2138">
        <f ca="1">ROUND(D52*E52,0)</f>
        <v>0</v>
      </c>
    </row>
    <row r="53" spans="1:7" ht="33">
      <c r="A53" s="2128">
        <f t="shared" si="0"/>
        <v>49</v>
      </c>
      <c r="B53" s="2077" t="s">
        <v>5479</v>
      </c>
      <c r="C53" s="2078" t="s">
        <v>5480</v>
      </c>
      <c r="D53" s="2136">
        <f>'表05-1'!G184+'表30-14-1'!L40</f>
        <v>0</v>
      </c>
      <c r="E53" s="2137">
        <v>6.3299999999999995E-2</v>
      </c>
      <c r="F53" s="2138">
        <f>ROUND(D53*E53,0)</f>
        <v>0</v>
      </c>
    </row>
    <row r="54" spans="1:7" ht="33">
      <c r="A54" s="2128">
        <f t="shared" si="0"/>
        <v>50</v>
      </c>
      <c r="B54" s="2077" t="s">
        <v>5481</v>
      </c>
      <c r="C54" s="2078" t="s">
        <v>5482</v>
      </c>
      <c r="D54" s="2136">
        <f>'表05-1'!G185+'表30-14-1'!L42</f>
        <v>0</v>
      </c>
      <c r="E54" s="2137">
        <v>0.2009</v>
      </c>
      <c r="F54" s="2138">
        <f>ROUND(D54*E54,0)</f>
        <v>0</v>
      </c>
    </row>
    <row r="55" spans="1:7">
      <c r="A55" s="2128">
        <f t="shared" si="0"/>
        <v>51</v>
      </c>
      <c r="B55" s="2150" t="s">
        <v>1418</v>
      </c>
      <c r="C55" s="2130"/>
      <c r="D55" s="2134">
        <f>SUM(D56:D57)</f>
        <v>0</v>
      </c>
      <c r="E55" s="2153"/>
      <c r="F55" s="2131">
        <f>SUM(F56:F57)</f>
        <v>0</v>
      </c>
    </row>
    <row r="56" spans="1:7" ht="33">
      <c r="A56" s="2128">
        <f>A55+1</f>
        <v>52</v>
      </c>
      <c r="B56" s="2074" t="s">
        <v>5483</v>
      </c>
      <c r="C56" s="2078" t="s">
        <v>5484</v>
      </c>
      <c r="D56" s="2136">
        <f>'表05-1'!G32-'表30-14-1'!L44</f>
        <v>0</v>
      </c>
      <c r="E56" s="2137">
        <v>0.30309999999999998</v>
      </c>
      <c r="F56" s="2138">
        <f>ROUND(D56*E56,0)</f>
        <v>0</v>
      </c>
    </row>
    <row r="57" spans="1:7" ht="33">
      <c r="A57" s="2128">
        <f t="shared" si="0"/>
        <v>53</v>
      </c>
      <c r="B57" s="2074" t="s">
        <v>5485</v>
      </c>
      <c r="C57" s="2078" t="s">
        <v>5486</v>
      </c>
      <c r="D57" s="2136">
        <f>'表30-14-1'!L44</f>
        <v>0</v>
      </c>
      <c r="E57" s="2137">
        <v>0.28129999999999999</v>
      </c>
      <c r="F57" s="2138">
        <f>ROUND(D57*E57,0)</f>
        <v>0</v>
      </c>
    </row>
    <row r="58" spans="1:7" ht="16.5">
      <c r="A58" s="2128">
        <f t="shared" si="0"/>
        <v>54</v>
      </c>
      <c r="B58" s="2133" t="s">
        <v>5487</v>
      </c>
      <c r="C58" s="2130"/>
      <c r="D58" s="2131">
        <f>D59+D60+D63</f>
        <v>0</v>
      </c>
      <c r="E58" s="2132"/>
      <c r="F58" s="2131">
        <f>F59+F60+F63</f>
        <v>0</v>
      </c>
    </row>
    <row r="59" spans="1:7" ht="16.5">
      <c r="A59" s="2128">
        <f t="shared" si="0"/>
        <v>55</v>
      </c>
      <c r="B59" s="2074" t="s">
        <v>5488</v>
      </c>
      <c r="C59" s="2066" t="s">
        <v>5489</v>
      </c>
      <c r="D59" s="2136">
        <f>'表05-1'!G244</f>
        <v>0</v>
      </c>
      <c r="E59" s="2154">
        <v>4.5600000000000002E-2</v>
      </c>
      <c r="F59" s="2138">
        <f>ROUND(D59*E59,0)</f>
        <v>0</v>
      </c>
      <c r="G59" s="13"/>
    </row>
    <row r="60" spans="1:7" ht="16.5">
      <c r="A60" s="2128">
        <f t="shared" si="0"/>
        <v>56</v>
      </c>
      <c r="B60" s="2151" t="s">
        <v>5490</v>
      </c>
      <c r="C60" s="2143"/>
      <c r="D60" s="2134">
        <f>D61+D62</f>
        <v>0</v>
      </c>
      <c r="E60" s="2153"/>
      <c r="F60" s="2131">
        <f>F61+F62</f>
        <v>0</v>
      </c>
      <c r="G60" s="13"/>
    </row>
    <row r="61" spans="1:7" ht="33">
      <c r="A61" s="2128">
        <f t="shared" si="0"/>
        <v>57</v>
      </c>
      <c r="B61" s="2077" t="s">
        <v>5491</v>
      </c>
      <c r="C61" s="2155" t="s">
        <v>5492</v>
      </c>
      <c r="D61" s="2136">
        <f>'表30-3-3'!D27</f>
        <v>0</v>
      </c>
      <c r="E61" s="2141"/>
      <c r="F61" s="2138">
        <f>'表30-3-3'!J27</f>
        <v>0</v>
      </c>
      <c r="G61" s="13"/>
    </row>
    <row r="62" spans="1:7" ht="33">
      <c r="A62" s="2128">
        <f t="shared" si="0"/>
        <v>58</v>
      </c>
      <c r="B62" s="2077" t="s">
        <v>5493</v>
      </c>
      <c r="C62" s="2155" t="s">
        <v>5494</v>
      </c>
      <c r="D62" s="2136">
        <f>'表30-3-3'!D49</f>
        <v>0</v>
      </c>
      <c r="E62" s="2152"/>
      <c r="F62" s="2138">
        <f>'表30-3-3'!J49</f>
        <v>0</v>
      </c>
      <c r="G62" s="13"/>
    </row>
    <row r="63" spans="1:7" ht="16.5">
      <c r="A63" s="2128">
        <f t="shared" si="0"/>
        <v>59</v>
      </c>
      <c r="B63" s="2151" t="s">
        <v>5495</v>
      </c>
      <c r="C63" s="2143"/>
      <c r="D63" s="2134">
        <f>D64+D65+D68</f>
        <v>0</v>
      </c>
      <c r="E63" s="2152"/>
      <c r="F63" s="2131">
        <f>F64+F65+F68</f>
        <v>0</v>
      </c>
      <c r="G63" s="13"/>
    </row>
    <row r="64" spans="1:7" ht="33">
      <c r="A64" s="2128">
        <f t="shared" si="0"/>
        <v>60</v>
      </c>
      <c r="B64" s="2077" t="s">
        <v>5496</v>
      </c>
      <c r="C64" s="2066" t="s">
        <v>5497</v>
      </c>
      <c r="D64" s="2136">
        <f>'表05-1'!G221</f>
        <v>0</v>
      </c>
      <c r="E64" s="2137">
        <v>6.4000000000000001E-2</v>
      </c>
      <c r="F64" s="2138">
        <f>ROUND(D64*E64,0)</f>
        <v>0</v>
      </c>
      <c r="G64" s="13"/>
    </row>
    <row r="65" spans="1:7" ht="16.5">
      <c r="A65" s="2338">
        <f t="shared" si="0"/>
        <v>61</v>
      </c>
      <c r="B65" s="2077" t="s">
        <v>6098</v>
      </c>
      <c r="C65" s="2556"/>
      <c r="D65" s="2067">
        <f>SUM(D66:D67)</f>
        <v>0</v>
      </c>
      <c r="E65" s="2152"/>
      <c r="F65" s="2339">
        <f>SUM(F66:F67)</f>
        <v>0</v>
      </c>
      <c r="G65" s="13"/>
    </row>
    <row r="66" spans="1:7" ht="16.5">
      <c r="A66" s="2697" t="s">
        <v>5687</v>
      </c>
      <c r="B66" s="2077" t="s">
        <v>6099</v>
      </c>
      <c r="C66" s="2066" t="s">
        <v>6100</v>
      </c>
      <c r="D66" s="2562">
        <f>'表05-1'!G233</f>
        <v>0</v>
      </c>
      <c r="E66" s="1684">
        <v>0.1018</v>
      </c>
      <c r="F66" s="2339">
        <f>ROUND(D66*E66,0)</f>
        <v>0</v>
      </c>
      <c r="G66" s="13"/>
    </row>
    <row r="67" spans="1:7" ht="16.5">
      <c r="A67" s="2697" t="s">
        <v>5688</v>
      </c>
      <c r="B67" s="2077" t="s">
        <v>6101</v>
      </c>
      <c r="C67" s="2066" t="s">
        <v>6102</v>
      </c>
      <c r="D67" s="2562">
        <f>'表05-1'!G234</f>
        <v>0</v>
      </c>
      <c r="E67" s="1684">
        <v>0.17249999999999999</v>
      </c>
      <c r="F67" s="2339">
        <f>ROUND(D67*E67,0)</f>
        <v>0</v>
      </c>
      <c r="G67" s="13"/>
    </row>
    <row r="68" spans="1:7" ht="16.5">
      <c r="A68" s="2128">
        <f>A65+1</f>
        <v>62</v>
      </c>
      <c r="B68" s="2077" t="s">
        <v>5498</v>
      </c>
      <c r="C68" s="2066" t="s">
        <v>5499</v>
      </c>
      <c r="D68" s="2136">
        <f>'表05-1'!G69+'表05-1'!G72+'表05-1'!G186+'表05-1'!G239+'表05-1'!G246</f>
        <v>0</v>
      </c>
      <c r="E68" s="2154">
        <v>5.0200000000000002E-2</v>
      </c>
      <c r="F68" s="2138">
        <f>ROUND(D68*E68,0)</f>
        <v>0</v>
      </c>
      <c r="G68" s="13"/>
    </row>
    <row r="69" spans="1:7" ht="16.5">
      <c r="A69" s="2128">
        <f>A68+1</f>
        <v>63</v>
      </c>
      <c r="B69" s="2156" t="s">
        <v>5500</v>
      </c>
      <c r="C69" s="2130"/>
      <c r="D69" s="2131">
        <f>D70+D78</f>
        <v>0</v>
      </c>
      <c r="E69" s="2132"/>
      <c r="F69" s="2131">
        <f ca="1">F70+F78</f>
        <v>0</v>
      </c>
    </row>
    <row r="70" spans="1:7" ht="16.5">
      <c r="A70" s="2128">
        <f t="shared" si="0"/>
        <v>64</v>
      </c>
      <c r="B70" s="2129" t="s">
        <v>5501</v>
      </c>
      <c r="C70" s="2130"/>
      <c r="D70" s="2131">
        <f>D71+D75</f>
        <v>0</v>
      </c>
      <c r="E70" s="2132"/>
      <c r="F70" s="2131">
        <f>F71+F75</f>
        <v>0</v>
      </c>
    </row>
    <row r="71" spans="1:7" ht="16.5">
      <c r="A71" s="2128">
        <f t="shared" si="0"/>
        <v>65</v>
      </c>
      <c r="B71" s="2133" t="s">
        <v>5502</v>
      </c>
      <c r="C71" s="2130"/>
      <c r="D71" s="2131">
        <f>D72+D73+D74</f>
        <v>0</v>
      </c>
      <c r="E71" s="2132"/>
      <c r="F71" s="2131">
        <f>F72+F73+F74</f>
        <v>0</v>
      </c>
    </row>
    <row r="72" spans="1:7" ht="33">
      <c r="A72" s="2128">
        <f t="shared" si="0"/>
        <v>66</v>
      </c>
      <c r="B72" s="2135" t="s">
        <v>5503</v>
      </c>
      <c r="C72" s="2078" t="s">
        <v>5504</v>
      </c>
      <c r="D72" s="2138">
        <f>'表30-8-7'!G29+'表30-8-7'!H29</f>
        <v>0</v>
      </c>
      <c r="E72" s="2137" t="s">
        <v>1421</v>
      </c>
      <c r="F72" s="2131"/>
    </row>
    <row r="73" spans="1:7" ht="49.5">
      <c r="A73" s="2128">
        <f t="shared" ref="A73:A130" si="2">A72+1</f>
        <v>67</v>
      </c>
      <c r="B73" s="2135" t="s">
        <v>5505</v>
      </c>
      <c r="C73" s="2078" t="s">
        <v>5506</v>
      </c>
      <c r="D73" s="2138">
        <f>'表10-3'!G18+'表10-3'!H18+'表10-3'!I18-SUM('表30-8-7'!G29:H30)</f>
        <v>0</v>
      </c>
      <c r="E73" s="2154">
        <v>0.54239999999999999</v>
      </c>
      <c r="F73" s="2138">
        <f>ROUND(D73*E73,0)</f>
        <v>0</v>
      </c>
    </row>
    <row r="74" spans="1:7" ht="33">
      <c r="A74" s="2128">
        <f t="shared" si="2"/>
        <v>68</v>
      </c>
      <c r="B74" s="2135" t="s">
        <v>5507</v>
      </c>
      <c r="C74" s="2694" t="s">
        <v>8464</v>
      </c>
      <c r="D74" s="2698">
        <f>'表10-3'!H43+'表10-3'!G43+'表10-3'!I43-SUM('表10-3'!G49:I49)</f>
        <v>0</v>
      </c>
      <c r="E74" s="2137">
        <v>0.3</v>
      </c>
      <c r="F74" s="2138">
        <f>ROUND(D74*E74,0)</f>
        <v>0</v>
      </c>
    </row>
    <row r="75" spans="1:7" ht="16.5">
      <c r="A75" s="2128">
        <f t="shared" si="2"/>
        <v>69</v>
      </c>
      <c r="B75" s="2133" t="s">
        <v>5508</v>
      </c>
      <c r="C75" s="2130"/>
      <c r="D75" s="2131">
        <f>SUM(D76:D77)</f>
        <v>0</v>
      </c>
      <c r="E75" s="2132"/>
      <c r="F75" s="2131">
        <f>SUM(F76:F77)</f>
        <v>0</v>
      </c>
    </row>
    <row r="76" spans="1:7" ht="16.5">
      <c r="A76" s="2128">
        <f t="shared" si="2"/>
        <v>70</v>
      </c>
      <c r="B76" s="2135" t="s">
        <v>5509</v>
      </c>
      <c r="C76" s="2078" t="s">
        <v>5510</v>
      </c>
      <c r="D76" s="2138">
        <f>'表10-3'!G24+'表10-3'!G29+'表10-3'!G30+'表10-3'!H24+'表10-3'!H29+'表10-3'!H30</f>
        <v>0</v>
      </c>
      <c r="E76" s="2137">
        <v>0.36159999999999998</v>
      </c>
      <c r="F76" s="2138">
        <f>ROUND(D76*E76,0)</f>
        <v>0</v>
      </c>
    </row>
    <row r="77" spans="1:7" ht="16.5">
      <c r="A77" s="2128">
        <f t="shared" si="2"/>
        <v>71</v>
      </c>
      <c r="B77" s="2135" t="s">
        <v>5511</v>
      </c>
      <c r="C77" s="2078" t="s">
        <v>5512</v>
      </c>
      <c r="D77" s="2138">
        <f>'表10-3'!H44+'表10-3'!G44</f>
        <v>0</v>
      </c>
      <c r="E77" s="2137">
        <v>0.39410000000000001</v>
      </c>
      <c r="F77" s="2138">
        <f>ROUND(D77*E77,0)</f>
        <v>0</v>
      </c>
    </row>
    <row r="78" spans="1:7" ht="16.5">
      <c r="A78" s="2128">
        <f t="shared" si="2"/>
        <v>72</v>
      </c>
      <c r="B78" s="2129" t="s">
        <v>5513</v>
      </c>
      <c r="C78" s="2130"/>
      <c r="D78" s="2131">
        <f>D79+D80+D86+D102+D105+D106+D107+D115+D118</f>
        <v>0</v>
      </c>
      <c r="E78" s="2141"/>
      <c r="F78" s="2131">
        <f ca="1">F79+F80+F86+F102+F105+F106+F107+F115+F118</f>
        <v>0</v>
      </c>
    </row>
    <row r="79" spans="1:7" ht="16.5">
      <c r="A79" s="2128">
        <f t="shared" si="2"/>
        <v>73</v>
      </c>
      <c r="B79" s="2142" t="s">
        <v>5514</v>
      </c>
      <c r="C79" s="2078" t="s">
        <v>5515</v>
      </c>
      <c r="D79" s="2136">
        <f>'表05-1'!G10+'表05-1'!G188</f>
        <v>0</v>
      </c>
      <c r="E79" s="2137">
        <v>0.01</v>
      </c>
      <c r="F79" s="2138">
        <f>ROUND(D79*E79-'表30-9'!F14-'表30-9'!F15-'表30-9'!F16,0)</f>
        <v>0</v>
      </c>
    </row>
    <row r="80" spans="1:7" ht="33">
      <c r="A80" s="2128">
        <f t="shared" si="2"/>
        <v>74</v>
      </c>
      <c r="B80" s="2133" t="s">
        <v>5516</v>
      </c>
      <c r="C80" s="2143"/>
      <c r="D80" s="2131">
        <f>SUM(D81:D82,D85)</f>
        <v>0</v>
      </c>
      <c r="E80" s="2132"/>
      <c r="F80" s="2131">
        <f>SUM(F81:F82,F85)</f>
        <v>0</v>
      </c>
      <c r="G80" s="13"/>
    </row>
    <row r="81" spans="1:7" ht="33">
      <c r="A81" s="2128">
        <f t="shared" si="2"/>
        <v>75</v>
      </c>
      <c r="B81" s="2135" t="s">
        <v>5517</v>
      </c>
      <c r="C81" s="2078" t="s">
        <v>5518</v>
      </c>
      <c r="D81" s="2136">
        <f>'表30-8-7'!F29</f>
        <v>0</v>
      </c>
      <c r="E81" s="2137" t="s">
        <v>1421</v>
      </c>
      <c r="F81" s="2131"/>
      <c r="G81" s="13"/>
    </row>
    <row r="82" spans="1:7" ht="16.5">
      <c r="A82" s="2128">
        <f t="shared" si="2"/>
        <v>76</v>
      </c>
      <c r="B82" s="2139" t="s">
        <v>5519</v>
      </c>
      <c r="C82" s="2143"/>
      <c r="D82" s="2134">
        <f>D83+D84</f>
        <v>0</v>
      </c>
      <c r="E82" s="2132"/>
      <c r="F82" s="2131">
        <f>F83+F84</f>
        <v>0</v>
      </c>
      <c r="G82" s="13"/>
    </row>
    <row r="83" spans="1:7" ht="49.5">
      <c r="A83" s="2128">
        <f t="shared" si="2"/>
        <v>77</v>
      </c>
      <c r="B83" s="2140" t="s">
        <v>5520</v>
      </c>
      <c r="C83" s="2066" t="s">
        <v>5521</v>
      </c>
      <c r="D83" s="2136">
        <f>'表09-2'!D25+'表11-2'!D37-'表30-8-7'!F30</f>
        <v>0</v>
      </c>
      <c r="E83" s="2068">
        <v>0.54239999999999999</v>
      </c>
      <c r="F83" s="2138">
        <f>ROUND(D83*E83,0)</f>
        <v>0</v>
      </c>
      <c r="G83" s="13"/>
    </row>
    <row r="84" spans="1:7" ht="49.5">
      <c r="A84" s="2128">
        <f t="shared" si="2"/>
        <v>78</v>
      </c>
      <c r="B84" s="2140" t="s">
        <v>5522</v>
      </c>
      <c r="C84" s="2695" t="s">
        <v>8465</v>
      </c>
      <c r="D84" s="2696">
        <f>'表11-2'!H37+'表09-2'!H25-'表11-2'!H48-'表09-2'!H31</f>
        <v>0</v>
      </c>
      <c r="E84" s="2137">
        <v>0.3</v>
      </c>
      <c r="F84" s="2138">
        <f>ROUND(D84*E84,0)</f>
        <v>0</v>
      </c>
      <c r="G84" s="13"/>
    </row>
    <row r="85" spans="1:7" ht="33">
      <c r="A85" s="2128">
        <f t="shared" si="2"/>
        <v>79</v>
      </c>
      <c r="B85" s="2135" t="s">
        <v>5523</v>
      </c>
      <c r="C85" s="2066" t="s">
        <v>5524</v>
      </c>
      <c r="D85" s="2136">
        <f>'表05-1'!G39+'表05-1'!G54+'表05-1'!G190-D81-D82</f>
        <v>0</v>
      </c>
      <c r="E85" s="2154">
        <v>0.01</v>
      </c>
      <c r="F85" s="2138">
        <f>ROUND(D85*E85,0)</f>
        <v>0</v>
      </c>
      <c r="G85" s="13"/>
    </row>
    <row r="86" spans="1:7" ht="16.5">
      <c r="A86" s="2128">
        <f t="shared" si="2"/>
        <v>80</v>
      </c>
      <c r="B86" s="2133" t="s">
        <v>5525</v>
      </c>
      <c r="C86" s="2130"/>
      <c r="D86" s="2134">
        <f>SUM(D87:D92)</f>
        <v>0</v>
      </c>
      <c r="E86" s="2132"/>
      <c r="F86" s="2134">
        <f ca="1">SUM(F87:F92)</f>
        <v>0</v>
      </c>
    </row>
    <row r="87" spans="1:7" ht="49.5">
      <c r="A87" s="2128">
        <f t="shared" si="2"/>
        <v>81</v>
      </c>
      <c r="B87" s="2135" t="s">
        <v>5526</v>
      </c>
      <c r="C87" s="2078" t="s">
        <v>5527</v>
      </c>
      <c r="D87" s="2136">
        <f>'表05-1'!M74-'表30-14-1'!L33</f>
        <v>0</v>
      </c>
      <c r="E87" s="2147">
        <f ca="1">'表30-14'!J13</f>
        <v>0.2261</v>
      </c>
      <c r="F87" s="2138">
        <f ca="1">ROUND(D87*E87,0)</f>
        <v>0</v>
      </c>
    </row>
    <row r="88" spans="1:7" ht="49.5">
      <c r="A88" s="2128">
        <f t="shared" si="2"/>
        <v>82</v>
      </c>
      <c r="B88" s="2135" t="s">
        <v>5528</v>
      </c>
      <c r="C88" s="2078" t="s">
        <v>5529</v>
      </c>
      <c r="D88" s="2136">
        <f>'表05-1'!G75-'表30-14-1'!L35</f>
        <v>0</v>
      </c>
      <c r="E88" s="2137">
        <v>8.1000000000000003E-2</v>
      </c>
      <c r="F88" s="2138">
        <f>ROUND(D88*E88,0)</f>
        <v>0</v>
      </c>
    </row>
    <row r="89" spans="1:7" ht="49.5">
      <c r="A89" s="2128">
        <f t="shared" si="2"/>
        <v>83</v>
      </c>
      <c r="B89" s="2135" t="s">
        <v>5530</v>
      </c>
      <c r="C89" s="2078" t="s">
        <v>5531</v>
      </c>
      <c r="D89" s="2136">
        <f>'表05-1'!M76-'表30-14-1'!L37</f>
        <v>0</v>
      </c>
      <c r="E89" s="2147">
        <f ca="1">'表30-14'!J14</f>
        <v>0.2261</v>
      </c>
      <c r="F89" s="2138">
        <f t="shared" ref="F89:F106" ca="1" si="3">ROUND(D89*E89,0)</f>
        <v>0</v>
      </c>
    </row>
    <row r="90" spans="1:7" ht="16.5">
      <c r="A90" s="2128">
        <f t="shared" si="2"/>
        <v>84</v>
      </c>
      <c r="B90" s="2135" t="s">
        <v>5532</v>
      </c>
      <c r="C90" s="2078" t="s">
        <v>5533</v>
      </c>
      <c r="D90" s="2136">
        <f>'表05-1'!G78</f>
        <v>0</v>
      </c>
      <c r="E90" s="2137">
        <v>1.4E-2</v>
      </c>
      <c r="F90" s="2138">
        <f t="shared" si="3"/>
        <v>0</v>
      </c>
    </row>
    <row r="91" spans="1:7" ht="33">
      <c r="A91" s="2128">
        <f t="shared" si="2"/>
        <v>85</v>
      </c>
      <c r="B91" s="2135" t="s">
        <v>5534</v>
      </c>
      <c r="C91" s="2148" t="s">
        <v>5535</v>
      </c>
      <c r="D91" s="2136">
        <f>'表05-1'!G79-'表30-14-1'!L46</f>
        <v>0</v>
      </c>
      <c r="E91" s="2083">
        <v>0.33750000000000002</v>
      </c>
      <c r="F91" s="2138">
        <f t="shared" si="3"/>
        <v>0</v>
      </c>
    </row>
    <row r="92" spans="1:7" ht="16.5">
      <c r="A92" s="2128">
        <f t="shared" si="2"/>
        <v>86</v>
      </c>
      <c r="B92" s="2139" t="s">
        <v>5536</v>
      </c>
      <c r="C92" s="2145"/>
      <c r="D92" s="2134">
        <f>D93+D94+D95+D96+D97+D98+D99+D100+D101</f>
        <v>0</v>
      </c>
      <c r="E92" s="2132"/>
      <c r="F92" s="2131">
        <f ca="1">F93+F94+F95+F96+F97+F98+F99+F100+F101</f>
        <v>0</v>
      </c>
    </row>
    <row r="93" spans="1:7" ht="49.5">
      <c r="A93" s="2128">
        <f t="shared" si="2"/>
        <v>87</v>
      </c>
      <c r="B93" s="2140" t="s">
        <v>5537</v>
      </c>
      <c r="C93" s="2078" t="s">
        <v>5538</v>
      </c>
      <c r="D93" s="2136">
        <f>'表12-2'!G47+'表30-14-1'!L33</f>
        <v>0</v>
      </c>
      <c r="E93" s="2137">
        <f ca="1">'表30-14'!E19</f>
        <v>0.2631</v>
      </c>
      <c r="F93" s="2138">
        <f t="shared" ca="1" si="3"/>
        <v>0</v>
      </c>
    </row>
    <row r="94" spans="1:7" ht="49.5">
      <c r="A94" s="2128">
        <f t="shared" si="2"/>
        <v>88</v>
      </c>
      <c r="B94" s="2140" t="s">
        <v>5539</v>
      </c>
      <c r="C94" s="2078" t="s">
        <v>5540</v>
      </c>
      <c r="D94" s="2136">
        <f>'表12-2'!D48+'表30-14-1'!L35</f>
        <v>0</v>
      </c>
      <c r="E94" s="2137">
        <v>6.3299999999999995E-2</v>
      </c>
      <c r="F94" s="2138">
        <f t="shared" si="3"/>
        <v>0</v>
      </c>
    </row>
    <row r="95" spans="1:7" ht="49.5">
      <c r="A95" s="2128">
        <f t="shared" si="2"/>
        <v>89</v>
      </c>
      <c r="B95" s="2140" t="s">
        <v>5541</v>
      </c>
      <c r="C95" s="2078" t="s">
        <v>5542</v>
      </c>
      <c r="D95" s="2136">
        <f>'表12-2'!G49+'表30-14-1'!L37</f>
        <v>0</v>
      </c>
      <c r="E95" s="2137">
        <f ca="1">'表30-14'!E20</f>
        <v>0.2631</v>
      </c>
      <c r="F95" s="2138">
        <f t="shared" ca="1" si="3"/>
        <v>0</v>
      </c>
    </row>
    <row r="96" spans="1:7" ht="16.5">
      <c r="A96" s="2128">
        <f t="shared" si="2"/>
        <v>90</v>
      </c>
      <c r="B96" s="2140" t="s">
        <v>5543</v>
      </c>
      <c r="C96" s="2078" t="s">
        <v>5544</v>
      </c>
      <c r="D96" s="2136">
        <f>'表12-2'!D50</f>
        <v>0</v>
      </c>
      <c r="E96" s="2137">
        <v>1.09E-2</v>
      </c>
      <c r="F96" s="2138">
        <f t="shared" si="3"/>
        <v>0</v>
      </c>
    </row>
    <row r="97" spans="1:6" ht="49.5">
      <c r="A97" s="2128">
        <f t="shared" si="2"/>
        <v>91</v>
      </c>
      <c r="B97" s="2140" t="s">
        <v>5545</v>
      </c>
      <c r="C97" s="2078" t="s">
        <v>5546</v>
      </c>
      <c r="D97" s="2136">
        <f>'表12-2'!D51+'表30-14-1'!L46</f>
        <v>0</v>
      </c>
      <c r="E97" s="2083">
        <v>0.33750000000000002</v>
      </c>
      <c r="F97" s="2138">
        <f>ROUND(D97*E97,0)</f>
        <v>0</v>
      </c>
    </row>
    <row r="98" spans="1:6" ht="16.5">
      <c r="A98" s="2128">
        <f t="shared" si="2"/>
        <v>92</v>
      </c>
      <c r="B98" s="2140" t="s">
        <v>5547</v>
      </c>
      <c r="C98" s="2078" t="s">
        <v>5548</v>
      </c>
      <c r="D98" s="2136">
        <f>'表12-2'!D52</f>
        <v>0</v>
      </c>
      <c r="E98" s="2083">
        <v>0.33750000000000002</v>
      </c>
      <c r="F98" s="2138">
        <f t="shared" si="3"/>
        <v>0</v>
      </c>
    </row>
    <row r="99" spans="1:6" ht="16.5">
      <c r="A99" s="2128">
        <f t="shared" si="2"/>
        <v>93</v>
      </c>
      <c r="B99" s="2140" t="s">
        <v>5549</v>
      </c>
      <c r="C99" s="2078" t="s">
        <v>5550</v>
      </c>
      <c r="D99" s="2136">
        <f>'表12-2'!D53</f>
        <v>0</v>
      </c>
      <c r="E99" s="2083">
        <v>0.33750000000000002</v>
      </c>
      <c r="F99" s="2138">
        <f t="shared" si="3"/>
        <v>0</v>
      </c>
    </row>
    <row r="100" spans="1:6" ht="16.5">
      <c r="A100" s="2128">
        <f t="shared" si="2"/>
        <v>94</v>
      </c>
      <c r="B100" s="2140" t="s">
        <v>5551</v>
      </c>
      <c r="C100" s="2078" t="s">
        <v>5552</v>
      </c>
      <c r="D100" s="2136">
        <f>'表05-1'!G195</f>
        <v>0</v>
      </c>
      <c r="E100" s="2137">
        <v>0.1018</v>
      </c>
      <c r="F100" s="2138">
        <f t="shared" si="3"/>
        <v>0</v>
      </c>
    </row>
    <row r="101" spans="1:6" ht="16.5">
      <c r="A101" s="2128">
        <f t="shared" si="2"/>
        <v>95</v>
      </c>
      <c r="B101" s="2140" t="s">
        <v>5553</v>
      </c>
      <c r="C101" s="2078" t="s">
        <v>5554</v>
      </c>
      <c r="D101" s="2136">
        <f>'表05-1'!G197</f>
        <v>0</v>
      </c>
      <c r="E101" s="2137">
        <v>0.29499999999999998</v>
      </c>
      <c r="F101" s="2138">
        <f>ROUND(D101*E101,0)</f>
        <v>0</v>
      </c>
    </row>
    <row r="102" spans="1:6" ht="16.5">
      <c r="A102" s="2128">
        <f t="shared" si="2"/>
        <v>96</v>
      </c>
      <c r="B102" s="2133" t="s">
        <v>5555</v>
      </c>
      <c r="C102" s="2130"/>
      <c r="D102" s="2131">
        <f>SUM(D103:D104)</f>
        <v>0</v>
      </c>
      <c r="E102" s="2132"/>
      <c r="F102" s="2131">
        <f>SUM(F103:F104)</f>
        <v>0</v>
      </c>
    </row>
    <row r="103" spans="1:6" ht="66">
      <c r="A103" s="2128">
        <f t="shared" si="2"/>
        <v>97</v>
      </c>
      <c r="B103" s="2135" t="s">
        <v>5556</v>
      </c>
      <c r="C103" s="2078" t="s">
        <v>6103</v>
      </c>
      <c r="D103" s="2136">
        <f>'表13-2'!T22+'表13-2'!T23+'表30-8-3'!E20+'表30-8-3'!E21-'表30-8-4'!D13-'表30-8-4'!D14</f>
        <v>0</v>
      </c>
      <c r="E103" s="2137">
        <v>0.11169999999999999</v>
      </c>
      <c r="F103" s="2138">
        <f>ROUND(D103*E103,0)</f>
        <v>0</v>
      </c>
    </row>
    <row r="104" spans="1:6" ht="33">
      <c r="A104" s="2128">
        <f t="shared" si="2"/>
        <v>98</v>
      </c>
      <c r="B104" s="2135" t="s">
        <v>5557</v>
      </c>
      <c r="C104" s="2148" t="s">
        <v>5558</v>
      </c>
      <c r="D104" s="2136">
        <f>SUM('表30-8-4'!D13:D14)</f>
        <v>0</v>
      </c>
      <c r="E104" s="2157"/>
      <c r="F104" s="2138">
        <f>SUM('表30-8-4'!E13:E14)</f>
        <v>0</v>
      </c>
    </row>
    <row r="105" spans="1:6" ht="16.5">
      <c r="A105" s="2128">
        <f t="shared" si="2"/>
        <v>99</v>
      </c>
      <c r="B105" s="2142" t="s">
        <v>5559</v>
      </c>
      <c r="C105" s="2078" t="s">
        <v>5560</v>
      </c>
      <c r="D105" s="2136">
        <f>'表05-1'!G108+'表05-1'!G189+'表05-1'!G230</f>
        <v>0</v>
      </c>
      <c r="E105" s="2137">
        <v>0.23710000000000001</v>
      </c>
      <c r="F105" s="2138">
        <f>ROUND(D105*E105,0)</f>
        <v>0</v>
      </c>
    </row>
    <row r="106" spans="1:6" ht="16.5">
      <c r="A106" s="2128">
        <f t="shared" si="2"/>
        <v>100</v>
      </c>
      <c r="B106" s="2142" t="s">
        <v>5561</v>
      </c>
      <c r="C106" s="2078" t="s">
        <v>5562</v>
      </c>
      <c r="D106" s="2136">
        <f>表03!H11</f>
        <v>0</v>
      </c>
      <c r="E106" s="2137">
        <v>5.3600000000000002E-2</v>
      </c>
      <c r="F106" s="2138">
        <f t="shared" si="3"/>
        <v>0</v>
      </c>
    </row>
    <row r="107" spans="1:6">
      <c r="A107" s="2128">
        <f t="shared" si="2"/>
        <v>101</v>
      </c>
      <c r="B107" s="2150" t="s">
        <v>1419</v>
      </c>
      <c r="C107" s="2130"/>
      <c r="D107" s="2134">
        <f>SUM(D108:D111)</f>
        <v>0</v>
      </c>
      <c r="E107" s="2132"/>
      <c r="F107" s="2131">
        <f ca="1">SUM(F108:F111)</f>
        <v>0</v>
      </c>
    </row>
    <row r="108" spans="1:6" ht="33">
      <c r="A108" s="2128">
        <f t="shared" si="2"/>
        <v>102</v>
      </c>
      <c r="B108" s="2074" t="s">
        <v>5563</v>
      </c>
      <c r="C108" s="2078" t="s">
        <v>5564</v>
      </c>
      <c r="D108" s="2136">
        <f>'表05-1'!M35-'表30-14-1'!L39</f>
        <v>0</v>
      </c>
      <c r="E108" s="2137">
        <f ca="1">'表30-14'!$J$13</f>
        <v>0.2261</v>
      </c>
      <c r="F108" s="2138">
        <f ca="1">ROUND(D108*E108,0)</f>
        <v>0</v>
      </c>
    </row>
    <row r="109" spans="1:6" ht="33">
      <c r="A109" s="2128">
        <f t="shared" si="2"/>
        <v>103</v>
      </c>
      <c r="B109" s="2074" t="s">
        <v>5565</v>
      </c>
      <c r="C109" s="2078" t="s">
        <v>5566</v>
      </c>
      <c r="D109" s="2136">
        <f>'表05-1'!G36-'表30-14-1'!L41</f>
        <v>0</v>
      </c>
      <c r="E109" s="2137">
        <v>8.1000000000000003E-2</v>
      </c>
      <c r="F109" s="2138">
        <f>ROUND(D109*E109,0)</f>
        <v>0</v>
      </c>
    </row>
    <row r="110" spans="1:6" ht="33">
      <c r="A110" s="2128">
        <f t="shared" si="2"/>
        <v>104</v>
      </c>
      <c r="B110" s="2074" t="s">
        <v>5567</v>
      </c>
      <c r="C110" s="2078" t="s">
        <v>5568</v>
      </c>
      <c r="D110" s="2136">
        <f>'表05-1'!G37-'表30-14-1'!L43</f>
        <v>0</v>
      </c>
      <c r="E110" s="2137">
        <v>0.2165</v>
      </c>
      <c r="F110" s="2138">
        <f>ROUND(D110*E110,0)</f>
        <v>0</v>
      </c>
    </row>
    <row r="111" spans="1:6" ht="16.5">
      <c r="A111" s="2128">
        <f t="shared" si="2"/>
        <v>105</v>
      </c>
      <c r="B111" s="2151" t="s">
        <v>5569</v>
      </c>
      <c r="C111" s="2130"/>
      <c r="D111" s="2134">
        <f>SUM(D112:D114)</f>
        <v>0</v>
      </c>
      <c r="E111" s="2152"/>
      <c r="F111" s="2131">
        <f ca="1">SUM(F112:F114)</f>
        <v>0</v>
      </c>
    </row>
    <row r="112" spans="1:6" ht="33">
      <c r="A112" s="2128">
        <f t="shared" si="2"/>
        <v>106</v>
      </c>
      <c r="B112" s="2077" t="s">
        <v>5570</v>
      </c>
      <c r="C112" s="2078" t="s">
        <v>5571</v>
      </c>
      <c r="D112" s="2136">
        <f>'表05-1'!M198+'表30-14-1'!L39</f>
        <v>0</v>
      </c>
      <c r="E112" s="2137">
        <f ca="1">'表30-14'!E19</f>
        <v>0.2631</v>
      </c>
      <c r="F112" s="2138">
        <f ca="1">ROUND(D112*E112,0)</f>
        <v>0</v>
      </c>
    </row>
    <row r="113" spans="1:7" ht="33">
      <c r="A113" s="2128">
        <f t="shared" si="2"/>
        <v>107</v>
      </c>
      <c r="B113" s="2077" t="s">
        <v>5572</v>
      </c>
      <c r="C113" s="2078" t="s">
        <v>5573</v>
      </c>
      <c r="D113" s="2136">
        <f>'表05-1'!G199+'表30-14-1'!L41</f>
        <v>0</v>
      </c>
      <c r="E113" s="2137">
        <v>6.3299999999999995E-2</v>
      </c>
      <c r="F113" s="2138">
        <f>ROUND(D113*E113,0)</f>
        <v>0</v>
      </c>
    </row>
    <row r="114" spans="1:7" ht="33">
      <c r="A114" s="2128">
        <f t="shared" si="2"/>
        <v>108</v>
      </c>
      <c r="B114" s="2077" t="s">
        <v>5574</v>
      </c>
      <c r="C114" s="2078" t="s">
        <v>5575</v>
      </c>
      <c r="D114" s="2136">
        <f>'表05-1'!G200+'表30-14-1'!L43</f>
        <v>0</v>
      </c>
      <c r="E114" s="2137">
        <v>0.2009</v>
      </c>
      <c r="F114" s="2138">
        <f>ROUND(D114*E114,0)</f>
        <v>0</v>
      </c>
    </row>
    <row r="115" spans="1:7">
      <c r="A115" s="2128">
        <f t="shared" si="2"/>
        <v>109</v>
      </c>
      <c r="B115" s="2150" t="s">
        <v>1420</v>
      </c>
      <c r="C115" s="2130"/>
      <c r="D115" s="2134">
        <f>SUM(D116:D117)</f>
        <v>0</v>
      </c>
      <c r="E115" s="2153"/>
      <c r="F115" s="2131">
        <f>SUM(F116:F117)</f>
        <v>0</v>
      </c>
    </row>
    <row r="116" spans="1:7" ht="33">
      <c r="A116" s="2128">
        <f t="shared" si="2"/>
        <v>110</v>
      </c>
      <c r="B116" s="2074" t="s">
        <v>5576</v>
      </c>
      <c r="C116" s="2078" t="s">
        <v>5577</v>
      </c>
      <c r="D116" s="2136">
        <f>'表05-1'!G38-'表30-14-1'!L45</f>
        <v>0</v>
      </c>
      <c r="E116" s="2137">
        <v>0.30309999999999998</v>
      </c>
      <c r="F116" s="2138">
        <f>ROUND(D116*E116,0)</f>
        <v>0</v>
      </c>
    </row>
    <row r="117" spans="1:7" ht="33">
      <c r="A117" s="2128">
        <f t="shared" si="2"/>
        <v>111</v>
      </c>
      <c r="B117" s="2074" t="s">
        <v>5578</v>
      </c>
      <c r="C117" s="2078" t="s">
        <v>5579</v>
      </c>
      <c r="D117" s="2136">
        <f>'表30-14-1'!L45</f>
        <v>0</v>
      </c>
      <c r="E117" s="2137">
        <v>0.28129999999999999</v>
      </c>
      <c r="F117" s="2138">
        <f>ROUND(D117*E117,0)</f>
        <v>0</v>
      </c>
    </row>
    <row r="118" spans="1:7" ht="16.5">
      <c r="A118" s="2128">
        <f t="shared" si="2"/>
        <v>112</v>
      </c>
      <c r="B118" s="2133" t="s">
        <v>5580</v>
      </c>
      <c r="C118" s="2130"/>
      <c r="D118" s="2131">
        <f>D119+D120+D123</f>
        <v>0</v>
      </c>
      <c r="E118" s="2158"/>
      <c r="F118" s="2131">
        <f>F119+F120+F123</f>
        <v>0</v>
      </c>
    </row>
    <row r="119" spans="1:7" ht="16.5">
      <c r="A119" s="2128">
        <f t="shared" si="2"/>
        <v>113</v>
      </c>
      <c r="B119" s="2074" t="s">
        <v>5581</v>
      </c>
      <c r="C119" s="2066" t="s">
        <v>5582</v>
      </c>
      <c r="D119" s="2136">
        <f>'表05-1'!G248</f>
        <v>0</v>
      </c>
      <c r="E119" s="2137">
        <v>4.5600000000000002E-2</v>
      </c>
      <c r="F119" s="2138">
        <f>ROUND(D119*E119,0)</f>
        <v>0</v>
      </c>
    </row>
    <row r="120" spans="1:7" ht="16.5">
      <c r="A120" s="2128">
        <f t="shared" si="2"/>
        <v>114</v>
      </c>
      <c r="B120" s="2151" t="s">
        <v>5583</v>
      </c>
      <c r="C120" s="2143"/>
      <c r="D120" s="2134">
        <f>D121+D122</f>
        <v>0</v>
      </c>
      <c r="E120" s="2153"/>
      <c r="F120" s="2131">
        <f>F121+F122</f>
        <v>0</v>
      </c>
      <c r="G120" s="13"/>
    </row>
    <row r="121" spans="1:7" ht="33">
      <c r="A121" s="2128">
        <f t="shared" si="2"/>
        <v>115</v>
      </c>
      <c r="B121" s="2077" t="s">
        <v>5584</v>
      </c>
      <c r="C121" s="2155" t="s">
        <v>5585</v>
      </c>
      <c r="D121" s="2136">
        <f>'表30-3-3'!E27</f>
        <v>0</v>
      </c>
      <c r="E121" s="2141"/>
      <c r="F121" s="2138">
        <f>'表30-3-3'!K27</f>
        <v>0</v>
      </c>
      <c r="G121" s="13"/>
    </row>
    <row r="122" spans="1:7" ht="33">
      <c r="A122" s="2128">
        <f t="shared" si="2"/>
        <v>116</v>
      </c>
      <c r="B122" s="2077" t="s">
        <v>5586</v>
      </c>
      <c r="C122" s="2155" t="s">
        <v>5587</v>
      </c>
      <c r="D122" s="2136">
        <f>'表30-3-3'!E49</f>
        <v>0</v>
      </c>
      <c r="E122" s="2152"/>
      <c r="F122" s="2138">
        <f>'表30-3-3'!K49</f>
        <v>0</v>
      </c>
      <c r="G122" s="13"/>
    </row>
    <row r="123" spans="1:7" ht="16.5">
      <c r="A123" s="2128">
        <f t="shared" si="2"/>
        <v>117</v>
      </c>
      <c r="B123" s="2151" t="s">
        <v>5588</v>
      </c>
      <c r="C123" s="2143"/>
      <c r="D123" s="2134">
        <f>D124+D125+D128</f>
        <v>0</v>
      </c>
      <c r="E123" s="2152"/>
      <c r="F123" s="2131">
        <f>F124+F125+F128</f>
        <v>0</v>
      </c>
      <c r="G123" s="13"/>
    </row>
    <row r="124" spans="1:7" ht="33">
      <c r="A124" s="2128">
        <f t="shared" si="2"/>
        <v>118</v>
      </c>
      <c r="B124" s="2077" t="s">
        <v>5589</v>
      </c>
      <c r="C124" s="2066" t="s">
        <v>5590</v>
      </c>
      <c r="D124" s="2136">
        <f>'表05-1'!G222</f>
        <v>0</v>
      </c>
      <c r="E124" s="2154">
        <v>5.6500000000000002E-2</v>
      </c>
      <c r="F124" s="2138">
        <f>ROUND(D124*E124,0)</f>
        <v>0</v>
      </c>
      <c r="G124" s="13"/>
    </row>
    <row r="125" spans="1:7" ht="16.5">
      <c r="A125" s="2341">
        <f t="shared" si="2"/>
        <v>119</v>
      </c>
      <c r="B125" s="2077" t="s">
        <v>6104</v>
      </c>
      <c r="C125" s="2556"/>
      <c r="D125" s="2562">
        <f>SUM(D126,D127)</f>
        <v>0</v>
      </c>
      <c r="E125" s="2152"/>
      <c r="F125" s="2340">
        <f>SUM(F126,F127)</f>
        <v>0</v>
      </c>
      <c r="G125" s="13"/>
    </row>
    <row r="126" spans="1:7" ht="16.5">
      <c r="A126" s="2342" t="s">
        <v>5689</v>
      </c>
      <c r="B126" s="2077" t="s">
        <v>6105</v>
      </c>
      <c r="C126" s="2066" t="s">
        <v>6106</v>
      </c>
      <c r="D126" s="2562">
        <f>'表05-1'!G236</f>
        <v>0</v>
      </c>
      <c r="E126" s="2154">
        <v>0.1018</v>
      </c>
      <c r="F126" s="2339">
        <f>ROUND(D126*E126,0)</f>
        <v>0</v>
      </c>
      <c r="G126" s="13"/>
    </row>
    <row r="127" spans="1:7" ht="16.5">
      <c r="A127" s="2342" t="s">
        <v>5690</v>
      </c>
      <c r="B127" s="2077" t="s">
        <v>6107</v>
      </c>
      <c r="C127" s="2066" t="s">
        <v>6108</v>
      </c>
      <c r="D127" s="2562">
        <f>'表05-1'!G237</f>
        <v>0</v>
      </c>
      <c r="E127" s="2154">
        <v>0.17249999999999999</v>
      </c>
      <c r="F127" s="2339">
        <f>ROUND(D127*E127,0)</f>
        <v>0</v>
      </c>
      <c r="G127" s="13"/>
    </row>
    <row r="128" spans="1:7" ht="16.5">
      <c r="A128" s="2128">
        <f>A125+1</f>
        <v>120</v>
      </c>
      <c r="B128" s="2077" t="s">
        <v>5591</v>
      </c>
      <c r="C128" s="2066" t="s">
        <v>5592</v>
      </c>
      <c r="D128" s="2136">
        <f>'表05-1'!G77+'表05-1'!G80+'表05-1'!G201+'表05-1'!G240+'表05-1'!G250</f>
        <v>0</v>
      </c>
      <c r="E128" s="2154">
        <v>4.5600000000000002E-2</v>
      </c>
      <c r="F128" s="2138">
        <f>ROUND(D128*E128,0)</f>
        <v>0</v>
      </c>
      <c r="G128" s="13"/>
    </row>
    <row r="129" spans="1:7" ht="33.75" thickBot="1">
      <c r="A129" s="2128">
        <f t="shared" si="2"/>
        <v>121</v>
      </c>
      <c r="B129" s="2159" t="s">
        <v>5593</v>
      </c>
      <c r="C129" s="2095" t="s">
        <v>5594</v>
      </c>
      <c r="D129" s="2160">
        <f>'表05-1'!G171+SUM('表30-14-1'!L32:L48,'表30-14-1'!L51)</f>
        <v>0</v>
      </c>
      <c r="E129" s="2161">
        <v>6.6100000000000006E-2</v>
      </c>
      <c r="F129" s="2160">
        <f>ROUND(D129*E129,0)</f>
        <v>0</v>
      </c>
      <c r="G129" s="13"/>
    </row>
    <row r="130" spans="1:7" ht="17.25" thickTop="1">
      <c r="A130" s="2162">
        <f t="shared" si="2"/>
        <v>122</v>
      </c>
      <c r="B130" s="2163" t="s">
        <v>5595</v>
      </c>
      <c r="C130" s="2163"/>
      <c r="D130" s="2164">
        <f>D5+D69</f>
        <v>0</v>
      </c>
      <c r="E130" s="2165"/>
      <c r="F130" s="2164">
        <f ca="1">F5+F69+F129</f>
        <v>0</v>
      </c>
    </row>
    <row r="131" spans="1:7" ht="16.5">
      <c r="A131" s="413" t="s">
        <v>5393</v>
      </c>
      <c r="B131" s="13"/>
      <c r="C131" s="13"/>
      <c r="D131" s="13"/>
      <c r="E131" s="13"/>
      <c r="F131" s="13"/>
      <c r="G131" s="13"/>
    </row>
    <row r="132" spans="1:7" ht="15.75" customHeight="1">
      <c r="A132" s="2112">
        <v>1</v>
      </c>
      <c r="B132" s="2166" t="s">
        <v>4808</v>
      </c>
      <c r="C132" s="2167"/>
      <c r="D132" s="2167"/>
      <c r="E132" s="2167"/>
      <c r="F132" s="2167"/>
      <c r="G132" s="2168"/>
    </row>
    <row r="133" spans="1:7" ht="15.75" customHeight="1">
      <c r="A133" s="2112">
        <v>2</v>
      </c>
      <c r="B133" s="2169" t="s">
        <v>4809</v>
      </c>
      <c r="C133" s="2167"/>
      <c r="D133" s="2167"/>
      <c r="E133" s="2167"/>
      <c r="F133" s="2167"/>
      <c r="G133" s="2168"/>
    </row>
    <row r="134" spans="1:7" ht="16.5">
      <c r="B134" s="2169" t="s">
        <v>5596</v>
      </c>
      <c r="C134" s="2170"/>
      <c r="D134" s="2170"/>
      <c r="E134" s="2170"/>
      <c r="F134" s="2170"/>
      <c r="G134" s="2168"/>
    </row>
    <row r="135" spans="1:7" ht="15.75" customHeight="1">
      <c r="A135" s="2112">
        <v>3</v>
      </c>
      <c r="B135" s="2170" t="s">
        <v>5597</v>
      </c>
      <c r="C135" s="2167"/>
      <c r="D135" s="2167"/>
      <c r="E135" s="2167"/>
      <c r="F135" s="2167"/>
      <c r="G135" s="2168"/>
    </row>
    <row r="136" spans="1:7" ht="15.75" customHeight="1">
      <c r="A136" s="2112">
        <v>4</v>
      </c>
      <c r="B136" s="2167" t="s">
        <v>5598</v>
      </c>
      <c r="C136" s="2167"/>
      <c r="D136" s="2167"/>
      <c r="E136" s="2167"/>
      <c r="F136" s="2167"/>
    </row>
    <row r="137" spans="1:7" ht="15.75" customHeight="1">
      <c r="B137" s="2166" t="s">
        <v>4810</v>
      </c>
      <c r="C137" s="2167"/>
      <c r="D137" s="2167"/>
      <c r="E137" s="2167"/>
      <c r="F137" s="2167"/>
    </row>
    <row r="138" spans="1:7" ht="16.5">
      <c r="A138" s="2112">
        <v>5</v>
      </c>
      <c r="B138" s="2167" t="s">
        <v>5599</v>
      </c>
      <c r="C138" s="2170"/>
      <c r="D138" s="2171"/>
      <c r="E138" s="2172"/>
      <c r="F138" s="2171"/>
    </row>
    <row r="139" spans="1:7" ht="16.5">
      <c r="B139" s="2167" t="s">
        <v>5600</v>
      </c>
    </row>
    <row r="140" spans="1:7" ht="16.5">
      <c r="A140" s="2112">
        <v>6</v>
      </c>
      <c r="B140" s="2175" t="s">
        <v>4811</v>
      </c>
    </row>
  </sheetData>
  <mergeCells count="3">
    <mergeCell ref="A3:A4"/>
    <mergeCell ref="B3:B4"/>
    <mergeCell ref="C3:C4"/>
  </mergeCells>
  <phoneticPr fontId="30"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28"/>
  <sheetViews>
    <sheetView view="pageBreakPreview" zoomScaleNormal="100" zoomScaleSheetLayoutView="100" workbookViewId="0">
      <selection activeCell="E20" sqref="E20"/>
    </sheetView>
  </sheetViews>
  <sheetFormatPr defaultColWidth="15.625" defaultRowHeight="15.75"/>
  <cols>
    <col min="1" max="1" width="5.625" style="2112" customWidth="1"/>
    <col min="2" max="2" width="71" style="13" customWidth="1"/>
    <col min="3" max="3" width="77.5" style="2108" customWidth="1"/>
    <col min="4" max="4" width="16.25" style="771" customWidth="1"/>
    <col min="5" max="5" width="15.625" style="2111" customWidth="1"/>
    <col min="6" max="6" width="20.625" style="771" customWidth="1"/>
    <col min="7" max="16" width="15.625" style="771" customWidth="1"/>
    <col min="17" max="16384" width="15.625" style="13"/>
  </cols>
  <sheetData>
    <row r="1" spans="1:16" s="73" customFormat="1" ht="16.5">
      <c r="A1" s="2186" t="str">
        <f>+封面!A3&amp;" "&amp;封面!A2</f>
        <v xml:space="preserve"> 中央再保險股份有限公司 年度檢查報表</v>
      </c>
      <c r="B1" s="2048"/>
      <c r="C1" s="71"/>
      <c r="D1" s="40"/>
      <c r="E1" s="40"/>
      <c r="F1" s="40"/>
      <c r="G1" s="40"/>
      <c r="H1" s="40"/>
      <c r="I1" s="40"/>
      <c r="J1" s="40"/>
      <c r="K1" s="40"/>
      <c r="L1" s="40"/>
      <c r="M1" s="40"/>
      <c r="N1" s="40"/>
      <c r="O1" s="40"/>
      <c r="P1" s="40"/>
    </row>
    <row r="2" spans="1:16" ht="16.5">
      <c r="A2" s="72" t="s">
        <v>5128</v>
      </c>
      <c r="B2" s="2049"/>
      <c r="C2" s="2050"/>
      <c r="D2" s="2051"/>
      <c r="E2" s="2052"/>
      <c r="F2" s="2053" t="s">
        <v>241</v>
      </c>
      <c r="G2" s="2054"/>
      <c r="H2" s="13"/>
      <c r="I2" s="13"/>
      <c r="J2" s="13"/>
      <c r="K2" s="13"/>
      <c r="L2" s="13"/>
      <c r="M2" s="13"/>
      <c r="N2" s="2054"/>
      <c r="O2" s="13"/>
      <c r="P2" s="13"/>
    </row>
    <row r="3" spans="1:16" ht="16.5">
      <c r="A3" s="3216" t="s">
        <v>181</v>
      </c>
      <c r="B3" s="3216" t="s">
        <v>1388</v>
      </c>
      <c r="C3" s="3216" t="s">
        <v>1389</v>
      </c>
      <c r="D3" s="2055" t="s">
        <v>1382</v>
      </c>
      <c r="E3" s="2469" t="s">
        <v>852</v>
      </c>
      <c r="F3" s="2055" t="s">
        <v>2525</v>
      </c>
      <c r="G3" s="2056"/>
      <c r="H3" s="13"/>
      <c r="I3" s="13"/>
      <c r="J3" s="13"/>
      <c r="K3" s="13"/>
      <c r="L3" s="13"/>
      <c r="M3" s="13"/>
      <c r="N3" s="13"/>
      <c r="O3" s="13"/>
      <c r="P3" s="13"/>
    </row>
    <row r="4" spans="1:16" ht="16.5">
      <c r="A4" s="3216"/>
      <c r="B4" s="3216"/>
      <c r="C4" s="3216"/>
      <c r="D4" s="2057" t="s">
        <v>1390</v>
      </c>
      <c r="E4" s="2057" t="s">
        <v>67</v>
      </c>
      <c r="F4" s="2058" t="s">
        <v>1218</v>
      </c>
      <c r="G4" s="2056"/>
      <c r="H4" s="13"/>
      <c r="I4" s="13"/>
      <c r="J4" s="13"/>
      <c r="K4" s="13"/>
      <c r="L4" s="13"/>
      <c r="M4" s="13"/>
      <c r="N4" s="13"/>
      <c r="O4" s="13"/>
      <c r="P4" s="13"/>
    </row>
    <row r="5" spans="1:16" ht="16.5">
      <c r="A5" s="2059">
        <v>1</v>
      </c>
      <c r="B5" s="2060" t="s">
        <v>5129</v>
      </c>
      <c r="C5" s="2061"/>
      <c r="D5" s="2062">
        <f>SUM(D6:D7,D50,D63,D69)</f>
        <v>0</v>
      </c>
      <c r="E5" s="2063"/>
      <c r="F5" s="2062">
        <f ca="1">SUM(F6:F7,F50,F63,F69)</f>
        <v>0</v>
      </c>
      <c r="O5" s="13"/>
      <c r="P5" s="13"/>
    </row>
    <row r="6" spans="1:16" ht="16.5">
      <c r="A6" s="2064">
        <f>A5+1</f>
        <v>2</v>
      </c>
      <c r="B6" s="2065" t="s">
        <v>5130</v>
      </c>
      <c r="C6" s="2066" t="s">
        <v>5131</v>
      </c>
      <c r="D6" s="2067">
        <f>SUM('表05-1'!G6:G7)</f>
        <v>0</v>
      </c>
      <c r="E6" s="2068">
        <v>0</v>
      </c>
      <c r="F6" s="2067">
        <f>ROUND(D6*E6,0)</f>
        <v>0</v>
      </c>
      <c r="H6" s="13"/>
      <c r="I6" s="13"/>
      <c r="J6" s="13"/>
      <c r="K6" s="13"/>
      <c r="L6" s="13"/>
      <c r="M6" s="13"/>
      <c r="N6" s="13"/>
      <c r="O6" s="13"/>
      <c r="P6" s="13"/>
    </row>
    <row r="7" spans="1:16" ht="16.5">
      <c r="A7" s="2064">
        <f t="shared" ref="A7:A70" si="0">A6+1</f>
        <v>3</v>
      </c>
      <c r="B7" s="2069" t="s">
        <v>5132</v>
      </c>
      <c r="C7" s="2070"/>
      <c r="D7" s="2071">
        <f>SUM(D8,D21,D26,D39,D45,D49)</f>
        <v>0</v>
      </c>
      <c r="E7" s="2072"/>
      <c r="F7" s="2071">
        <f ca="1">SUM(F8,F21,F26,F39,F45,F49)</f>
        <v>0</v>
      </c>
      <c r="H7" s="13"/>
      <c r="I7" s="13"/>
      <c r="J7" s="13"/>
      <c r="K7" s="13"/>
      <c r="L7" s="13"/>
      <c r="M7" s="13"/>
      <c r="N7" s="13"/>
      <c r="O7" s="13"/>
      <c r="P7" s="13"/>
    </row>
    <row r="8" spans="1:16" ht="16.5">
      <c r="A8" s="2064">
        <f t="shared" si="0"/>
        <v>4</v>
      </c>
      <c r="B8" s="2073" t="s">
        <v>5133</v>
      </c>
      <c r="C8" s="2070"/>
      <c r="D8" s="2071">
        <f>SUM(D9:D10,D16:D17)</f>
        <v>0</v>
      </c>
      <c r="E8" s="2072"/>
      <c r="F8" s="2071">
        <f>SUM(F9:F10,F16:F17)</f>
        <v>0</v>
      </c>
      <c r="H8" s="13"/>
      <c r="I8" s="13"/>
      <c r="J8" s="13"/>
      <c r="K8" s="13"/>
      <c r="L8" s="13"/>
      <c r="M8" s="13"/>
      <c r="N8" s="13"/>
      <c r="O8" s="13"/>
      <c r="P8" s="13"/>
    </row>
    <row r="9" spans="1:16" ht="16.5">
      <c r="A9" s="2064">
        <f t="shared" si="0"/>
        <v>5</v>
      </c>
      <c r="B9" s="2074" t="s">
        <v>5134</v>
      </c>
      <c r="C9" s="2066" t="s">
        <v>5135</v>
      </c>
      <c r="D9" s="2067">
        <f>'表05-1'!G12</f>
        <v>0</v>
      </c>
      <c r="E9" s="2068">
        <v>0</v>
      </c>
      <c r="F9" s="2067">
        <f>ROUND(D9*E9,0)</f>
        <v>0</v>
      </c>
      <c r="H9" s="13"/>
      <c r="I9" s="13"/>
      <c r="J9" s="13"/>
      <c r="K9" s="13"/>
      <c r="L9" s="13"/>
      <c r="M9" s="13"/>
      <c r="N9" s="13"/>
      <c r="O9" s="13"/>
      <c r="P9" s="13"/>
    </row>
    <row r="10" spans="1:16" ht="16.5">
      <c r="A10" s="2064">
        <f t="shared" si="0"/>
        <v>6</v>
      </c>
      <c r="B10" s="2075" t="s">
        <v>5136</v>
      </c>
      <c r="C10" s="2076"/>
      <c r="D10" s="2071">
        <f>SUM(D11:D12)</f>
        <v>0</v>
      </c>
      <c r="E10" s="2072"/>
      <c r="F10" s="2071">
        <f>F12</f>
        <v>0</v>
      </c>
      <c r="H10" s="13"/>
      <c r="I10" s="13"/>
      <c r="J10" s="13"/>
      <c r="K10" s="13"/>
      <c r="L10" s="13"/>
      <c r="M10" s="13"/>
      <c r="N10" s="13"/>
      <c r="O10" s="13"/>
      <c r="P10" s="13"/>
    </row>
    <row r="11" spans="1:16" ht="33">
      <c r="A11" s="2064">
        <f t="shared" si="0"/>
        <v>7</v>
      </c>
      <c r="B11" s="2077" t="s">
        <v>5137</v>
      </c>
      <c r="C11" s="2078" t="s">
        <v>5138</v>
      </c>
      <c r="D11" s="2067">
        <f>'表30-8-7'!F34</f>
        <v>0</v>
      </c>
      <c r="E11" s="2068" t="s">
        <v>2526</v>
      </c>
      <c r="F11" s="2071"/>
      <c r="H11" s="13"/>
      <c r="I11" s="13"/>
      <c r="J11" s="13"/>
      <c r="K11" s="13"/>
      <c r="L11" s="13"/>
      <c r="M11" s="13"/>
      <c r="N11" s="13"/>
      <c r="O11" s="13"/>
      <c r="P11" s="13"/>
    </row>
    <row r="12" spans="1:16" ht="16.5">
      <c r="A12" s="2064">
        <f t="shared" si="0"/>
        <v>8</v>
      </c>
      <c r="B12" s="2079" t="s">
        <v>5139</v>
      </c>
      <c r="C12" s="2076"/>
      <c r="D12" s="2071">
        <f>SUM(D13:D15)</f>
        <v>0</v>
      </c>
      <c r="E12" s="2072"/>
      <c r="F12" s="2071">
        <f>SUM(F13:F15)</f>
        <v>0</v>
      </c>
      <c r="H12" s="13"/>
      <c r="I12" s="13"/>
      <c r="J12" s="13"/>
      <c r="K12" s="13"/>
      <c r="L12" s="13"/>
      <c r="M12" s="13"/>
      <c r="N12" s="13"/>
      <c r="O12" s="13"/>
      <c r="P12" s="13"/>
    </row>
    <row r="13" spans="1:16" ht="33">
      <c r="A13" s="2064">
        <f t="shared" si="0"/>
        <v>9</v>
      </c>
      <c r="B13" s="2080" t="s">
        <v>5140</v>
      </c>
      <c r="C13" s="2066" t="s">
        <v>5141</v>
      </c>
      <c r="D13" s="2067">
        <f>'表30-3-1'!D24-'表30-3-1'!D120</f>
        <v>0</v>
      </c>
      <c r="E13" s="2072"/>
      <c r="F13" s="2067">
        <f>'表30-3-1'!F24-'表30-3-1'!F120</f>
        <v>0</v>
      </c>
      <c r="H13" s="13"/>
      <c r="I13" s="13"/>
      <c r="J13" s="13"/>
      <c r="K13" s="13"/>
      <c r="L13" s="13"/>
      <c r="M13" s="13"/>
      <c r="N13" s="13"/>
      <c r="O13" s="13"/>
      <c r="P13" s="13"/>
    </row>
    <row r="14" spans="1:16" ht="33">
      <c r="A14" s="2064">
        <f t="shared" si="0"/>
        <v>10</v>
      </c>
      <c r="B14" s="2080" t="s">
        <v>5142</v>
      </c>
      <c r="C14" s="2066" t="s">
        <v>5143</v>
      </c>
      <c r="D14" s="2067">
        <f>'表30-3-1'!D43</f>
        <v>0</v>
      </c>
      <c r="E14" s="2072"/>
      <c r="F14" s="2067">
        <f>'表30-3-1'!F43</f>
        <v>0</v>
      </c>
      <c r="H14" s="13"/>
      <c r="I14" s="13"/>
      <c r="J14" s="13"/>
      <c r="K14" s="13"/>
      <c r="L14" s="13"/>
      <c r="M14" s="13"/>
      <c r="N14" s="13"/>
      <c r="O14" s="13"/>
      <c r="P14" s="13"/>
    </row>
    <row r="15" spans="1:16" ht="33">
      <c r="A15" s="2064">
        <f t="shared" si="0"/>
        <v>11</v>
      </c>
      <c r="B15" s="2080" t="s">
        <v>5144</v>
      </c>
      <c r="C15" s="2066" t="s">
        <v>5145</v>
      </c>
      <c r="D15" s="2067">
        <f>'表30-3-1'!D44</f>
        <v>0</v>
      </c>
      <c r="E15" s="2068">
        <v>0.20799999999999999</v>
      </c>
      <c r="F15" s="2067">
        <f>ROUND(D15*E15,0)</f>
        <v>0</v>
      </c>
      <c r="H15" s="13"/>
      <c r="I15" s="13"/>
      <c r="J15" s="13"/>
      <c r="K15" s="13"/>
      <c r="L15" s="13"/>
      <c r="M15" s="13"/>
      <c r="N15" s="13"/>
      <c r="O15" s="13"/>
      <c r="P15" s="13"/>
    </row>
    <row r="16" spans="1:16" ht="33">
      <c r="A16" s="2064">
        <f t="shared" si="0"/>
        <v>12</v>
      </c>
      <c r="B16" s="2074" t="s">
        <v>5146</v>
      </c>
      <c r="C16" s="2066" t="s">
        <v>5147</v>
      </c>
      <c r="D16" s="2067">
        <f>'表30-3-1'!D63</f>
        <v>0</v>
      </c>
      <c r="E16" s="2072"/>
      <c r="F16" s="2067">
        <f>'表30-3-1'!F63</f>
        <v>0</v>
      </c>
      <c r="H16" s="13"/>
      <c r="I16" s="13"/>
      <c r="J16" s="13"/>
      <c r="K16" s="13"/>
      <c r="L16" s="13"/>
      <c r="M16" s="13"/>
      <c r="N16" s="13"/>
      <c r="O16" s="13"/>
      <c r="P16" s="13"/>
    </row>
    <row r="17" spans="1:7" s="13" customFormat="1" ht="16.5">
      <c r="A17" s="2064">
        <f t="shared" si="0"/>
        <v>13</v>
      </c>
      <c r="B17" s="2075" t="s">
        <v>5148</v>
      </c>
      <c r="C17" s="2070"/>
      <c r="D17" s="2071">
        <f>SUM(D18:D20)</f>
        <v>0</v>
      </c>
      <c r="E17" s="2072"/>
      <c r="F17" s="2071">
        <f>SUM(F18:F20)</f>
        <v>0</v>
      </c>
      <c r="G17" s="771"/>
    </row>
    <row r="18" spans="1:7" s="13" customFormat="1" ht="33">
      <c r="A18" s="2064">
        <f t="shared" si="0"/>
        <v>14</v>
      </c>
      <c r="B18" s="2077" t="s">
        <v>5149</v>
      </c>
      <c r="C18" s="2066" t="s">
        <v>5150</v>
      </c>
      <c r="D18" s="2067">
        <f>'表30-3-1'!D82</f>
        <v>0</v>
      </c>
      <c r="E18" s="2072"/>
      <c r="F18" s="2067">
        <f>'表30-3-1'!F82</f>
        <v>0</v>
      </c>
      <c r="G18" s="771"/>
    </row>
    <row r="19" spans="1:7" s="13" customFormat="1" ht="33">
      <c r="A19" s="2064">
        <f t="shared" si="0"/>
        <v>15</v>
      </c>
      <c r="B19" s="2077" t="s">
        <v>5151</v>
      </c>
      <c r="C19" s="2066" t="s">
        <v>5152</v>
      </c>
      <c r="D19" s="2067">
        <f>'表30-3-1'!D83</f>
        <v>0</v>
      </c>
      <c r="E19" s="2072"/>
      <c r="F19" s="2067">
        <f>'表30-3-1'!F83</f>
        <v>0</v>
      </c>
      <c r="G19" s="771"/>
    </row>
    <row r="20" spans="1:7" s="13" customFormat="1" ht="33">
      <c r="A20" s="2064">
        <f t="shared" si="0"/>
        <v>16</v>
      </c>
      <c r="B20" s="2077" t="s">
        <v>5153</v>
      </c>
      <c r="C20" s="2066" t="s">
        <v>5154</v>
      </c>
      <c r="D20" s="2067">
        <f>'表30-3-1'!D84</f>
        <v>0</v>
      </c>
      <c r="E20" s="2699">
        <v>9.2299999999999993E-2</v>
      </c>
      <c r="F20" s="2067">
        <f>ROUND(D20*E20,0)</f>
        <v>0</v>
      </c>
      <c r="G20" s="771"/>
    </row>
    <row r="21" spans="1:7" s="13" customFormat="1" ht="16.5">
      <c r="A21" s="2064">
        <f t="shared" si="0"/>
        <v>17</v>
      </c>
      <c r="B21" s="2073" t="s">
        <v>5155</v>
      </c>
      <c r="C21" s="2081"/>
      <c r="D21" s="2071">
        <f>SUM(D22:D25)</f>
        <v>0</v>
      </c>
      <c r="E21" s="2072"/>
      <c r="F21" s="2071">
        <f>SUM(F22:F25)</f>
        <v>0</v>
      </c>
      <c r="G21" s="771"/>
    </row>
    <row r="22" spans="1:7" s="13" customFormat="1" ht="16.5">
      <c r="A22" s="2064">
        <f t="shared" si="0"/>
        <v>18</v>
      </c>
      <c r="B22" s="2074" t="s">
        <v>5156</v>
      </c>
      <c r="C22" s="2066" t="s">
        <v>5157</v>
      </c>
      <c r="D22" s="2067">
        <f>'表05-1'!G16</f>
        <v>0</v>
      </c>
      <c r="E22" s="2068">
        <v>2.5999999999999999E-3</v>
      </c>
      <c r="F22" s="2067">
        <f>ROUND(D22*E22,0)</f>
        <v>0</v>
      </c>
      <c r="G22" s="771"/>
    </row>
    <row r="23" spans="1:7" s="13" customFormat="1" ht="16.5">
      <c r="A23" s="2064">
        <f t="shared" si="0"/>
        <v>19</v>
      </c>
      <c r="B23" s="2074" t="s">
        <v>5158</v>
      </c>
      <c r="C23" s="2066" t="s">
        <v>5159</v>
      </c>
      <c r="D23" s="2067">
        <f>'表05-1'!G17</f>
        <v>0</v>
      </c>
      <c r="E23" s="2068">
        <v>2.5999999999999999E-3</v>
      </c>
      <c r="F23" s="2067">
        <f>ROUND(D23*E23,0)</f>
        <v>0</v>
      </c>
      <c r="G23" s="771"/>
    </row>
    <row r="24" spans="1:7" s="13" customFormat="1" ht="16.5">
      <c r="A24" s="2064">
        <f t="shared" si="0"/>
        <v>20</v>
      </c>
      <c r="B24" s="2074" t="s">
        <v>5160</v>
      </c>
      <c r="C24" s="2066" t="s">
        <v>5161</v>
      </c>
      <c r="D24" s="2067">
        <f>'表05-1'!G18</f>
        <v>0</v>
      </c>
      <c r="E24" s="2068">
        <v>2.5999999999999999E-3</v>
      </c>
      <c r="F24" s="2067">
        <f>ROUND(D24*E24,0)</f>
        <v>0</v>
      </c>
      <c r="G24" s="771"/>
    </row>
    <row r="25" spans="1:7" s="13" customFormat="1" ht="16.5">
      <c r="A25" s="2064">
        <f t="shared" si="0"/>
        <v>21</v>
      </c>
      <c r="B25" s="2074" t="s">
        <v>5162</v>
      </c>
      <c r="C25" s="2066" t="s">
        <v>5163</v>
      </c>
      <c r="D25" s="2067">
        <f>'表05-1'!G19</f>
        <v>0</v>
      </c>
      <c r="E25" s="2068">
        <v>2.5999999999999999E-3</v>
      </c>
      <c r="F25" s="2067">
        <f>ROUND(D25*E25,0)</f>
        <v>0</v>
      </c>
      <c r="G25" s="771"/>
    </row>
    <row r="26" spans="1:7" s="13" customFormat="1" ht="16.5">
      <c r="A26" s="2064">
        <f t="shared" si="0"/>
        <v>22</v>
      </c>
      <c r="B26" s="2073" t="s">
        <v>5164</v>
      </c>
      <c r="C26" s="2070"/>
      <c r="D26" s="2071">
        <f>SUM(D27,D30,D33:D34)</f>
        <v>0</v>
      </c>
      <c r="E26" s="2072"/>
      <c r="F26" s="2071">
        <f ca="1">SUM(F27,F30,F33:F34)</f>
        <v>0</v>
      </c>
      <c r="G26" s="771"/>
    </row>
    <row r="27" spans="1:7" s="13" customFormat="1" ht="16.5">
      <c r="A27" s="2064">
        <f t="shared" si="0"/>
        <v>23</v>
      </c>
      <c r="B27" s="2075" t="s">
        <v>5165</v>
      </c>
      <c r="C27" s="2076"/>
      <c r="D27" s="2071">
        <f>SUM(D28:D29)</f>
        <v>0</v>
      </c>
      <c r="E27" s="2072"/>
      <c r="F27" s="2071">
        <f ca="1">SUM(F28:F29)</f>
        <v>0</v>
      </c>
      <c r="G27" s="771"/>
    </row>
    <row r="28" spans="1:7" s="13" customFormat="1" ht="16.5">
      <c r="A28" s="2064">
        <f t="shared" si="0"/>
        <v>24</v>
      </c>
      <c r="B28" s="2077" t="s">
        <v>5166</v>
      </c>
      <c r="C28" s="2066" t="s">
        <v>5167</v>
      </c>
      <c r="D28" s="2067">
        <f>'表10-4'!G7+'表10-4'!G26</f>
        <v>0</v>
      </c>
      <c r="E28" s="2068">
        <f ca="1">'表30-14'!J7</f>
        <v>0.2586</v>
      </c>
      <c r="F28" s="2067">
        <f ca="1">ROUND(D28*E28,0)</f>
        <v>0</v>
      </c>
      <c r="G28" s="771"/>
    </row>
    <row r="29" spans="1:7" s="13" customFormat="1" ht="33">
      <c r="A29" s="2064">
        <f t="shared" si="0"/>
        <v>25</v>
      </c>
      <c r="B29" s="2077" t="s">
        <v>5168</v>
      </c>
      <c r="C29" s="2066" t="s">
        <v>5169</v>
      </c>
      <c r="D29" s="2067">
        <f>'表10-4'!G8+'表10-4'!G27-'表16-2-1'!G45</f>
        <v>0</v>
      </c>
      <c r="E29" s="2068">
        <f ca="1">'表30-14'!J8</f>
        <v>0.2261</v>
      </c>
      <c r="F29" s="2067">
        <f ca="1">ROUND(D29*E29,0)</f>
        <v>0</v>
      </c>
      <c r="G29" s="771"/>
    </row>
    <row r="30" spans="1:7" s="13" customFormat="1" ht="16.5">
      <c r="A30" s="2064">
        <f t="shared" si="0"/>
        <v>26</v>
      </c>
      <c r="B30" s="2075" t="s">
        <v>5170</v>
      </c>
      <c r="C30" s="2076"/>
      <c r="D30" s="2071">
        <f>SUM(D31:D32)</f>
        <v>0</v>
      </c>
      <c r="E30" s="2072"/>
      <c r="F30" s="2071">
        <f ca="1">SUM(F31:F32)</f>
        <v>0</v>
      </c>
      <c r="G30" s="771"/>
    </row>
    <row r="31" spans="1:7" s="13" customFormat="1" ht="16.5">
      <c r="A31" s="2064">
        <f t="shared" si="0"/>
        <v>27</v>
      </c>
      <c r="B31" s="2077" t="s">
        <v>5171</v>
      </c>
      <c r="C31" s="2066" t="s">
        <v>5172</v>
      </c>
      <c r="D31" s="2067">
        <f>SUM('表10-4'!G10,'表10-4'!G29)</f>
        <v>0</v>
      </c>
      <c r="E31" s="2068">
        <f ca="1">'表30-14'!J10</f>
        <v>0.33379999999999999</v>
      </c>
      <c r="F31" s="2067">
        <f ca="1">ROUND(D31*E31,0)</f>
        <v>0</v>
      </c>
      <c r="G31" s="771"/>
    </row>
    <row r="32" spans="1:7" s="13" customFormat="1" ht="16.5">
      <c r="A32" s="2064">
        <f t="shared" si="0"/>
        <v>28</v>
      </c>
      <c r="B32" s="2077" t="s">
        <v>5173</v>
      </c>
      <c r="C32" s="2066" t="s">
        <v>5174</v>
      </c>
      <c r="D32" s="2067">
        <f>SUM('表10-4'!G11,'表10-4'!G30)</f>
        <v>0</v>
      </c>
      <c r="E32" s="2068">
        <f ca="1">'表30-14'!J11</f>
        <v>0.2888</v>
      </c>
      <c r="F32" s="2067">
        <f ca="1">ROUND(D32*E32,0)</f>
        <v>0</v>
      </c>
      <c r="G32" s="771"/>
    </row>
    <row r="33" spans="1:7" s="13" customFormat="1" ht="16.5">
      <c r="A33" s="2064">
        <f t="shared" si="0"/>
        <v>29</v>
      </c>
      <c r="B33" s="2074" t="s">
        <v>5175</v>
      </c>
      <c r="C33" s="2066" t="s">
        <v>5176</v>
      </c>
      <c r="D33" s="2067">
        <f>SUM('表10-4'!F12,'表10-4'!F31)</f>
        <v>0</v>
      </c>
      <c r="E33" s="2068">
        <v>0.375</v>
      </c>
      <c r="F33" s="2067">
        <f>ROUND(D33*E33,0)</f>
        <v>0</v>
      </c>
      <c r="G33" s="771"/>
    </row>
    <row r="34" spans="1:7" s="13" customFormat="1" ht="16.5">
      <c r="A34" s="2064">
        <f t="shared" si="0"/>
        <v>30</v>
      </c>
      <c r="B34" s="2075" t="s">
        <v>5177</v>
      </c>
      <c r="C34" s="2070"/>
      <c r="D34" s="2071">
        <f>SUM(D35:D36)</f>
        <v>0</v>
      </c>
      <c r="E34" s="2072"/>
      <c r="F34" s="2071">
        <f>F36</f>
        <v>0</v>
      </c>
      <c r="G34" s="771"/>
    </row>
    <row r="35" spans="1:7" s="13" customFormat="1" ht="33">
      <c r="A35" s="2064">
        <f t="shared" si="0"/>
        <v>31</v>
      </c>
      <c r="B35" s="2077" t="s">
        <v>5178</v>
      </c>
      <c r="C35" s="2078" t="s">
        <v>5179</v>
      </c>
      <c r="D35" s="2067">
        <f>'表30-8-7'!G34+'表30-8-7'!H34</f>
        <v>0</v>
      </c>
      <c r="E35" s="2068" t="s">
        <v>2527</v>
      </c>
      <c r="F35" s="2071"/>
      <c r="G35" s="771"/>
    </row>
    <row r="36" spans="1:7" s="13" customFormat="1" ht="16.5">
      <c r="A36" s="2064">
        <f t="shared" si="0"/>
        <v>32</v>
      </c>
      <c r="B36" s="2079" t="s">
        <v>5180</v>
      </c>
      <c r="C36" s="2070"/>
      <c r="D36" s="2071">
        <f>D37+D38</f>
        <v>0</v>
      </c>
      <c r="E36" s="2072"/>
      <c r="F36" s="2071">
        <f>F37+F38</f>
        <v>0</v>
      </c>
      <c r="G36" s="771"/>
    </row>
    <row r="37" spans="1:7" s="13" customFormat="1" ht="33">
      <c r="A37" s="2064">
        <f t="shared" si="0"/>
        <v>33</v>
      </c>
      <c r="B37" s="2080" t="s">
        <v>5181</v>
      </c>
      <c r="C37" s="2066" t="s">
        <v>5182</v>
      </c>
      <c r="D37" s="2067">
        <f>'表30-3-1'!D101</f>
        <v>0</v>
      </c>
      <c r="E37" s="2072"/>
      <c r="F37" s="2067">
        <f>'表30-3-1'!F101</f>
        <v>0</v>
      </c>
      <c r="G37" s="771"/>
    </row>
    <row r="38" spans="1:7" s="13" customFormat="1" ht="49.5">
      <c r="A38" s="2064">
        <f t="shared" si="0"/>
        <v>34</v>
      </c>
      <c r="B38" s="2080" t="s">
        <v>5183</v>
      </c>
      <c r="C38" s="2066" t="s">
        <v>5184</v>
      </c>
      <c r="D38" s="2067">
        <f>SUM('表10-4'!G16,'表10-4'!G35,'表10-4'!F17,'表10-4'!F36)-'表10-2'!P37-'表30-8-7'!H33</f>
        <v>0</v>
      </c>
      <c r="E38" s="2068">
        <v>0.21</v>
      </c>
      <c r="F38" s="2067">
        <f>ROUND(D38*E38,0)</f>
        <v>0</v>
      </c>
      <c r="G38" s="771"/>
    </row>
    <row r="39" spans="1:7" s="13" customFormat="1" ht="16.5">
      <c r="A39" s="2064">
        <f t="shared" si="0"/>
        <v>35</v>
      </c>
      <c r="B39" s="2073" t="s">
        <v>5185</v>
      </c>
      <c r="C39" s="2070"/>
      <c r="D39" s="2071">
        <f>SUM(D40:D44)</f>
        <v>0</v>
      </c>
      <c r="E39" s="2072"/>
      <c r="F39" s="2071">
        <f ca="1">SUM(F40:F44)</f>
        <v>0</v>
      </c>
      <c r="G39" s="771"/>
    </row>
    <row r="40" spans="1:7" s="13" customFormat="1" ht="33">
      <c r="A40" s="2064">
        <f t="shared" si="0"/>
        <v>36</v>
      </c>
      <c r="B40" s="2074" t="s">
        <v>5186</v>
      </c>
      <c r="C40" s="2066" t="s">
        <v>5187</v>
      </c>
      <c r="D40" s="2067">
        <f>'表05-1'!M57-'表30-14-1'!L8-'表30-14-1'!L9</f>
        <v>0</v>
      </c>
      <c r="E40" s="2068">
        <f ca="1">'表30-14'!J13</f>
        <v>0.2261</v>
      </c>
      <c r="F40" s="2067">
        <f ca="1">ROUND(D40*E40,0)</f>
        <v>0</v>
      </c>
      <c r="G40" s="771"/>
    </row>
    <row r="41" spans="1:7" s="13" customFormat="1" ht="33">
      <c r="A41" s="2064">
        <f t="shared" si="0"/>
        <v>37</v>
      </c>
      <c r="B41" s="2074" t="s">
        <v>5188</v>
      </c>
      <c r="C41" s="2082" t="s">
        <v>5189</v>
      </c>
      <c r="D41" s="2067">
        <f>'表05-1'!G58-'表30-14-1'!L10-'表30-14-1'!L11</f>
        <v>0</v>
      </c>
      <c r="E41" s="2068">
        <v>8.1000000000000003E-2</v>
      </c>
      <c r="F41" s="2067">
        <f>ROUND(D41*E41-'表30-9'!F26-'表30-9'!F27-'表30-9'!F28,0)</f>
        <v>0</v>
      </c>
      <c r="G41" s="771"/>
    </row>
    <row r="42" spans="1:7" s="13" customFormat="1" ht="33">
      <c r="A42" s="2064">
        <f t="shared" si="0"/>
        <v>38</v>
      </c>
      <c r="B42" s="2074" t="s">
        <v>5190</v>
      </c>
      <c r="C42" s="2066" t="s">
        <v>5191</v>
      </c>
      <c r="D42" s="2067">
        <f>'表05-1'!M59-'表30-14-1'!L12-'表30-14-1'!L13</f>
        <v>0</v>
      </c>
      <c r="E42" s="2068">
        <f ca="1">'表30-14'!J14</f>
        <v>0.2261</v>
      </c>
      <c r="F42" s="2067">
        <f ca="1">ROUND(D42*E42,0)</f>
        <v>0</v>
      </c>
      <c r="G42" s="771"/>
    </row>
    <row r="43" spans="1:7" s="13" customFormat="1" ht="16.5">
      <c r="A43" s="2064">
        <f t="shared" si="0"/>
        <v>39</v>
      </c>
      <c r="B43" s="2074" t="s">
        <v>5192</v>
      </c>
      <c r="C43" s="2066" t="s">
        <v>5193</v>
      </c>
      <c r="D43" s="2067">
        <f>SUM('表05-1'!G61)</f>
        <v>0</v>
      </c>
      <c r="E43" s="2068">
        <v>1.4E-2</v>
      </c>
      <c r="F43" s="2067">
        <f>ROUND(D43*E43-'表30-9'!F29-'表30-9'!F30-'表30-9'!F31,0)</f>
        <v>0</v>
      </c>
      <c r="G43" s="771"/>
    </row>
    <row r="44" spans="1:7" s="13" customFormat="1" ht="33">
      <c r="A44" s="2064">
        <f t="shared" si="0"/>
        <v>40</v>
      </c>
      <c r="B44" s="2074" t="s">
        <v>5194</v>
      </c>
      <c r="C44" s="2082" t="s">
        <v>5195</v>
      </c>
      <c r="D44" s="2067">
        <f>SUM('表05-1'!G62)-'表30-14-1'!L22-'表30-14-1'!L23</f>
        <v>0</v>
      </c>
      <c r="E44" s="2083">
        <v>0.33750000000000002</v>
      </c>
      <c r="F44" s="2067">
        <f>ROUND(D44*E44,0)</f>
        <v>0</v>
      </c>
      <c r="G44" s="771"/>
    </row>
    <row r="45" spans="1:7" s="13" customFormat="1">
      <c r="A45" s="2064">
        <f t="shared" si="0"/>
        <v>41</v>
      </c>
      <c r="B45" s="2073" t="s">
        <v>2528</v>
      </c>
      <c r="C45" s="2070"/>
      <c r="D45" s="2071">
        <f>SUM(D46:D48)</f>
        <v>0</v>
      </c>
      <c r="E45" s="2072"/>
      <c r="F45" s="2071">
        <f ca="1">SUM(F46:F48)</f>
        <v>0</v>
      </c>
      <c r="G45" s="771"/>
    </row>
    <row r="46" spans="1:7" s="13" customFormat="1" ht="33">
      <c r="A46" s="2064">
        <f t="shared" si="0"/>
        <v>42</v>
      </c>
      <c r="B46" s="2074" t="s">
        <v>5196</v>
      </c>
      <c r="C46" s="2066" t="s">
        <v>5197</v>
      </c>
      <c r="D46" s="2067">
        <f>'表05-1'!M22-'表30-14-1'!L14-'表30-14-1'!L15</f>
        <v>0</v>
      </c>
      <c r="E46" s="2068">
        <f ca="1">'表30-14'!J13</f>
        <v>0.2261</v>
      </c>
      <c r="F46" s="2067">
        <f ca="1">ROUND(D46*E46,0)</f>
        <v>0</v>
      </c>
      <c r="G46" s="771"/>
    </row>
    <row r="47" spans="1:7" s="13" customFormat="1" ht="33">
      <c r="A47" s="2064">
        <f t="shared" si="0"/>
        <v>43</v>
      </c>
      <c r="B47" s="2074" t="s">
        <v>5198</v>
      </c>
      <c r="C47" s="2066" t="s">
        <v>5199</v>
      </c>
      <c r="D47" s="2067">
        <f>'表05-1'!G23-'表30-14-1'!L16-'表30-14-1'!L17</f>
        <v>0</v>
      </c>
      <c r="E47" s="2068">
        <f>E41</f>
        <v>8.1000000000000003E-2</v>
      </c>
      <c r="F47" s="2067">
        <f>ROUND(D47*E47,0)</f>
        <v>0</v>
      </c>
      <c r="G47" s="771"/>
    </row>
    <row r="48" spans="1:7" s="13" customFormat="1" ht="33">
      <c r="A48" s="2064">
        <f t="shared" si="0"/>
        <v>44</v>
      </c>
      <c r="B48" s="2074" t="s">
        <v>5200</v>
      </c>
      <c r="C48" s="2082" t="s">
        <v>5201</v>
      </c>
      <c r="D48" s="2067">
        <f>'表05-1'!G24-'表30-14-1'!L18-'表30-14-1'!L19</f>
        <v>0</v>
      </c>
      <c r="E48" s="2068">
        <v>0.2165</v>
      </c>
      <c r="F48" s="2067">
        <f>ROUND(D48*E48,0)</f>
        <v>0</v>
      </c>
      <c r="G48" s="771"/>
    </row>
    <row r="49" spans="1:7" s="13" customFormat="1" ht="33">
      <c r="A49" s="2064">
        <f t="shared" si="0"/>
        <v>45</v>
      </c>
      <c r="B49" s="2084" t="s">
        <v>1391</v>
      </c>
      <c r="C49" s="2066" t="s">
        <v>5202</v>
      </c>
      <c r="D49" s="2067">
        <f>'表05-1'!G25-'表30-14-1'!L20-'表30-14-1'!L21</f>
        <v>0</v>
      </c>
      <c r="E49" s="2068">
        <v>0.30309999999999998</v>
      </c>
      <c r="F49" s="2067">
        <f>ROUND(D49*E49,0)</f>
        <v>0</v>
      </c>
      <c r="G49" s="771"/>
    </row>
    <row r="50" spans="1:7" s="13" customFormat="1" ht="16.5">
      <c r="A50" s="2064">
        <f t="shared" si="0"/>
        <v>46</v>
      </c>
      <c r="B50" s="2069" t="s">
        <v>5203</v>
      </c>
      <c r="C50" s="2070"/>
      <c r="D50" s="2071">
        <f>SUM(D51,D62)</f>
        <v>0</v>
      </c>
      <c r="E50" s="2072"/>
      <c r="F50" s="2071">
        <f>SUM(F51,F62)</f>
        <v>0</v>
      </c>
      <c r="G50" s="771"/>
    </row>
    <row r="51" spans="1:7" s="13" customFormat="1" ht="16.5">
      <c r="A51" s="2064">
        <f t="shared" si="0"/>
        <v>47</v>
      </c>
      <c r="B51" s="2073" t="s">
        <v>5204</v>
      </c>
      <c r="C51" s="2070"/>
      <c r="D51" s="2071">
        <f>SUM(D52,D55)</f>
        <v>0</v>
      </c>
      <c r="E51" s="2072"/>
      <c r="F51" s="2071">
        <f>SUM(F52,F55)</f>
        <v>0</v>
      </c>
      <c r="G51" s="771"/>
    </row>
    <row r="52" spans="1:7" s="13" customFormat="1" ht="16.5">
      <c r="A52" s="2064">
        <f t="shared" si="0"/>
        <v>48</v>
      </c>
      <c r="B52" s="2075" t="s">
        <v>5205</v>
      </c>
      <c r="C52" s="2070"/>
      <c r="D52" s="2071">
        <f>SUM(D53:D54)</f>
        <v>0</v>
      </c>
      <c r="E52" s="2072"/>
      <c r="F52" s="2071">
        <f>SUM(F53:F54)</f>
        <v>0</v>
      </c>
      <c r="G52" s="771"/>
    </row>
    <row r="53" spans="1:7" s="13" customFormat="1" ht="66">
      <c r="A53" s="2064">
        <f t="shared" si="0"/>
        <v>49</v>
      </c>
      <c r="B53" s="2077" t="s">
        <v>5206</v>
      </c>
      <c r="C53" s="2066" t="s">
        <v>6070</v>
      </c>
      <c r="D53" s="2067">
        <f>SUM('表13-2'!J7:J8)+'表30-8-3'!E11-'表30-8-4'!D6</f>
        <v>0</v>
      </c>
      <c r="E53" s="2068">
        <v>7.8100000000000003E-2</v>
      </c>
      <c r="F53" s="2067">
        <f>ROUND(D53*E53,0)</f>
        <v>0</v>
      </c>
      <c r="G53" s="771"/>
    </row>
    <row r="54" spans="1:7" s="13" customFormat="1" ht="33">
      <c r="A54" s="2064">
        <f t="shared" si="0"/>
        <v>50</v>
      </c>
      <c r="B54" s="2077" t="s">
        <v>5207</v>
      </c>
      <c r="C54" s="2082" t="s">
        <v>5208</v>
      </c>
      <c r="D54" s="2067">
        <f>'表30-8-4'!D6</f>
        <v>0</v>
      </c>
      <c r="E54" s="2071"/>
      <c r="F54" s="2067">
        <f>'表30-8-4'!E6</f>
        <v>0</v>
      </c>
      <c r="G54" s="771"/>
    </row>
    <row r="55" spans="1:7" s="13" customFormat="1" ht="16.5">
      <c r="A55" s="2064">
        <f t="shared" si="0"/>
        <v>51</v>
      </c>
      <c r="B55" s="2075" t="s">
        <v>5209</v>
      </c>
      <c r="C55" s="2070"/>
      <c r="D55" s="2071">
        <f>SUM(D56,D59)</f>
        <v>0</v>
      </c>
      <c r="E55" s="2072"/>
      <c r="F55" s="2071">
        <f>SUM(F56,F59)</f>
        <v>0</v>
      </c>
      <c r="G55" s="771"/>
    </row>
    <row r="56" spans="1:7" s="13" customFormat="1" ht="16.5">
      <c r="A56" s="2064">
        <f t="shared" si="0"/>
        <v>52</v>
      </c>
      <c r="B56" s="2079" t="s">
        <v>5210</v>
      </c>
      <c r="C56" s="2070"/>
      <c r="D56" s="2071">
        <f>SUM(D57:D58)</f>
        <v>0</v>
      </c>
      <c r="E56" s="2071"/>
      <c r="F56" s="2071">
        <f>SUM(F57:F58)</f>
        <v>0</v>
      </c>
      <c r="G56" s="771"/>
    </row>
    <row r="57" spans="1:7" s="13" customFormat="1" ht="66">
      <c r="A57" s="2064">
        <f t="shared" si="0"/>
        <v>53</v>
      </c>
      <c r="B57" s="2080" t="s">
        <v>5211</v>
      </c>
      <c r="C57" s="2066" t="s">
        <v>6071</v>
      </c>
      <c r="D57" s="2067">
        <f>'表13-2'!J9+'表30-8-3'!E12-'表30-8-4'!D7</f>
        <v>0</v>
      </c>
      <c r="E57" s="2068">
        <v>8.8300000000000003E-2</v>
      </c>
      <c r="F57" s="2067">
        <f>ROUND(D57*E57,0)</f>
        <v>0</v>
      </c>
      <c r="G57" s="771"/>
    </row>
    <row r="58" spans="1:7" s="13" customFormat="1" ht="33">
      <c r="A58" s="2064">
        <f t="shared" si="0"/>
        <v>54</v>
      </c>
      <c r="B58" s="2080" t="s">
        <v>5212</v>
      </c>
      <c r="C58" s="2082" t="s">
        <v>5213</v>
      </c>
      <c r="D58" s="2067">
        <f>'表30-8-4'!D7</f>
        <v>0</v>
      </c>
      <c r="E58" s="2071"/>
      <c r="F58" s="2067">
        <f>'表30-8-4'!E7</f>
        <v>0</v>
      </c>
      <c r="G58" s="771"/>
    </row>
    <row r="59" spans="1:7" s="13" customFormat="1" ht="16.5">
      <c r="A59" s="2064">
        <f t="shared" si="0"/>
        <v>55</v>
      </c>
      <c r="B59" s="2079" t="s">
        <v>5214</v>
      </c>
      <c r="C59" s="2070"/>
      <c r="D59" s="2071">
        <f>SUM(D60:D61)</f>
        <v>0</v>
      </c>
      <c r="E59" s="2071"/>
      <c r="F59" s="2071">
        <f>SUM(F60:F61)</f>
        <v>0</v>
      </c>
      <c r="G59" s="771"/>
    </row>
    <row r="60" spans="1:7" s="13" customFormat="1" ht="66">
      <c r="A60" s="2064">
        <f t="shared" si="0"/>
        <v>56</v>
      </c>
      <c r="B60" s="2080" t="s">
        <v>5215</v>
      </c>
      <c r="C60" s="2066" t="s">
        <v>6072</v>
      </c>
      <c r="D60" s="2067">
        <f>'表13-2'!J10+'表30-8-3'!E13-'表30-8-4'!D8</f>
        <v>0</v>
      </c>
      <c r="E60" s="2068">
        <v>3.5299999999999998E-2</v>
      </c>
      <c r="F60" s="2067">
        <f>ROUND(D60*E60,0)</f>
        <v>0</v>
      </c>
      <c r="G60" s="771"/>
    </row>
    <row r="61" spans="1:7" s="13" customFormat="1" ht="33">
      <c r="A61" s="2064">
        <f t="shared" si="0"/>
        <v>57</v>
      </c>
      <c r="B61" s="2080" t="s">
        <v>5216</v>
      </c>
      <c r="C61" s="2082" t="s">
        <v>5217</v>
      </c>
      <c r="D61" s="2067">
        <f>'表30-8-4'!D8</f>
        <v>0</v>
      </c>
      <c r="E61" s="2071"/>
      <c r="F61" s="2067">
        <f>'表30-8-4'!E8</f>
        <v>0</v>
      </c>
      <c r="G61" s="771"/>
    </row>
    <row r="62" spans="1:7" s="13" customFormat="1" ht="16.5">
      <c r="A62" s="2064">
        <f t="shared" si="0"/>
        <v>58</v>
      </c>
      <c r="B62" s="2084" t="s">
        <v>5218</v>
      </c>
      <c r="C62" s="2066" t="s">
        <v>5219</v>
      </c>
      <c r="D62" s="2067">
        <f>'表13-2'!J6</f>
        <v>0</v>
      </c>
      <c r="E62" s="2068">
        <v>7.8100000000000003E-2</v>
      </c>
      <c r="F62" s="2067">
        <f>ROUND(D62*E62,0)</f>
        <v>0</v>
      </c>
      <c r="G62" s="771"/>
    </row>
    <row r="63" spans="1:7" s="13" customFormat="1" ht="16.5">
      <c r="A63" s="2064">
        <f t="shared" si="0"/>
        <v>59</v>
      </c>
      <c r="B63" s="2069" t="s">
        <v>5220</v>
      </c>
      <c r="C63" s="2070"/>
      <c r="D63" s="2071">
        <f>SUM(D64)</f>
        <v>0</v>
      </c>
      <c r="E63" s="2072"/>
      <c r="F63" s="2071">
        <f>SUM(F64)</f>
        <v>0</v>
      </c>
      <c r="G63" s="771"/>
    </row>
    <row r="64" spans="1:7" s="13" customFormat="1" ht="16.5">
      <c r="A64" s="2064">
        <f t="shared" si="0"/>
        <v>60</v>
      </c>
      <c r="B64" s="2073" t="s">
        <v>5221</v>
      </c>
      <c r="C64" s="2070"/>
      <c r="D64" s="2071">
        <f>SUM(D65:D68)</f>
        <v>0</v>
      </c>
      <c r="E64" s="2072"/>
      <c r="F64" s="2071">
        <f>SUM(F65:F68)</f>
        <v>0</v>
      </c>
      <c r="G64" s="771"/>
    </row>
    <row r="65" spans="1:16" ht="16.5">
      <c r="A65" s="2064">
        <f t="shared" si="0"/>
        <v>61</v>
      </c>
      <c r="B65" s="2074" t="s">
        <v>5222</v>
      </c>
      <c r="C65" s="2066" t="s">
        <v>5223</v>
      </c>
      <c r="D65" s="2067">
        <f>SUM('表05-1'!G102,'表05-1'!G211)</f>
        <v>0</v>
      </c>
      <c r="E65" s="2068">
        <v>7.1999999999999998E-3</v>
      </c>
      <c r="F65" s="2067">
        <f>ROUND(D65*E65,0)</f>
        <v>0</v>
      </c>
      <c r="H65" s="13"/>
      <c r="I65" s="13"/>
      <c r="J65" s="13"/>
      <c r="K65" s="13"/>
      <c r="L65" s="13"/>
      <c r="M65" s="13"/>
      <c r="N65" s="13"/>
      <c r="O65" s="13"/>
      <c r="P65" s="13"/>
    </row>
    <row r="66" spans="1:16" ht="16.5">
      <c r="A66" s="2064">
        <f t="shared" si="0"/>
        <v>62</v>
      </c>
      <c r="B66" s="2074" t="s">
        <v>5224</v>
      </c>
      <c r="C66" s="2066" t="s">
        <v>5225</v>
      </c>
      <c r="D66" s="2067">
        <f>SUM('表05-1'!G103,'表05-1'!G212)</f>
        <v>0</v>
      </c>
      <c r="E66" s="2068">
        <v>1.0800000000000001E-2</v>
      </c>
      <c r="F66" s="2067">
        <f>ROUND(D66*E66,0)</f>
        <v>0</v>
      </c>
      <c r="H66" s="13"/>
      <c r="I66" s="13"/>
      <c r="J66" s="13"/>
      <c r="K66" s="13"/>
      <c r="L66" s="13"/>
      <c r="M66" s="13"/>
      <c r="N66" s="13"/>
      <c r="O66" s="13"/>
      <c r="P66" s="13"/>
    </row>
    <row r="67" spans="1:16" ht="16.5">
      <c r="A67" s="2064">
        <f t="shared" si="0"/>
        <v>63</v>
      </c>
      <c r="B67" s="2074" t="s">
        <v>5226</v>
      </c>
      <c r="C67" s="2066" t="s">
        <v>5227</v>
      </c>
      <c r="D67" s="2067">
        <f>SUM('表05-1'!G104,'表05-1'!G213)</f>
        <v>0</v>
      </c>
      <c r="E67" s="2068">
        <v>3.9600000000000003E-2</v>
      </c>
      <c r="F67" s="2067">
        <f>ROUND(D67*E67,0)</f>
        <v>0</v>
      </c>
      <c r="H67" s="13"/>
      <c r="I67" s="13"/>
      <c r="J67" s="13"/>
      <c r="K67" s="13"/>
      <c r="L67" s="13"/>
      <c r="M67" s="13"/>
      <c r="N67" s="13"/>
      <c r="O67" s="13"/>
      <c r="P67" s="13"/>
    </row>
    <row r="68" spans="1:16" ht="16.5">
      <c r="A68" s="2064">
        <f t="shared" si="0"/>
        <v>64</v>
      </c>
      <c r="B68" s="2074" t="s">
        <v>5228</v>
      </c>
      <c r="C68" s="2066" t="s">
        <v>5229</v>
      </c>
      <c r="D68" s="2067">
        <f>SUM('表05-1'!G105,'表05-1'!G214)</f>
        <v>0</v>
      </c>
      <c r="E68" s="2068">
        <v>4.7999999999999996E-3</v>
      </c>
      <c r="F68" s="2067">
        <f>ROUND(D68*E68,0)</f>
        <v>0</v>
      </c>
      <c r="H68" s="13"/>
      <c r="I68" s="13"/>
      <c r="J68" s="13"/>
      <c r="K68" s="13"/>
      <c r="L68" s="13"/>
      <c r="M68" s="13"/>
      <c r="N68" s="13"/>
      <c r="O68" s="13"/>
      <c r="P68" s="13"/>
    </row>
    <row r="69" spans="1:16" ht="16.5">
      <c r="A69" s="2064">
        <f t="shared" si="0"/>
        <v>65</v>
      </c>
      <c r="B69" s="2069" t="s">
        <v>5230</v>
      </c>
      <c r="C69" s="2070"/>
      <c r="D69" s="2071">
        <f>SUM(D70,D79)</f>
        <v>0</v>
      </c>
      <c r="E69" s="2072"/>
      <c r="F69" s="2071">
        <f>SUM(F70,F79)</f>
        <v>0</v>
      </c>
      <c r="H69" s="13"/>
      <c r="I69" s="13"/>
      <c r="J69" s="13"/>
      <c r="K69" s="13"/>
      <c r="L69" s="13"/>
      <c r="M69" s="13"/>
      <c r="N69" s="13"/>
      <c r="O69" s="13"/>
      <c r="P69" s="13"/>
    </row>
    <row r="70" spans="1:16" ht="16.5">
      <c r="A70" s="2064">
        <f t="shared" si="0"/>
        <v>66</v>
      </c>
      <c r="B70" s="2073" t="s">
        <v>5231</v>
      </c>
      <c r="C70" s="2070"/>
      <c r="D70" s="2071">
        <f>D71+D72+D76</f>
        <v>0</v>
      </c>
      <c r="E70" s="2072"/>
      <c r="F70" s="2071">
        <f>F71+F72+F76</f>
        <v>0</v>
      </c>
      <c r="H70" s="13"/>
      <c r="I70" s="13"/>
      <c r="J70" s="13"/>
      <c r="K70" s="13"/>
      <c r="L70" s="13"/>
      <c r="M70" s="13"/>
      <c r="N70" s="13"/>
      <c r="O70" s="13"/>
      <c r="P70" s="13"/>
    </row>
    <row r="71" spans="1:16" ht="16.5">
      <c r="A71" s="2064">
        <f t="shared" ref="A71:A142" si="1">A70+1</f>
        <v>67</v>
      </c>
      <c r="B71" s="2074" t="s">
        <v>5232</v>
      </c>
      <c r="C71" s="2066" t="s">
        <v>5233</v>
      </c>
      <c r="D71" s="2067">
        <f>SUM('表05-1'!G204)</f>
        <v>0</v>
      </c>
      <c r="E71" s="2068">
        <v>1.2800000000000001E-2</v>
      </c>
      <c r="F71" s="2067">
        <f>ROUND(D71*E71,0)</f>
        <v>0</v>
      </c>
      <c r="H71" s="13"/>
      <c r="I71" s="13"/>
      <c r="J71" s="13"/>
      <c r="K71" s="13"/>
      <c r="L71" s="13"/>
      <c r="M71" s="13"/>
      <c r="N71" s="13"/>
      <c r="O71" s="13"/>
      <c r="P71" s="13"/>
    </row>
    <row r="72" spans="1:16" ht="16.5">
      <c r="A72" s="2064">
        <f t="shared" si="1"/>
        <v>68</v>
      </c>
      <c r="B72" s="2074" t="s">
        <v>6073</v>
      </c>
      <c r="C72" s="2556"/>
      <c r="D72" s="2067">
        <f>SUM(D73:D75)</f>
        <v>0</v>
      </c>
      <c r="E72" s="2557"/>
      <c r="F72" s="2339">
        <f>SUM(F73:F75)</f>
        <v>0</v>
      </c>
      <c r="H72" s="13"/>
      <c r="I72" s="13"/>
      <c r="J72" s="13"/>
      <c r="K72" s="13"/>
      <c r="L72" s="13"/>
      <c r="M72" s="13"/>
      <c r="N72" s="13"/>
      <c r="O72" s="13"/>
      <c r="P72" s="13"/>
    </row>
    <row r="73" spans="1:16" ht="33">
      <c r="A73" s="2086" t="s">
        <v>5691</v>
      </c>
      <c r="B73" s="2558" t="s">
        <v>6074</v>
      </c>
      <c r="C73" s="2066" t="s">
        <v>6075</v>
      </c>
      <c r="D73" s="2067">
        <f>'表10-3'!H26+'表10-3'!G26+'表10-4'!F21</f>
        <v>0</v>
      </c>
      <c r="E73" s="2083">
        <v>0.1018</v>
      </c>
      <c r="F73" s="2339">
        <f>ROUND(D73*E73,0)</f>
        <v>0</v>
      </c>
      <c r="H73" s="13"/>
      <c r="I73" s="13"/>
      <c r="J73" s="13"/>
      <c r="K73" s="13"/>
      <c r="L73" s="13"/>
      <c r="M73" s="13"/>
      <c r="N73" s="13"/>
      <c r="O73" s="13"/>
      <c r="P73" s="13"/>
    </row>
    <row r="74" spans="1:16" ht="33">
      <c r="A74" s="2086" t="s">
        <v>5692</v>
      </c>
      <c r="B74" s="2074" t="s">
        <v>6076</v>
      </c>
      <c r="C74" s="2066" t="s">
        <v>6077</v>
      </c>
      <c r="D74" s="2067">
        <f>'表10-3'!H27+'表10-3'!G27+'表10-4'!F22</f>
        <v>0</v>
      </c>
      <c r="E74" s="2083">
        <v>0.17249999999999999</v>
      </c>
      <c r="F74" s="2339">
        <f>ROUND(D74*E74,0)</f>
        <v>0</v>
      </c>
      <c r="H74" s="13"/>
      <c r="I74" s="13"/>
      <c r="J74" s="13"/>
      <c r="K74" s="13"/>
      <c r="L74" s="13"/>
      <c r="M74" s="13"/>
      <c r="N74" s="13"/>
      <c r="O74" s="13"/>
      <c r="P74" s="13"/>
    </row>
    <row r="75" spans="1:16" ht="33">
      <c r="A75" s="2086" t="s">
        <v>5693</v>
      </c>
      <c r="B75" s="2074" t="s">
        <v>6078</v>
      </c>
      <c r="C75" s="2066" t="s">
        <v>6079</v>
      </c>
      <c r="D75" s="2067">
        <f>'表10-3'!H28+'表10-3'!G28+'表10-4'!F23</f>
        <v>0</v>
      </c>
      <c r="E75" s="2083">
        <v>0.33750000000000002</v>
      </c>
      <c r="F75" s="2339">
        <f>ROUND(D75*E75,0)</f>
        <v>0</v>
      </c>
      <c r="H75" s="13"/>
      <c r="I75" s="13"/>
      <c r="J75" s="13"/>
      <c r="K75" s="13"/>
      <c r="L75" s="13"/>
      <c r="M75" s="13"/>
      <c r="N75" s="13"/>
      <c r="O75" s="13"/>
      <c r="P75" s="13"/>
    </row>
    <row r="76" spans="1:16" ht="16.5">
      <c r="A76" s="2064">
        <f>A72+1</f>
        <v>69</v>
      </c>
      <c r="B76" s="2074" t="s">
        <v>6080</v>
      </c>
      <c r="C76" s="2559"/>
      <c r="D76" s="2067">
        <f>SUM(D77:D78)</f>
        <v>0</v>
      </c>
      <c r="E76" s="2557"/>
      <c r="F76" s="2339">
        <f>SUM(F77:F78)</f>
        <v>0</v>
      </c>
      <c r="G76" s="13"/>
      <c r="H76" s="13"/>
      <c r="I76" s="13"/>
      <c r="J76" s="13"/>
      <c r="K76" s="13"/>
      <c r="L76" s="13"/>
      <c r="M76" s="13"/>
      <c r="N76" s="13"/>
      <c r="O76" s="13"/>
      <c r="P76" s="13"/>
    </row>
    <row r="77" spans="1:16" ht="48.75">
      <c r="A77" s="2086" t="s">
        <v>5694</v>
      </c>
      <c r="B77" s="2558" t="s">
        <v>6081</v>
      </c>
      <c r="C77" s="2066" t="s">
        <v>6082</v>
      </c>
      <c r="D77" s="2067">
        <f>'表05-1'!G216-'表30-14-1'!L25-'表30-14-1'!L28</f>
        <v>0</v>
      </c>
      <c r="E77" s="2083">
        <v>0.1018</v>
      </c>
      <c r="F77" s="2339">
        <f>ROUND(D77*E77,0)</f>
        <v>0</v>
      </c>
      <c r="G77" s="13"/>
      <c r="H77" s="13"/>
      <c r="I77" s="13"/>
      <c r="J77" s="13"/>
      <c r="K77" s="13"/>
      <c r="L77" s="13"/>
      <c r="M77" s="13"/>
      <c r="N77" s="13"/>
      <c r="O77" s="13"/>
      <c r="P77" s="13"/>
    </row>
    <row r="78" spans="1:16" ht="49.5">
      <c r="A78" s="2086" t="s">
        <v>5695</v>
      </c>
      <c r="B78" s="2074" t="s">
        <v>6083</v>
      </c>
      <c r="C78" s="2066" t="s">
        <v>6084</v>
      </c>
      <c r="D78" s="2067">
        <f>'表05-1'!G217-'表30-14-1'!L26-'表30-14-1'!L29</f>
        <v>0</v>
      </c>
      <c r="E78" s="2083">
        <v>0.17249999999999999</v>
      </c>
      <c r="F78" s="2339">
        <f>ROUND(D78*E78,0)</f>
        <v>0</v>
      </c>
      <c r="G78" s="13"/>
      <c r="H78" s="13"/>
      <c r="I78" s="13"/>
      <c r="J78" s="13"/>
      <c r="K78" s="13"/>
      <c r="L78" s="13"/>
      <c r="M78" s="13"/>
      <c r="N78" s="13"/>
      <c r="O78" s="13"/>
      <c r="P78" s="13"/>
    </row>
    <row r="79" spans="1:16" ht="16.5">
      <c r="A79" s="2064">
        <f>A76+1</f>
        <v>70</v>
      </c>
      <c r="B79" s="2073" t="s">
        <v>5234</v>
      </c>
      <c r="C79" s="2070"/>
      <c r="D79" s="2071">
        <f>SUM(D80:D81,D84)</f>
        <v>0</v>
      </c>
      <c r="E79" s="2085"/>
      <c r="F79" s="2071">
        <f>SUM(F80:F81,F84)</f>
        <v>0</v>
      </c>
      <c r="H79" s="13"/>
      <c r="I79" s="13"/>
      <c r="J79" s="13"/>
      <c r="K79" s="13"/>
      <c r="L79" s="13"/>
      <c r="M79" s="13"/>
      <c r="N79" s="13"/>
      <c r="O79" s="13"/>
      <c r="P79" s="13"/>
    </row>
    <row r="80" spans="1:16" ht="16.5">
      <c r="A80" s="2064">
        <f t="shared" si="1"/>
        <v>71</v>
      </c>
      <c r="B80" s="2074" t="s">
        <v>5235</v>
      </c>
      <c r="C80" s="2066" t="s">
        <v>5236</v>
      </c>
      <c r="D80" s="2067">
        <f>SUM('表05-1'!G252)</f>
        <v>0</v>
      </c>
      <c r="E80" s="2068">
        <v>3.1899999999999998E-2</v>
      </c>
      <c r="F80" s="2067">
        <f>ROUND(D80*E80,0)</f>
        <v>0</v>
      </c>
      <c r="H80" s="13"/>
      <c r="I80" s="13"/>
      <c r="J80" s="13"/>
      <c r="K80" s="13"/>
      <c r="L80" s="13"/>
      <c r="M80" s="13"/>
      <c r="N80" s="13"/>
      <c r="O80" s="13"/>
      <c r="P80" s="13"/>
    </row>
    <row r="81" spans="1:16" ht="16.5">
      <c r="A81" s="2086">
        <f t="shared" si="1"/>
        <v>72</v>
      </c>
      <c r="B81" s="2075" t="s">
        <v>5237</v>
      </c>
      <c r="C81" s="2070"/>
      <c r="D81" s="2071">
        <f>D82+D83</f>
        <v>0</v>
      </c>
      <c r="E81" s="2072"/>
      <c r="F81" s="2071">
        <f>F82+F83</f>
        <v>0</v>
      </c>
      <c r="G81" s="13"/>
      <c r="I81" s="13"/>
      <c r="J81" s="13"/>
      <c r="K81" s="13"/>
      <c r="L81" s="13"/>
      <c r="M81" s="13"/>
      <c r="N81" s="13"/>
      <c r="O81" s="13"/>
      <c r="P81" s="13"/>
    </row>
    <row r="82" spans="1:16" ht="16.5">
      <c r="A82" s="2086">
        <f t="shared" si="1"/>
        <v>73</v>
      </c>
      <c r="B82" s="2077" t="s">
        <v>5238</v>
      </c>
      <c r="C82" s="2066" t="s">
        <v>5239</v>
      </c>
      <c r="D82" s="2067">
        <f>'表30-3-3'!F27</f>
        <v>0</v>
      </c>
      <c r="E82" s="2072"/>
      <c r="F82" s="2067">
        <f>'表30-3-3'!L27</f>
        <v>0</v>
      </c>
      <c r="G82" s="13"/>
      <c r="I82" s="13"/>
      <c r="J82" s="13"/>
      <c r="K82" s="13"/>
      <c r="L82" s="13"/>
      <c r="M82" s="13"/>
      <c r="N82" s="13"/>
      <c r="O82" s="13"/>
      <c r="P82" s="13"/>
    </row>
    <row r="83" spans="1:16" ht="16.5">
      <c r="A83" s="2086">
        <f t="shared" si="1"/>
        <v>74</v>
      </c>
      <c r="B83" s="2077" t="s">
        <v>5240</v>
      </c>
      <c r="C83" s="2066" t="s">
        <v>5241</v>
      </c>
      <c r="D83" s="2067">
        <f>'表30-3-3'!F49</f>
        <v>0</v>
      </c>
      <c r="E83" s="2072"/>
      <c r="F83" s="2067">
        <f>'表30-3-3'!L49</f>
        <v>0</v>
      </c>
      <c r="G83" s="13"/>
      <c r="I83" s="13"/>
      <c r="J83" s="13"/>
      <c r="K83" s="13"/>
      <c r="L83" s="13"/>
      <c r="M83" s="13"/>
      <c r="N83" s="13"/>
      <c r="O83" s="13"/>
      <c r="P83" s="13"/>
    </row>
    <row r="84" spans="1:16" ht="33">
      <c r="A84" s="2064">
        <f t="shared" si="1"/>
        <v>75</v>
      </c>
      <c r="B84" s="2074" t="s">
        <v>5242</v>
      </c>
      <c r="C84" s="2066" t="s">
        <v>5243</v>
      </c>
      <c r="D84" s="2067">
        <f>SUM('表05-1'!G26,'表05-1'!G60,'表05-1'!G63,'表05-1'!G218,'表05-1'!G254)-'表10-4'!C37</f>
        <v>0</v>
      </c>
      <c r="E84" s="2068">
        <v>3.1899999999999998E-2</v>
      </c>
      <c r="F84" s="2067">
        <f>ROUND(D84*E84,0)</f>
        <v>0</v>
      </c>
      <c r="H84" s="13"/>
      <c r="I84" s="13"/>
      <c r="J84" s="13"/>
      <c r="K84" s="13"/>
      <c r="L84" s="13"/>
      <c r="M84" s="13"/>
      <c r="N84" s="13"/>
      <c r="O84" s="13"/>
      <c r="P84" s="13"/>
    </row>
    <row r="85" spans="1:16" ht="16.5">
      <c r="A85" s="2064">
        <f t="shared" si="1"/>
        <v>76</v>
      </c>
      <c r="B85" s="2065" t="s">
        <v>5244</v>
      </c>
      <c r="C85" s="2066"/>
      <c r="D85" s="2067">
        <f ca="1">SUM(F7,F50,F63)-F9</f>
        <v>0</v>
      </c>
      <c r="E85" s="2068">
        <f>'表30-10'!E12</f>
        <v>1</v>
      </c>
      <c r="F85" s="2067">
        <f ca="1">ROUND(D85*E85,0)</f>
        <v>0</v>
      </c>
      <c r="H85" s="13"/>
      <c r="I85" s="13"/>
      <c r="J85" s="13"/>
      <c r="K85" s="13"/>
      <c r="L85" s="13"/>
      <c r="M85" s="13"/>
      <c r="N85" s="13"/>
      <c r="O85" s="13"/>
      <c r="P85" s="13"/>
    </row>
    <row r="86" spans="1:16" ht="16.5">
      <c r="A86" s="2064">
        <f t="shared" si="1"/>
        <v>77</v>
      </c>
      <c r="B86" s="2085" t="s">
        <v>5245</v>
      </c>
      <c r="C86" s="2070"/>
      <c r="D86" s="2071">
        <f>SUM(D87,D130)</f>
        <v>0</v>
      </c>
      <c r="E86" s="2072"/>
      <c r="F86" s="2071">
        <f ca="1">SUM(F87,F130,F172)</f>
        <v>0</v>
      </c>
      <c r="N86" s="13"/>
      <c r="O86" s="13"/>
      <c r="P86" s="13"/>
    </row>
    <row r="87" spans="1:16" ht="16.5">
      <c r="A87" s="2064">
        <f t="shared" si="1"/>
        <v>78</v>
      </c>
      <c r="B87" s="2069" t="s">
        <v>5246</v>
      </c>
      <c r="C87" s="2070"/>
      <c r="D87" s="2071">
        <f>SUM(D88:D89,D96,D101,D110,D113,D116:D121,D124)</f>
        <v>0</v>
      </c>
      <c r="E87" s="2071"/>
      <c r="F87" s="2071">
        <f ca="1">SUM(F88,F89,F96,F101,F110,F113,F116:F121,F124)</f>
        <v>0</v>
      </c>
      <c r="N87" s="13"/>
      <c r="O87" s="13"/>
      <c r="P87" s="13"/>
    </row>
    <row r="88" spans="1:16" ht="16.5">
      <c r="A88" s="2064">
        <f t="shared" si="1"/>
        <v>79</v>
      </c>
      <c r="B88" s="2084" t="s">
        <v>5247</v>
      </c>
      <c r="C88" s="2066" t="s">
        <v>5248</v>
      </c>
      <c r="D88" s="2067">
        <f>SUM('表05-1'!G112)</f>
        <v>0</v>
      </c>
      <c r="E88" s="2068">
        <v>0</v>
      </c>
      <c r="F88" s="2067">
        <f>ROUND(D88*E88,0)</f>
        <v>0</v>
      </c>
      <c r="N88" s="13"/>
      <c r="O88" s="13"/>
      <c r="P88" s="13"/>
    </row>
    <row r="89" spans="1:16" ht="16.5">
      <c r="A89" s="2064">
        <f t="shared" si="1"/>
        <v>80</v>
      </c>
      <c r="B89" s="2073" t="s">
        <v>5249</v>
      </c>
      <c r="C89" s="2070"/>
      <c r="D89" s="2071">
        <f>SUM(D90:D91,D92:D93)</f>
        <v>0</v>
      </c>
      <c r="E89" s="2072"/>
      <c r="F89" s="2071">
        <f>SUM(F90:F91,F92:F93)</f>
        <v>0</v>
      </c>
      <c r="N89" s="13"/>
      <c r="O89" s="13"/>
      <c r="P89" s="13"/>
    </row>
    <row r="90" spans="1:16" ht="33">
      <c r="A90" s="2064">
        <f t="shared" si="1"/>
        <v>81</v>
      </c>
      <c r="B90" s="2074" t="s">
        <v>5250</v>
      </c>
      <c r="C90" s="2066" t="s">
        <v>5251</v>
      </c>
      <c r="D90" s="2067">
        <f>SUM('表30-3-2'!D27)</f>
        <v>0</v>
      </c>
      <c r="E90" s="2087"/>
      <c r="F90" s="2067">
        <f>SUM('表30-3-2'!G27)</f>
        <v>0</v>
      </c>
      <c r="N90" s="13"/>
      <c r="O90" s="13"/>
      <c r="P90" s="13"/>
    </row>
    <row r="91" spans="1:16" ht="33">
      <c r="A91" s="2064">
        <f t="shared" si="1"/>
        <v>82</v>
      </c>
      <c r="B91" s="2074" t="s">
        <v>5252</v>
      </c>
      <c r="C91" s="2066" t="s">
        <v>5253</v>
      </c>
      <c r="D91" s="2067">
        <f>'表30-3-2'!D49</f>
        <v>0</v>
      </c>
      <c r="E91" s="2072"/>
      <c r="F91" s="2067">
        <f>SUM('表30-3-2'!G49)</f>
        <v>0</v>
      </c>
      <c r="O91" s="13"/>
      <c r="P91" s="13"/>
    </row>
    <row r="92" spans="1:16" ht="33">
      <c r="A92" s="2064">
        <f t="shared" si="1"/>
        <v>83</v>
      </c>
      <c r="B92" s="2074" t="s">
        <v>5254</v>
      </c>
      <c r="C92" s="2082" t="s">
        <v>5696</v>
      </c>
      <c r="D92" s="2067">
        <f>SUM('表30-3-2'!D71)</f>
        <v>0</v>
      </c>
      <c r="E92" s="2088"/>
      <c r="F92" s="2067">
        <f>SUM('表30-3-2'!G71)</f>
        <v>0</v>
      </c>
    </row>
    <row r="93" spans="1:16" ht="16.5">
      <c r="A93" s="2064">
        <f t="shared" si="1"/>
        <v>84</v>
      </c>
      <c r="B93" s="2075" t="s">
        <v>5255</v>
      </c>
      <c r="C93" s="2076"/>
      <c r="D93" s="2071">
        <f>SUM(D94:D95)</f>
        <v>0</v>
      </c>
      <c r="E93" s="2087"/>
      <c r="F93" s="2071">
        <f>SUM(F94:F95)</f>
        <v>0</v>
      </c>
      <c r="N93" s="13"/>
      <c r="O93" s="13"/>
      <c r="P93" s="13"/>
    </row>
    <row r="94" spans="1:16" ht="33">
      <c r="A94" s="2064">
        <f t="shared" si="1"/>
        <v>85</v>
      </c>
      <c r="B94" s="2077" t="s">
        <v>5256</v>
      </c>
      <c r="C94" s="2066" t="s">
        <v>5257</v>
      </c>
      <c r="D94" s="2067">
        <f>SUM('表30-3-2'!D93)</f>
        <v>0</v>
      </c>
      <c r="E94" s="2072"/>
      <c r="F94" s="2067">
        <f>SUM('表30-3-2'!G93)</f>
        <v>0</v>
      </c>
      <c r="N94" s="13"/>
      <c r="O94" s="13"/>
      <c r="P94" s="13"/>
    </row>
    <row r="95" spans="1:16" ht="16.5">
      <c r="A95" s="2064">
        <f t="shared" si="1"/>
        <v>86</v>
      </c>
      <c r="B95" s="2077" t="s">
        <v>5258</v>
      </c>
      <c r="C95" s="2066" t="s">
        <v>5259</v>
      </c>
      <c r="D95" s="2067">
        <f>SUM('表05-1'!G120)</f>
        <v>0</v>
      </c>
      <c r="E95" s="2068">
        <v>0.3</v>
      </c>
      <c r="F95" s="2067">
        <f>ROUND(D95*E95,0)</f>
        <v>0</v>
      </c>
      <c r="N95" s="13"/>
      <c r="O95" s="13"/>
      <c r="P95" s="13"/>
    </row>
    <row r="96" spans="1:16" ht="16.5">
      <c r="A96" s="2064">
        <f t="shared" si="1"/>
        <v>87</v>
      </c>
      <c r="B96" s="2073" t="s">
        <v>5260</v>
      </c>
      <c r="C96" s="2076"/>
      <c r="D96" s="2071">
        <f>SUM(D97:D98)</f>
        <v>0</v>
      </c>
      <c r="E96" s="2072"/>
      <c r="F96" s="2071">
        <f ca="1">SUM(F97:F98)</f>
        <v>0</v>
      </c>
      <c r="N96" s="13"/>
      <c r="O96" s="13"/>
      <c r="P96" s="13"/>
    </row>
    <row r="97" spans="1:16" ht="33">
      <c r="A97" s="2064">
        <f t="shared" si="1"/>
        <v>88</v>
      </c>
      <c r="B97" s="2074" t="s">
        <v>5261</v>
      </c>
      <c r="C97" s="2066" t="s">
        <v>5262</v>
      </c>
      <c r="D97" s="2067">
        <f>SUM('表10-4'!G43,'表10-4'!F44,'表10-4'!G38)</f>
        <v>0</v>
      </c>
      <c r="E97" s="2068">
        <f ca="1">'表30-14'!E16</f>
        <v>0.2631</v>
      </c>
      <c r="F97" s="2067">
        <f ca="1">ROUND(D97*E97,0)</f>
        <v>0</v>
      </c>
      <c r="N97" s="13"/>
      <c r="O97" s="13"/>
      <c r="P97" s="13"/>
    </row>
    <row r="98" spans="1:16" ht="16.5">
      <c r="A98" s="2064">
        <f t="shared" si="1"/>
        <v>89</v>
      </c>
      <c r="B98" s="2075" t="s">
        <v>5263</v>
      </c>
      <c r="C98" s="2076"/>
      <c r="D98" s="2071">
        <f>SUM(D99:D100)</f>
        <v>0</v>
      </c>
      <c r="E98" s="2072"/>
      <c r="F98" s="2071">
        <f ca="1">SUM(F99:F100)</f>
        <v>0</v>
      </c>
      <c r="N98" s="13"/>
      <c r="O98" s="13"/>
      <c r="P98" s="13"/>
    </row>
    <row r="99" spans="1:16" ht="33">
      <c r="A99" s="2064">
        <f t="shared" si="1"/>
        <v>90</v>
      </c>
      <c r="B99" s="2077" t="s">
        <v>5264</v>
      </c>
      <c r="C99" s="2066" t="s">
        <v>5265</v>
      </c>
      <c r="D99" s="2067">
        <f>SUM('表30-3-2'!D115)</f>
        <v>0</v>
      </c>
      <c r="E99" s="2072"/>
      <c r="F99" s="2067">
        <f>SUM('表30-3-2'!G115)</f>
        <v>0</v>
      </c>
      <c r="N99" s="13"/>
      <c r="O99" s="13"/>
      <c r="P99" s="13"/>
    </row>
    <row r="100" spans="1:16" ht="16.5">
      <c r="A100" s="2064">
        <f t="shared" si="1"/>
        <v>91</v>
      </c>
      <c r="B100" s="2077" t="s">
        <v>5266</v>
      </c>
      <c r="C100" s="2066" t="s">
        <v>5267</v>
      </c>
      <c r="D100" s="2067">
        <f>SUM('表10-4'!G48,'表10-4'!F49)</f>
        <v>0</v>
      </c>
      <c r="E100" s="2068">
        <f ca="1">'表30-14'!E17</f>
        <v>0.2631</v>
      </c>
      <c r="F100" s="2067">
        <f ca="1">ROUND(D100*E100,0)</f>
        <v>0</v>
      </c>
      <c r="N100" s="13"/>
      <c r="O100" s="13"/>
      <c r="P100" s="13"/>
    </row>
    <row r="101" spans="1:16" ht="16.5">
      <c r="A101" s="2064">
        <f t="shared" si="1"/>
        <v>92</v>
      </c>
      <c r="B101" s="2073" t="s">
        <v>5268</v>
      </c>
      <c r="C101" s="2076"/>
      <c r="D101" s="2071">
        <f>D102+D103+D104+D105+D106+D107+D108+D109</f>
        <v>0</v>
      </c>
      <c r="E101" s="2072"/>
      <c r="F101" s="2071">
        <f ca="1">F102+F103+F104+F105+F106+F107+F108+F109</f>
        <v>0</v>
      </c>
      <c r="N101" s="13"/>
      <c r="O101" s="13"/>
      <c r="P101" s="13"/>
    </row>
    <row r="102" spans="1:16" ht="49.5">
      <c r="A102" s="2086">
        <f t="shared" si="1"/>
        <v>93</v>
      </c>
      <c r="B102" s="2074" t="s">
        <v>5269</v>
      </c>
      <c r="C102" s="2066" t="s">
        <v>5270</v>
      </c>
      <c r="D102" s="2067">
        <f>'表12-2'!G56+'表30-14-1'!L8</f>
        <v>0</v>
      </c>
      <c r="E102" s="2068">
        <f ca="1">'表30-14'!E19</f>
        <v>0.2631</v>
      </c>
      <c r="F102" s="2067">
        <f t="shared" ref="F102:F109" ca="1" si="2">ROUND(D102*E102,0)</f>
        <v>0</v>
      </c>
      <c r="N102" s="13"/>
      <c r="O102" s="13"/>
      <c r="P102" s="13"/>
    </row>
    <row r="103" spans="1:16" ht="49.5">
      <c r="A103" s="2086">
        <f t="shared" si="1"/>
        <v>94</v>
      </c>
      <c r="B103" s="2074" t="s">
        <v>5271</v>
      </c>
      <c r="C103" s="2066" t="s">
        <v>5272</v>
      </c>
      <c r="D103" s="2067">
        <f>'表12-2'!D57+'表30-14-1'!L10</f>
        <v>0</v>
      </c>
      <c r="E103" s="2068">
        <v>6.3299999999999995E-2</v>
      </c>
      <c r="F103" s="2067">
        <f t="shared" si="2"/>
        <v>0</v>
      </c>
      <c r="N103" s="13"/>
      <c r="O103" s="13"/>
      <c r="P103" s="13"/>
    </row>
    <row r="104" spans="1:16" ht="49.5">
      <c r="A104" s="2086">
        <f t="shared" si="1"/>
        <v>95</v>
      </c>
      <c r="B104" s="2074" t="s">
        <v>5273</v>
      </c>
      <c r="C104" s="2066" t="s">
        <v>5274</v>
      </c>
      <c r="D104" s="2067">
        <f>'表12-2'!G58+'表30-14-1'!L12</f>
        <v>0</v>
      </c>
      <c r="E104" s="2068">
        <f ca="1">'表30-14'!E20</f>
        <v>0.2631</v>
      </c>
      <c r="F104" s="2067">
        <f t="shared" ca="1" si="2"/>
        <v>0</v>
      </c>
      <c r="N104" s="13"/>
      <c r="O104" s="13"/>
      <c r="P104" s="13"/>
    </row>
    <row r="105" spans="1:16" ht="16.5">
      <c r="A105" s="2086">
        <f t="shared" si="1"/>
        <v>96</v>
      </c>
      <c r="B105" s="2074" t="s">
        <v>5275</v>
      </c>
      <c r="C105" s="2066" t="s">
        <v>5276</v>
      </c>
      <c r="D105" s="2067">
        <f>'表12-2'!D59</f>
        <v>0</v>
      </c>
      <c r="E105" s="2068">
        <v>1.09E-2</v>
      </c>
      <c r="F105" s="2067">
        <f t="shared" si="2"/>
        <v>0</v>
      </c>
      <c r="N105" s="13"/>
      <c r="O105" s="13"/>
      <c r="P105" s="13"/>
    </row>
    <row r="106" spans="1:16" ht="49.5">
      <c r="A106" s="2064">
        <f t="shared" si="1"/>
        <v>97</v>
      </c>
      <c r="B106" s="2074" t="s">
        <v>5277</v>
      </c>
      <c r="C106" s="2082" t="s">
        <v>5278</v>
      </c>
      <c r="D106" s="2067">
        <f>'表12-2'!D60+'表30-14-1'!L22</f>
        <v>0</v>
      </c>
      <c r="E106" s="2083">
        <v>0.33750000000000002</v>
      </c>
      <c r="F106" s="2067">
        <f>ROUND(D106*E106,0)</f>
        <v>0</v>
      </c>
      <c r="N106" s="13"/>
      <c r="O106" s="13"/>
      <c r="P106" s="13"/>
    </row>
    <row r="107" spans="1:16" ht="16.5">
      <c r="A107" s="2064">
        <f t="shared" si="1"/>
        <v>98</v>
      </c>
      <c r="B107" s="2074" t="s">
        <v>5279</v>
      </c>
      <c r="C107" s="2066" t="s">
        <v>5280</v>
      </c>
      <c r="D107" s="2067">
        <f>'表12-2'!D61</f>
        <v>0</v>
      </c>
      <c r="E107" s="2083">
        <v>0.33750000000000002</v>
      </c>
      <c r="F107" s="2067">
        <f>ROUND(D107*E107,0)</f>
        <v>0</v>
      </c>
      <c r="N107" s="13"/>
      <c r="O107" s="13"/>
      <c r="P107" s="13"/>
    </row>
    <row r="108" spans="1:16" ht="16.5">
      <c r="A108" s="2064">
        <f t="shared" si="1"/>
        <v>99</v>
      </c>
      <c r="B108" s="2074" t="s">
        <v>5281</v>
      </c>
      <c r="C108" s="2066" t="s">
        <v>5282</v>
      </c>
      <c r="D108" s="2067">
        <f>'表12-2'!D62</f>
        <v>0</v>
      </c>
      <c r="E108" s="2083">
        <v>0.33750000000000002</v>
      </c>
      <c r="F108" s="2067">
        <f>ROUND(D108*E108,0)</f>
        <v>0</v>
      </c>
      <c r="N108" s="13"/>
      <c r="O108" s="13"/>
      <c r="P108" s="13"/>
    </row>
    <row r="109" spans="1:16" ht="16.5">
      <c r="A109" s="2064">
        <f t="shared" si="1"/>
        <v>100</v>
      </c>
      <c r="B109" s="2074" t="s">
        <v>5283</v>
      </c>
      <c r="C109" s="2066" t="s">
        <v>5284</v>
      </c>
      <c r="D109" s="2067">
        <f>'表05-1'!G138</f>
        <v>0</v>
      </c>
      <c r="E109" s="2068">
        <v>0.1018</v>
      </c>
      <c r="F109" s="2067">
        <f t="shared" si="2"/>
        <v>0</v>
      </c>
      <c r="N109" s="13"/>
      <c r="O109" s="13"/>
      <c r="P109" s="13"/>
    </row>
    <row r="110" spans="1:16" ht="16.5">
      <c r="A110" s="2064">
        <f t="shared" si="1"/>
        <v>101</v>
      </c>
      <c r="B110" s="2073" t="s">
        <v>5285</v>
      </c>
      <c r="C110" s="2076"/>
      <c r="D110" s="2071">
        <f>SUM(D111:D112)</f>
        <v>0</v>
      </c>
      <c r="E110" s="2087"/>
      <c r="F110" s="2071">
        <f>SUM(F111:F112)</f>
        <v>0</v>
      </c>
      <c r="N110" s="13"/>
      <c r="O110" s="13"/>
      <c r="P110" s="13"/>
    </row>
    <row r="111" spans="1:16" ht="16.5">
      <c r="A111" s="2064">
        <f t="shared" si="1"/>
        <v>102</v>
      </c>
      <c r="B111" s="2074" t="s">
        <v>5286</v>
      </c>
      <c r="C111" s="2066" t="s">
        <v>5287</v>
      </c>
      <c r="D111" s="2067">
        <f>SUM('表05-1'!G128)</f>
        <v>0</v>
      </c>
      <c r="E111" s="2068">
        <v>0</v>
      </c>
      <c r="F111" s="2067">
        <f>ROUND(D111*E111,0)</f>
        <v>0</v>
      </c>
      <c r="H111" s="13"/>
      <c r="I111" s="13"/>
      <c r="J111" s="13"/>
      <c r="K111" s="13"/>
      <c r="L111" s="13"/>
      <c r="M111" s="13"/>
      <c r="N111" s="13"/>
      <c r="O111" s="13"/>
      <c r="P111" s="13"/>
    </row>
    <row r="112" spans="1:16" ht="16.5">
      <c r="A112" s="2064">
        <f t="shared" si="1"/>
        <v>103</v>
      </c>
      <c r="B112" s="2074" t="s">
        <v>5288</v>
      </c>
      <c r="C112" s="2066" t="s">
        <v>5289</v>
      </c>
      <c r="D112" s="2067">
        <f>SUM('表05-1'!G129)</f>
        <v>0</v>
      </c>
      <c r="E112" s="2068">
        <v>0.25750000000000001</v>
      </c>
      <c r="F112" s="2067">
        <f>ROUND(D112*E112,0)</f>
        <v>0</v>
      </c>
      <c r="H112" s="13"/>
      <c r="I112" s="13"/>
      <c r="J112" s="13"/>
      <c r="K112" s="13"/>
      <c r="L112" s="13"/>
      <c r="M112" s="13"/>
      <c r="N112" s="13"/>
      <c r="O112" s="13"/>
      <c r="P112" s="13"/>
    </row>
    <row r="113" spans="1:17" ht="16.5">
      <c r="A113" s="2064">
        <f t="shared" si="1"/>
        <v>104</v>
      </c>
      <c r="B113" s="2073" t="s">
        <v>5290</v>
      </c>
      <c r="C113" s="2070"/>
      <c r="D113" s="2071">
        <f>SUM(D114:D115)</f>
        <v>0</v>
      </c>
      <c r="E113" s="2072"/>
      <c r="F113" s="2071">
        <f>SUM(F114:F115)</f>
        <v>0</v>
      </c>
      <c r="H113" s="13"/>
      <c r="I113" s="13"/>
      <c r="J113" s="13"/>
      <c r="K113" s="13"/>
      <c r="L113" s="13"/>
      <c r="M113" s="13"/>
      <c r="N113" s="13"/>
      <c r="O113" s="13"/>
      <c r="P113" s="13"/>
    </row>
    <row r="114" spans="1:17" ht="66">
      <c r="A114" s="2064">
        <f t="shared" si="1"/>
        <v>105</v>
      </c>
      <c r="B114" s="2074" t="s">
        <v>5291</v>
      </c>
      <c r="C114" s="2082" t="s">
        <v>6085</v>
      </c>
      <c r="D114" s="2067">
        <f>SUM('表13-2'!O13,'表13-2'!O16)+'表30-8-3'!E15-'表30-8-4'!D9</f>
        <v>0</v>
      </c>
      <c r="E114" s="2068">
        <v>0.1</v>
      </c>
      <c r="F114" s="2067">
        <f>ROUND(D114*E114,0)</f>
        <v>0</v>
      </c>
      <c r="H114" s="13"/>
      <c r="I114" s="13"/>
      <c r="J114" s="13"/>
      <c r="K114" s="13"/>
      <c r="L114" s="13"/>
      <c r="M114" s="13"/>
      <c r="N114" s="13"/>
      <c r="O114" s="13"/>
      <c r="P114" s="13"/>
    </row>
    <row r="115" spans="1:17" ht="33">
      <c r="A115" s="2064">
        <f t="shared" si="1"/>
        <v>106</v>
      </c>
      <c r="B115" s="2074" t="s">
        <v>5292</v>
      </c>
      <c r="C115" s="2082" t="s">
        <v>5293</v>
      </c>
      <c r="D115" s="2067">
        <f>'表30-8-4'!D9</f>
        <v>0</v>
      </c>
      <c r="E115" s="2071"/>
      <c r="F115" s="2067">
        <f>'表30-8-4'!E9</f>
        <v>0</v>
      </c>
      <c r="H115" s="13"/>
      <c r="I115" s="13"/>
      <c r="J115" s="13"/>
      <c r="K115" s="13"/>
      <c r="L115" s="13"/>
      <c r="M115" s="13"/>
      <c r="N115" s="13"/>
      <c r="O115" s="13"/>
      <c r="P115" s="13"/>
    </row>
    <row r="116" spans="1:17" ht="16.5">
      <c r="A116" s="2064">
        <f t="shared" si="1"/>
        <v>107</v>
      </c>
      <c r="B116" s="2084" t="s">
        <v>5294</v>
      </c>
      <c r="C116" s="2066" t="s">
        <v>5295</v>
      </c>
      <c r="D116" s="2067">
        <f>SUM('表05-1'!G131)</f>
        <v>0</v>
      </c>
      <c r="E116" s="2068">
        <v>0.29499999999999998</v>
      </c>
      <c r="F116" s="2067">
        <f>ROUND(D116*E116,0)</f>
        <v>0</v>
      </c>
    </row>
    <row r="117" spans="1:17" ht="33">
      <c r="A117" s="2064">
        <f t="shared" si="1"/>
        <v>108</v>
      </c>
      <c r="B117" s="2084" t="s">
        <v>5296</v>
      </c>
      <c r="C117" s="2066" t="s">
        <v>5297</v>
      </c>
      <c r="D117" s="2067">
        <f>SUM('表05-1'!M132,'表30-14-1'!L14)</f>
        <v>0</v>
      </c>
      <c r="E117" s="2068">
        <f ca="1">'表30-14'!E19</f>
        <v>0.2631</v>
      </c>
      <c r="F117" s="2067">
        <f ca="1">ROUND(D117*E117,0)</f>
        <v>0</v>
      </c>
    </row>
    <row r="118" spans="1:17" ht="33">
      <c r="A118" s="2064">
        <f t="shared" si="1"/>
        <v>109</v>
      </c>
      <c r="B118" s="2084" t="s">
        <v>5298</v>
      </c>
      <c r="C118" s="2066" t="s">
        <v>5299</v>
      </c>
      <c r="D118" s="2067">
        <f>SUM('表05-1'!G133,'表30-14-1'!L16)</f>
        <v>0</v>
      </c>
      <c r="E118" s="2068">
        <v>6.3299999999999995E-2</v>
      </c>
      <c r="F118" s="2067">
        <f>ROUND(D118*E118,0)</f>
        <v>0</v>
      </c>
    </row>
    <row r="119" spans="1:17" ht="33">
      <c r="A119" s="2064">
        <f t="shared" si="1"/>
        <v>110</v>
      </c>
      <c r="B119" s="2084" t="s">
        <v>5300</v>
      </c>
      <c r="C119" s="2066" t="s">
        <v>5301</v>
      </c>
      <c r="D119" s="2067">
        <f>SUM('表05-1'!G134,'表30-14-1'!L18)</f>
        <v>0</v>
      </c>
      <c r="E119" s="2068">
        <v>0.2009</v>
      </c>
      <c r="F119" s="2067">
        <f>ROUND(D119*E119,0)</f>
        <v>0</v>
      </c>
    </row>
    <row r="120" spans="1:17" ht="33">
      <c r="A120" s="2064">
        <f t="shared" si="1"/>
        <v>111</v>
      </c>
      <c r="B120" s="2084" t="s">
        <v>1392</v>
      </c>
      <c r="C120" s="2066" t="s">
        <v>5302</v>
      </c>
      <c r="D120" s="2067">
        <f>'表30-14-1'!L20</f>
        <v>0</v>
      </c>
      <c r="E120" s="2068">
        <v>0.28129999999999999</v>
      </c>
      <c r="F120" s="2067">
        <f>ROUND(D120*E120,0)</f>
        <v>0</v>
      </c>
    </row>
    <row r="121" spans="1:17" ht="16.5">
      <c r="A121" s="2086">
        <f t="shared" si="1"/>
        <v>112</v>
      </c>
      <c r="B121" s="2073" t="s">
        <v>5303</v>
      </c>
      <c r="C121" s="2070"/>
      <c r="D121" s="2071">
        <f>D122+D123</f>
        <v>0</v>
      </c>
      <c r="E121" s="2072"/>
      <c r="F121" s="2071">
        <f>F122+F123</f>
        <v>0</v>
      </c>
      <c r="G121" s="13"/>
      <c r="Q121" s="771"/>
    </row>
    <row r="122" spans="1:17" ht="16.5">
      <c r="A122" s="2086">
        <f t="shared" si="1"/>
        <v>113</v>
      </c>
      <c r="B122" s="2074" t="s">
        <v>5304</v>
      </c>
      <c r="C122" s="2066" t="s">
        <v>5305</v>
      </c>
      <c r="D122" s="2067">
        <f>'表30-3-3'!G27</f>
        <v>0</v>
      </c>
      <c r="E122" s="2072"/>
      <c r="F122" s="2067">
        <f>'表30-3-3'!M27</f>
        <v>0</v>
      </c>
      <c r="G122" s="13"/>
      <c r="Q122" s="771"/>
    </row>
    <row r="123" spans="1:17" ht="16.5">
      <c r="A123" s="2086">
        <f t="shared" si="1"/>
        <v>114</v>
      </c>
      <c r="B123" s="2074" t="s">
        <v>5306</v>
      </c>
      <c r="C123" s="2066" t="s">
        <v>5307</v>
      </c>
      <c r="D123" s="2067">
        <f>'表30-3-3'!G49</f>
        <v>0</v>
      </c>
      <c r="E123" s="2072"/>
      <c r="F123" s="2067">
        <f>'表30-3-3'!M49</f>
        <v>0</v>
      </c>
      <c r="G123" s="13"/>
      <c r="Q123" s="771"/>
    </row>
    <row r="124" spans="1:17" ht="16.5">
      <c r="A124" s="2064">
        <f t="shared" si="1"/>
        <v>115</v>
      </c>
      <c r="B124" s="2073" t="s">
        <v>5308</v>
      </c>
      <c r="C124" s="2066"/>
      <c r="D124" s="2067">
        <f>D125+D126+D127</f>
        <v>0</v>
      </c>
      <c r="E124" s="2072"/>
      <c r="F124" s="2067">
        <f>F125+F126+F127</f>
        <v>0</v>
      </c>
    </row>
    <row r="125" spans="1:17" ht="49.5">
      <c r="A125" s="2086">
        <f t="shared" si="1"/>
        <v>116</v>
      </c>
      <c r="B125" s="2074" t="s">
        <v>5309</v>
      </c>
      <c r="C125" s="2066" t="s">
        <v>5310</v>
      </c>
      <c r="D125" s="2067">
        <f>'表05-1'!G135-'表05-1'!G137-'表05-1'!G138-'表13-4'!M19</f>
        <v>0</v>
      </c>
      <c r="E125" s="2068">
        <v>0.3</v>
      </c>
      <c r="F125" s="2067">
        <f>ROUND(D125*E125,0)</f>
        <v>0</v>
      </c>
    </row>
    <row r="126" spans="1:17" ht="16.5">
      <c r="A126" s="2086">
        <f t="shared" si="1"/>
        <v>117</v>
      </c>
      <c r="B126" s="2074" t="s">
        <v>5311</v>
      </c>
      <c r="C126" s="2078" t="s">
        <v>5312</v>
      </c>
      <c r="D126" s="2067">
        <f>'表13-4'!M19</f>
        <v>0</v>
      </c>
      <c r="E126" s="2068">
        <v>0.1</v>
      </c>
      <c r="F126" s="2067">
        <f>ROUND(D126*E126,0)</f>
        <v>0</v>
      </c>
    </row>
    <row r="127" spans="1:17" ht="33">
      <c r="A127" s="2086">
        <f t="shared" si="1"/>
        <v>118</v>
      </c>
      <c r="B127" s="2074" t="s">
        <v>6086</v>
      </c>
      <c r="C127" s="2560"/>
      <c r="D127" s="2561">
        <f>SUM(D128:D129)</f>
        <v>0</v>
      </c>
      <c r="E127" s="2557"/>
      <c r="F127" s="2343">
        <f>SUM(F128:F129)</f>
        <v>0</v>
      </c>
    </row>
    <row r="128" spans="1:17" ht="33">
      <c r="A128" s="2086" t="s">
        <v>5697</v>
      </c>
      <c r="B128" s="2077" t="s">
        <v>6087</v>
      </c>
      <c r="C128" s="2078" t="s">
        <v>6088</v>
      </c>
      <c r="D128" s="2561">
        <f>'表30-14-1'!L25</f>
        <v>0</v>
      </c>
      <c r="E128" s="2083">
        <v>0.1018</v>
      </c>
      <c r="F128" s="2343">
        <f>ROUND(D128*E128,0)</f>
        <v>0</v>
      </c>
    </row>
    <row r="129" spans="1:6" ht="33">
      <c r="A129" s="2086" t="s">
        <v>5698</v>
      </c>
      <c r="B129" s="2077" t="s">
        <v>6089</v>
      </c>
      <c r="C129" s="2078" t="s">
        <v>6090</v>
      </c>
      <c r="D129" s="2561">
        <f>'表30-14-1'!L26</f>
        <v>0</v>
      </c>
      <c r="E129" s="2083">
        <v>0.17249999999999999</v>
      </c>
      <c r="F129" s="2343">
        <f>ROUND(D129*E129,0)</f>
        <v>0</v>
      </c>
    </row>
    <row r="130" spans="1:6" ht="16.5">
      <c r="A130" s="2086">
        <f>A127+1</f>
        <v>119</v>
      </c>
      <c r="B130" s="2069" t="s">
        <v>5313</v>
      </c>
      <c r="C130" s="2070"/>
      <c r="D130" s="2071">
        <f>SUM(D131,D132,D139,D144,D152,D155,D158:D163,D166)</f>
        <v>0</v>
      </c>
      <c r="E130" s="2071"/>
      <c r="F130" s="2071">
        <f ca="1">SUM(F131,F132,F139,F144,F152,F155,F158:F163,F166,F172)</f>
        <v>0</v>
      </c>
    </row>
    <row r="131" spans="1:6" ht="16.5">
      <c r="A131" s="2064">
        <f t="shared" si="1"/>
        <v>120</v>
      </c>
      <c r="B131" s="2084" t="s">
        <v>5314</v>
      </c>
      <c r="C131" s="2066" t="s">
        <v>5315</v>
      </c>
      <c r="D131" s="2067">
        <f>SUM('表05-1'!G142)</f>
        <v>0</v>
      </c>
      <c r="E131" s="2068">
        <v>0</v>
      </c>
      <c r="F131" s="2067">
        <f>ROUND(D131*E131,0)</f>
        <v>0</v>
      </c>
    </row>
    <row r="132" spans="1:6" ht="16.5">
      <c r="A132" s="2064">
        <f t="shared" si="1"/>
        <v>121</v>
      </c>
      <c r="B132" s="2073" t="s">
        <v>5316</v>
      </c>
      <c r="C132" s="2070"/>
      <c r="D132" s="2071">
        <f>SUM(D133:D134,D135:D136)</f>
        <v>0</v>
      </c>
      <c r="E132" s="2072"/>
      <c r="F132" s="2071">
        <f>SUM(F133:F134,F135:F136)</f>
        <v>0</v>
      </c>
    </row>
    <row r="133" spans="1:6" ht="33">
      <c r="A133" s="2064">
        <f t="shared" si="1"/>
        <v>122</v>
      </c>
      <c r="B133" s="2074" t="s">
        <v>5317</v>
      </c>
      <c r="C133" s="2066" t="s">
        <v>5318</v>
      </c>
      <c r="D133" s="2067">
        <f>SUM('表30-3-2'!E27)</f>
        <v>0</v>
      </c>
      <c r="E133" s="2072"/>
      <c r="F133" s="2067">
        <f>SUM('表30-3-2'!H27)</f>
        <v>0</v>
      </c>
    </row>
    <row r="134" spans="1:6" ht="33">
      <c r="A134" s="2064">
        <f t="shared" si="1"/>
        <v>123</v>
      </c>
      <c r="B134" s="2074" t="s">
        <v>5319</v>
      </c>
      <c r="C134" s="2066" t="s">
        <v>5320</v>
      </c>
      <c r="D134" s="2067">
        <f>'表30-3-2'!E49</f>
        <v>0</v>
      </c>
      <c r="E134" s="2072"/>
      <c r="F134" s="2067">
        <f>'表30-3-2'!H49</f>
        <v>0</v>
      </c>
    </row>
    <row r="135" spans="1:6" ht="33">
      <c r="A135" s="2064">
        <f t="shared" si="1"/>
        <v>124</v>
      </c>
      <c r="B135" s="2074" t="s">
        <v>5321</v>
      </c>
      <c r="C135" s="2066" t="s">
        <v>5322</v>
      </c>
      <c r="D135" s="2067">
        <f>SUM('表30-3-2'!E71)</f>
        <v>0</v>
      </c>
      <c r="E135" s="2087"/>
      <c r="F135" s="2067">
        <f>SUM('表30-3-2'!H71)</f>
        <v>0</v>
      </c>
    </row>
    <row r="136" spans="1:6" ht="16.5">
      <c r="A136" s="2064">
        <f t="shared" si="1"/>
        <v>125</v>
      </c>
      <c r="B136" s="2075" t="s">
        <v>5323</v>
      </c>
      <c r="C136" s="2076"/>
      <c r="D136" s="2071">
        <f>SUM(D137:D138)</f>
        <v>0</v>
      </c>
      <c r="E136" s="2087"/>
      <c r="F136" s="2071">
        <f>SUM(F137:F138)</f>
        <v>0</v>
      </c>
    </row>
    <row r="137" spans="1:6" ht="33">
      <c r="A137" s="2064">
        <f t="shared" si="1"/>
        <v>126</v>
      </c>
      <c r="B137" s="2077" t="s">
        <v>5324</v>
      </c>
      <c r="C137" s="2066" t="s">
        <v>5325</v>
      </c>
      <c r="D137" s="2067">
        <f>SUM('表30-3-2'!E93)</f>
        <v>0</v>
      </c>
      <c r="E137" s="2072"/>
      <c r="F137" s="2067">
        <f>SUM('表30-3-2'!H93)</f>
        <v>0</v>
      </c>
    </row>
    <row r="138" spans="1:6" ht="16.5">
      <c r="A138" s="2064">
        <f t="shared" si="1"/>
        <v>127</v>
      </c>
      <c r="B138" s="2077" t="s">
        <v>5326</v>
      </c>
      <c r="C138" s="2066" t="s">
        <v>5327</v>
      </c>
      <c r="D138" s="2067">
        <f>SUM('表05-1'!G150)</f>
        <v>0</v>
      </c>
      <c r="E138" s="2068">
        <v>0.3</v>
      </c>
      <c r="F138" s="2067">
        <f>ROUND(D138*E138,0)</f>
        <v>0</v>
      </c>
    </row>
    <row r="139" spans="1:6" ht="16.5">
      <c r="A139" s="2064">
        <f t="shared" si="1"/>
        <v>128</v>
      </c>
      <c r="B139" s="2073" t="s">
        <v>5328</v>
      </c>
      <c r="C139" s="2076"/>
      <c r="D139" s="2071">
        <f>SUM(D140:D141)</f>
        <v>0</v>
      </c>
      <c r="E139" s="2072"/>
      <c r="F139" s="2071">
        <f ca="1">SUM(F140:F141)</f>
        <v>0</v>
      </c>
    </row>
    <row r="140" spans="1:6" ht="33">
      <c r="A140" s="2064">
        <f t="shared" si="1"/>
        <v>129</v>
      </c>
      <c r="B140" s="2074" t="s">
        <v>5329</v>
      </c>
      <c r="C140" s="2066" t="s">
        <v>5330</v>
      </c>
      <c r="D140" s="2067">
        <f>SUM('表10-4'!G51,'表10-4'!F52,'表10-4'!G39)</f>
        <v>0</v>
      </c>
      <c r="E140" s="2068">
        <f ca="1">'表30-14'!E22</f>
        <v>0.2873</v>
      </c>
      <c r="F140" s="2067">
        <f ca="1">ROUND(D140*E140,0)</f>
        <v>0</v>
      </c>
    </row>
    <row r="141" spans="1:6" ht="16.5">
      <c r="A141" s="2064">
        <f t="shared" si="1"/>
        <v>130</v>
      </c>
      <c r="B141" s="2075" t="s">
        <v>5331</v>
      </c>
      <c r="C141" s="2076"/>
      <c r="D141" s="2071">
        <f>SUM(D142:D143)</f>
        <v>0</v>
      </c>
      <c r="E141" s="2072"/>
      <c r="F141" s="2071">
        <f ca="1">SUM(F142:F143)</f>
        <v>0</v>
      </c>
    </row>
    <row r="142" spans="1:6" ht="33">
      <c r="A142" s="2064">
        <f t="shared" si="1"/>
        <v>131</v>
      </c>
      <c r="B142" s="2077" t="s">
        <v>5332</v>
      </c>
      <c r="C142" s="2066" t="s">
        <v>5333</v>
      </c>
      <c r="D142" s="2067">
        <f>SUM('表30-3-2'!E115)</f>
        <v>0</v>
      </c>
      <c r="E142" s="2072"/>
      <c r="F142" s="2067">
        <f>SUM('表30-3-2'!H115)</f>
        <v>0</v>
      </c>
    </row>
    <row r="143" spans="1:6" ht="16.5">
      <c r="A143" s="2064">
        <f t="shared" ref="A143:A180" si="3">A142+1</f>
        <v>132</v>
      </c>
      <c r="B143" s="2077" t="s">
        <v>5334</v>
      </c>
      <c r="C143" s="2066" t="s">
        <v>5335</v>
      </c>
      <c r="D143" s="2067">
        <f>SUM('表10-4'!G56,'表10-4'!F57)</f>
        <v>0</v>
      </c>
      <c r="E143" s="2068">
        <f ca="1">'表30-14'!E23</f>
        <v>0.2873</v>
      </c>
      <c r="F143" s="2067">
        <f ca="1">ROUND(D143*E143,0)</f>
        <v>0</v>
      </c>
    </row>
    <row r="144" spans="1:6" ht="16.5">
      <c r="A144" s="2064">
        <f t="shared" si="3"/>
        <v>133</v>
      </c>
      <c r="B144" s="2073" t="s">
        <v>5336</v>
      </c>
      <c r="C144" s="2076"/>
      <c r="D144" s="2071">
        <f>D145+D146+D147+D148+D149+D150+D151</f>
        <v>0</v>
      </c>
      <c r="E144" s="2072"/>
      <c r="F144" s="2071">
        <f ca="1">F145+F146+F147+F148+F149+F150+F151</f>
        <v>0</v>
      </c>
    </row>
    <row r="145" spans="1:6" ht="49.5">
      <c r="A145" s="2064">
        <f t="shared" si="3"/>
        <v>134</v>
      </c>
      <c r="B145" s="2074" t="s">
        <v>5337</v>
      </c>
      <c r="C145" s="2066" t="s">
        <v>5338</v>
      </c>
      <c r="D145" s="2067">
        <f>'表12-2'!G64+'表30-14-1'!L9</f>
        <v>0</v>
      </c>
      <c r="E145" s="2068">
        <f ca="1">'表30-14'!E25</f>
        <v>0.2873</v>
      </c>
      <c r="F145" s="2067">
        <f t="shared" ref="F145:F151" ca="1" si="4">ROUND(D145*E145,0)</f>
        <v>0</v>
      </c>
    </row>
    <row r="146" spans="1:6" ht="49.5">
      <c r="A146" s="2064">
        <f t="shared" si="3"/>
        <v>135</v>
      </c>
      <c r="B146" s="2074" t="s">
        <v>5339</v>
      </c>
      <c r="C146" s="2066" t="s">
        <v>5340</v>
      </c>
      <c r="D146" s="2067">
        <f>'表12-2'!D65+'表30-14-1'!L11</f>
        <v>0</v>
      </c>
      <c r="E146" s="2068">
        <v>8.3500000000000005E-2</v>
      </c>
      <c r="F146" s="2067">
        <f t="shared" si="4"/>
        <v>0</v>
      </c>
    </row>
    <row r="147" spans="1:6" ht="49.5">
      <c r="A147" s="2064">
        <f t="shared" si="3"/>
        <v>136</v>
      </c>
      <c r="B147" s="2074" t="s">
        <v>5341</v>
      </c>
      <c r="C147" s="2066" t="s">
        <v>5342</v>
      </c>
      <c r="D147" s="2067">
        <f>'表12-2'!G66+'表30-14-1'!L13</f>
        <v>0</v>
      </c>
      <c r="E147" s="2068">
        <f ca="1">'表30-14'!E26</f>
        <v>0.2873</v>
      </c>
      <c r="F147" s="2067">
        <f t="shared" ca="1" si="4"/>
        <v>0</v>
      </c>
    </row>
    <row r="148" spans="1:6" ht="16.5">
      <c r="A148" s="2064">
        <f t="shared" si="3"/>
        <v>137</v>
      </c>
      <c r="B148" s="2074" t="s">
        <v>5343</v>
      </c>
      <c r="C148" s="2066" t="s">
        <v>5344</v>
      </c>
      <c r="D148" s="2067">
        <f>'表12-2'!D67</f>
        <v>0</v>
      </c>
      <c r="E148" s="2068">
        <v>1.44E-2</v>
      </c>
      <c r="F148" s="2067">
        <f t="shared" si="4"/>
        <v>0</v>
      </c>
    </row>
    <row r="149" spans="1:6" ht="49.5">
      <c r="A149" s="2064">
        <f t="shared" si="3"/>
        <v>138</v>
      </c>
      <c r="B149" s="2074" t="s">
        <v>5345</v>
      </c>
      <c r="C149" s="2082" t="s">
        <v>5346</v>
      </c>
      <c r="D149" s="2067">
        <f>'表12-2'!D68+'表30-14-1'!L23</f>
        <v>0</v>
      </c>
      <c r="E149" s="2083">
        <v>0.33750000000000002</v>
      </c>
      <c r="F149" s="2067">
        <f t="shared" si="4"/>
        <v>0</v>
      </c>
    </row>
    <row r="150" spans="1:6" ht="16.5">
      <c r="A150" s="2064">
        <f t="shared" si="3"/>
        <v>139</v>
      </c>
      <c r="B150" s="2074" t="s">
        <v>5347</v>
      </c>
      <c r="C150" s="2066" t="s">
        <v>5348</v>
      </c>
      <c r="D150" s="2067">
        <f>'表12-2'!D69</f>
        <v>0</v>
      </c>
      <c r="E150" s="2083">
        <v>0.33750000000000002</v>
      </c>
      <c r="F150" s="2067">
        <f t="shared" si="4"/>
        <v>0</v>
      </c>
    </row>
    <row r="151" spans="1:6" ht="16.5">
      <c r="A151" s="2064">
        <f t="shared" si="3"/>
        <v>140</v>
      </c>
      <c r="B151" s="2074" t="s">
        <v>5349</v>
      </c>
      <c r="C151" s="2066" t="s">
        <v>5350</v>
      </c>
      <c r="D151" s="2067">
        <f>'表12-2'!D70</f>
        <v>0</v>
      </c>
      <c r="E151" s="2083">
        <v>0.33750000000000002</v>
      </c>
      <c r="F151" s="2067">
        <f t="shared" si="4"/>
        <v>0</v>
      </c>
    </row>
    <row r="152" spans="1:6" ht="16.5">
      <c r="A152" s="2064">
        <f t="shared" si="3"/>
        <v>141</v>
      </c>
      <c r="B152" s="2073" t="s">
        <v>5351</v>
      </c>
      <c r="C152" s="2076"/>
      <c r="D152" s="2071">
        <f>SUM(D153:D154)</f>
        <v>0</v>
      </c>
      <c r="E152" s="2087"/>
      <c r="F152" s="2071">
        <f>SUM(F153:F154)</f>
        <v>0</v>
      </c>
    </row>
    <row r="153" spans="1:6" ht="16.5">
      <c r="A153" s="2064">
        <f t="shared" si="3"/>
        <v>142</v>
      </c>
      <c r="B153" s="2074" t="s">
        <v>5352</v>
      </c>
      <c r="C153" s="2066" t="s">
        <v>5353</v>
      </c>
      <c r="D153" s="2067">
        <f>SUM('表05-1'!G158)</f>
        <v>0</v>
      </c>
      <c r="E153" s="2068">
        <v>0</v>
      </c>
      <c r="F153" s="2067">
        <f>ROUND(D153*E153,0)</f>
        <v>0</v>
      </c>
    </row>
    <row r="154" spans="1:6" ht="16.5">
      <c r="A154" s="2064">
        <f t="shared" si="3"/>
        <v>143</v>
      </c>
      <c r="B154" s="2074" t="s">
        <v>5354</v>
      </c>
      <c r="C154" s="2066" t="s">
        <v>5355</v>
      </c>
      <c r="D154" s="2067">
        <f>SUM('表05-1'!G159)</f>
        <v>0</v>
      </c>
      <c r="E154" s="2068">
        <v>0.25750000000000001</v>
      </c>
      <c r="F154" s="2067">
        <f>ROUND(D154*E154,0)</f>
        <v>0</v>
      </c>
    </row>
    <row r="155" spans="1:6" ht="16.5">
      <c r="A155" s="2064">
        <f t="shared" si="3"/>
        <v>144</v>
      </c>
      <c r="B155" s="2073" t="s">
        <v>5356</v>
      </c>
      <c r="C155" s="2070"/>
      <c r="D155" s="2071">
        <f>SUM(D156:D157)</f>
        <v>0</v>
      </c>
      <c r="E155" s="2072"/>
      <c r="F155" s="2071">
        <f>SUM(F156:F157)</f>
        <v>0</v>
      </c>
    </row>
    <row r="156" spans="1:6" ht="66">
      <c r="A156" s="2064">
        <f t="shared" si="3"/>
        <v>145</v>
      </c>
      <c r="B156" s="2074" t="s">
        <v>5357</v>
      </c>
      <c r="C156" s="2082" t="s">
        <v>6091</v>
      </c>
      <c r="D156" s="2067">
        <f>SUM('表13-2'!O14,'表13-2'!O17)+'表30-8-3'!E16-'表30-8-4'!D10</f>
        <v>0</v>
      </c>
      <c r="E156" s="2068">
        <v>0.1</v>
      </c>
      <c r="F156" s="2067">
        <f>ROUND(D156*E156,0)</f>
        <v>0</v>
      </c>
    </row>
    <row r="157" spans="1:6" ht="33">
      <c r="A157" s="2064">
        <f t="shared" si="3"/>
        <v>146</v>
      </c>
      <c r="B157" s="2074" t="s">
        <v>5358</v>
      </c>
      <c r="C157" s="2082" t="s">
        <v>5359</v>
      </c>
      <c r="D157" s="2067">
        <f>'表30-8-4'!D10</f>
        <v>0</v>
      </c>
      <c r="E157" s="2071"/>
      <c r="F157" s="2067">
        <f>'表30-8-4'!E10</f>
        <v>0</v>
      </c>
    </row>
    <row r="158" spans="1:6" ht="16.5">
      <c r="A158" s="2064">
        <f t="shared" si="3"/>
        <v>147</v>
      </c>
      <c r="B158" s="2084" t="s">
        <v>5360</v>
      </c>
      <c r="C158" s="2066" t="s">
        <v>5361</v>
      </c>
      <c r="D158" s="2067">
        <f>SUM('表05-1'!G161)</f>
        <v>0</v>
      </c>
      <c r="E158" s="2068">
        <v>0.29499999999999998</v>
      </c>
      <c r="F158" s="2067">
        <f>ROUND(D158*E158,0)</f>
        <v>0</v>
      </c>
    </row>
    <row r="159" spans="1:6" ht="33">
      <c r="A159" s="2064">
        <f t="shared" si="3"/>
        <v>148</v>
      </c>
      <c r="B159" s="2084" t="s">
        <v>5362</v>
      </c>
      <c r="C159" s="2066" t="s">
        <v>5363</v>
      </c>
      <c r="D159" s="2067">
        <f>SUM('表05-1'!M162,'表30-14-1'!L15)</f>
        <v>0</v>
      </c>
      <c r="E159" s="2068">
        <f ca="1">'表30-14'!E25</f>
        <v>0.2873</v>
      </c>
      <c r="F159" s="2067">
        <f ca="1">ROUND(D159*E159,0)</f>
        <v>0</v>
      </c>
    </row>
    <row r="160" spans="1:6" ht="33">
      <c r="A160" s="2064">
        <f t="shared" si="3"/>
        <v>149</v>
      </c>
      <c r="B160" s="2084" t="s">
        <v>5364</v>
      </c>
      <c r="C160" s="2066" t="s">
        <v>5365</v>
      </c>
      <c r="D160" s="2067">
        <f>SUM('表05-1'!G163,'表30-14-1'!L17)</f>
        <v>0</v>
      </c>
      <c r="E160" s="2068">
        <v>8.3500000000000005E-2</v>
      </c>
      <c r="F160" s="2067">
        <f>ROUND(D160*E160,0)</f>
        <v>0</v>
      </c>
    </row>
    <row r="161" spans="1:17" ht="33">
      <c r="A161" s="2064">
        <f t="shared" si="3"/>
        <v>150</v>
      </c>
      <c r="B161" s="2084" t="s">
        <v>5366</v>
      </c>
      <c r="C161" s="2066" t="s">
        <v>5367</v>
      </c>
      <c r="D161" s="2067">
        <f>SUM('表05-1'!G164,'表30-14-1'!L19)</f>
        <v>0</v>
      </c>
      <c r="E161" s="2068">
        <v>0.28870000000000001</v>
      </c>
      <c r="F161" s="2067">
        <f>ROUND(D161*E161,0)</f>
        <v>0</v>
      </c>
    </row>
    <row r="162" spans="1:17" ht="33">
      <c r="A162" s="2064">
        <f t="shared" si="3"/>
        <v>151</v>
      </c>
      <c r="B162" s="2084" t="s">
        <v>1393</v>
      </c>
      <c r="C162" s="2066" t="s">
        <v>5368</v>
      </c>
      <c r="D162" s="2067">
        <f>'表30-14-1'!L21</f>
        <v>0</v>
      </c>
      <c r="E162" s="2068">
        <v>0.4042</v>
      </c>
      <c r="F162" s="2067">
        <f>ROUND(D162*E162,0)</f>
        <v>0</v>
      </c>
    </row>
    <row r="163" spans="1:17" ht="16.5">
      <c r="A163" s="2064">
        <f t="shared" si="3"/>
        <v>152</v>
      </c>
      <c r="B163" s="2073" t="s">
        <v>5369</v>
      </c>
      <c r="C163" s="2070"/>
      <c r="D163" s="2071">
        <f>D164+D165</f>
        <v>0</v>
      </c>
      <c r="E163" s="2072"/>
      <c r="F163" s="2071">
        <f>F164+F165</f>
        <v>0</v>
      </c>
      <c r="G163" s="13"/>
      <c r="Q163" s="771"/>
    </row>
    <row r="164" spans="1:17" ht="16.5">
      <c r="A164" s="2064">
        <f t="shared" si="3"/>
        <v>153</v>
      </c>
      <c r="B164" s="2074" t="s">
        <v>5370</v>
      </c>
      <c r="C164" s="2066" t="s">
        <v>5371</v>
      </c>
      <c r="D164" s="2067">
        <f>'表30-3-3'!H27</f>
        <v>0</v>
      </c>
      <c r="E164" s="2072"/>
      <c r="F164" s="2067">
        <f>'表30-3-3'!N27</f>
        <v>0</v>
      </c>
      <c r="G164" s="13"/>
      <c r="Q164" s="771"/>
    </row>
    <row r="165" spans="1:17" ht="16.5">
      <c r="A165" s="2064">
        <f t="shared" si="3"/>
        <v>154</v>
      </c>
      <c r="B165" s="2074" t="s">
        <v>5372</v>
      </c>
      <c r="C165" s="2066" t="s">
        <v>5373</v>
      </c>
      <c r="D165" s="2067">
        <f>'表30-3-3'!H49</f>
        <v>0</v>
      </c>
      <c r="E165" s="2072"/>
      <c r="F165" s="2067">
        <f>'表30-3-3'!N49</f>
        <v>0</v>
      </c>
      <c r="G165" s="13"/>
      <c r="Q165" s="771"/>
    </row>
    <row r="166" spans="1:17" ht="16.5">
      <c r="A166" s="2064">
        <f t="shared" si="3"/>
        <v>155</v>
      </c>
      <c r="B166" s="2073" t="s">
        <v>5374</v>
      </c>
      <c r="C166" s="2070"/>
      <c r="D166" s="2071">
        <f>D167+D168+D169</f>
        <v>0</v>
      </c>
      <c r="E166" s="2072"/>
      <c r="F166" s="2071">
        <f>F167+F168+F169</f>
        <v>0</v>
      </c>
    </row>
    <row r="167" spans="1:17" ht="33">
      <c r="A167" s="2086">
        <f t="shared" si="3"/>
        <v>156</v>
      </c>
      <c r="B167" s="2074" t="s">
        <v>5375</v>
      </c>
      <c r="C167" s="2066" t="s">
        <v>5376</v>
      </c>
      <c r="D167" s="2067">
        <f>SUM('表05-1'!G165)-'表05-1'!G167-'表13-4'!M20</f>
        <v>0</v>
      </c>
      <c r="E167" s="2068">
        <v>0.3</v>
      </c>
      <c r="F167" s="2067">
        <f>ROUND(D167*E167,0)</f>
        <v>0</v>
      </c>
    </row>
    <row r="168" spans="1:17" ht="16.5">
      <c r="A168" s="2086">
        <f t="shared" si="3"/>
        <v>157</v>
      </c>
      <c r="B168" s="2074" t="s">
        <v>5377</v>
      </c>
      <c r="C168" s="2078" t="s">
        <v>5378</v>
      </c>
      <c r="D168" s="2067">
        <f>'表13-4'!M20</f>
        <v>0</v>
      </c>
      <c r="E168" s="2068">
        <v>0.1</v>
      </c>
      <c r="F168" s="2067">
        <f>ROUND(D168*E168,0)</f>
        <v>0</v>
      </c>
    </row>
    <row r="169" spans="1:17" ht="33">
      <c r="A169" s="2086">
        <f>A168+1</f>
        <v>158</v>
      </c>
      <c r="B169" s="2074" t="s">
        <v>6092</v>
      </c>
      <c r="C169" s="2560"/>
      <c r="D169" s="2561">
        <f>SUM(D170:D171)</f>
        <v>0</v>
      </c>
      <c r="E169" s="2557"/>
      <c r="F169" s="2343">
        <f>SUM(F170:F171)</f>
        <v>0</v>
      </c>
    </row>
    <row r="170" spans="1:17" ht="33">
      <c r="A170" s="2086" t="s">
        <v>5699</v>
      </c>
      <c r="B170" s="2077" t="s">
        <v>6093</v>
      </c>
      <c r="C170" s="2078" t="s">
        <v>6094</v>
      </c>
      <c r="D170" s="2561">
        <f>'表30-14-1'!L28</f>
        <v>0</v>
      </c>
      <c r="E170" s="2083">
        <v>0.1018</v>
      </c>
      <c r="F170" s="2343">
        <f>ROUND(D170*E170,0)</f>
        <v>0</v>
      </c>
    </row>
    <row r="171" spans="1:17" ht="33">
      <c r="A171" s="2086" t="s">
        <v>5700</v>
      </c>
      <c r="B171" s="2077" t="s">
        <v>6095</v>
      </c>
      <c r="C171" s="2078" t="s">
        <v>6096</v>
      </c>
      <c r="D171" s="2561">
        <f>'表30-14-1'!L29</f>
        <v>0</v>
      </c>
      <c r="E171" s="2083">
        <v>0.17249999999999999</v>
      </c>
      <c r="F171" s="2343">
        <f>ROUND(D171*E171,0)</f>
        <v>0</v>
      </c>
    </row>
    <row r="172" spans="1:17" ht="49.5">
      <c r="A172" s="2086">
        <f>A169+1</f>
        <v>159</v>
      </c>
      <c r="B172" s="2065" t="s">
        <v>5379</v>
      </c>
      <c r="C172" s="2066" t="s">
        <v>5380</v>
      </c>
      <c r="D172" s="2067">
        <f>MAX(SUM(D88,D89,D96,D101,D110,D113,D116:D121,D124)+SUM(D131,D132,D139,D144,D152,D155,D158:D163,D166)-'表16-2-1'!G11-'表16-2-1'!J11,0)</f>
        <v>0</v>
      </c>
      <c r="E172" s="2068">
        <v>6.6100000000000006E-2</v>
      </c>
      <c r="F172" s="2067">
        <f>ROUND(D172*E172,0)</f>
        <v>0</v>
      </c>
    </row>
    <row r="173" spans="1:17" ht="16.5">
      <c r="A173" s="2086">
        <f t="shared" si="3"/>
        <v>160</v>
      </c>
      <c r="B173" s="2065" t="s">
        <v>5381</v>
      </c>
      <c r="C173" s="2066" t="s">
        <v>5382</v>
      </c>
      <c r="D173" s="2067">
        <f>'表30-16'!J16</f>
        <v>0</v>
      </c>
      <c r="E173" s="2072"/>
      <c r="F173" s="2071"/>
    </row>
    <row r="174" spans="1:17" ht="16.5">
      <c r="A174" s="2086">
        <f t="shared" si="3"/>
        <v>161</v>
      </c>
      <c r="B174" s="2065" t="s">
        <v>5383</v>
      </c>
      <c r="C174" s="2066"/>
      <c r="D174" s="2067">
        <f ca="1">SUM(F90:F91,F96,F117:F120,F101,F92,F113,F110,F133:F134,F139,F159:F162,F144,F135,F155,F152,F93,F136,F172)</f>
        <v>0</v>
      </c>
      <c r="E174" s="2068">
        <f>'表30-10'!E12</f>
        <v>1</v>
      </c>
      <c r="F174" s="2067">
        <f ca="1">ROUND(D174*E174,0)</f>
        <v>0</v>
      </c>
      <c r="G174" s="2089"/>
    </row>
    <row r="175" spans="1:17" ht="16.5">
      <c r="A175" s="2086">
        <f t="shared" si="3"/>
        <v>162</v>
      </c>
      <c r="B175" s="2085" t="s">
        <v>5384</v>
      </c>
      <c r="C175" s="2070"/>
      <c r="D175" s="2071">
        <f>SUM(D176,D177)</f>
        <v>0</v>
      </c>
      <c r="E175" s="2085"/>
      <c r="F175" s="2090">
        <f>SUM(F176,F177)</f>
        <v>0</v>
      </c>
    </row>
    <row r="176" spans="1:17" s="73" customFormat="1" ht="16.5">
      <c r="A176" s="2086">
        <f t="shared" si="3"/>
        <v>163</v>
      </c>
      <c r="B176" s="2065" t="s">
        <v>5385</v>
      </c>
      <c r="C176" s="2066" t="s">
        <v>5386</v>
      </c>
      <c r="D176" s="2091"/>
      <c r="E176" s="2068">
        <v>0.01</v>
      </c>
      <c r="F176" s="2067">
        <f>ROUND(D176*E176,0)</f>
        <v>0</v>
      </c>
      <c r="G176" s="2092"/>
      <c r="P176" s="771"/>
    </row>
    <row r="177" spans="1:16" s="73" customFormat="1" ht="16.5">
      <c r="A177" s="2086">
        <f t="shared" si="3"/>
        <v>164</v>
      </c>
      <c r="B177" s="2069" t="s">
        <v>5387</v>
      </c>
      <c r="C177" s="2070"/>
      <c r="D177" s="2071"/>
      <c r="E177" s="2093" t="s">
        <v>2529</v>
      </c>
      <c r="F177" s="2091"/>
      <c r="G177" s="2092"/>
      <c r="P177" s="771"/>
    </row>
    <row r="178" spans="1:16" s="73" customFormat="1" ht="16.5">
      <c r="A178" s="2086">
        <f t="shared" si="3"/>
        <v>165</v>
      </c>
      <c r="B178" s="2084" t="s">
        <v>5388</v>
      </c>
      <c r="C178" s="2082" t="s">
        <v>5389</v>
      </c>
      <c r="D178" s="2067">
        <f>SUM('表16-2-1'!G39,'表16-2-1'!J39)</f>
        <v>0</v>
      </c>
      <c r="E178" s="2072"/>
      <c r="F178" s="2091"/>
      <c r="G178" s="2092"/>
      <c r="P178" s="771"/>
    </row>
    <row r="179" spans="1:16" s="73" customFormat="1" ht="50.25" thickBot="1">
      <c r="A179" s="2086">
        <f t="shared" si="3"/>
        <v>166</v>
      </c>
      <c r="B179" s="2094" t="s">
        <v>5390</v>
      </c>
      <c r="C179" s="2095" t="s">
        <v>5391</v>
      </c>
      <c r="D179" s="2096">
        <f>SUM('表16-2-2'!D21,'表16-2-2'!G21,'表16-2-2'!J21,'表16-2-3'!D18,'表16-2-3'!G18,'表16-2-3'!J18)</f>
        <v>0</v>
      </c>
      <c r="E179" s="2097"/>
      <c r="F179" s="2098"/>
      <c r="G179" s="2092"/>
      <c r="P179" s="771"/>
    </row>
    <row r="180" spans="1:16" s="73" customFormat="1" ht="17.25" thickTop="1">
      <c r="A180" s="2099">
        <f t="shared" si="3"/>
        <v>167</v>
      </c>
      <c r="B180" s="2100" t="s">
        <v>5392</v>
      </c>
      <c r="C180" s="2101"/>
      <c r="D180" s="2102">
        <f>SUM(D5,D86,D175)</f>
        <v>0</v>
      </c>
      <c r="E180" s="2103"/>
      <c r="F180" s="2102">
        <f ca="1">SUM(F85,F6,F9,F69,F88,F116,F121,F124,F131,F158,F163,F166,F174,F175)</f>
        <v>0</v>
      </c>
      <c r="G180" s="2092"/>
      <c r="P180" s="771"/>
    </row>
    <row r="181" spans="1:16" s="73" customFormat="1" ht="16.5">
      <c r="A181" s="413" t="s">
        <v>5393</v>
      </c>
      <c r="B181" s="810"/>
      <c r="C181" s="2104"/>
      <c r="D181" s="771"/>
      <c r="E181" s="2104"/>
      <c r="F181" s="2092"/>
      <c r="G181" s="2092"/>
      <c r="P181" s="771"/>
    </row>
    <row r="182" spans="1:16" s="73" customFormat="1" ht="16.5">
      <c r="A182" s="413">
        <v>1</v>
      </c>
      <c r="B182" s="810" t="s">
        <v>5394</v>
      </c>
      <c r="C182" s="2104"/>
      <c r="D182" s="771"/>
      <c r="E182" s="2104"/>
      <c r="F182" s="2092"/>
      <c r="G182" s="2092"/>
      <c r="P182" s="771"/>
    </row>
    <row r="183" spans="1:16" s="73" customFormat="1" ht="16.5">
      <c r="A183" s="413">
        <v>2</v>
      </c>
      <c r="B183" s="814" t="s">
        <v>1386</v>
      </c>
      <c r="C183" s="2104"/>
      <c r="D183" s="771"/>
      <c r="E183" s="2104"/>
      <c r="F183" s="2092"/>
      <c r="G183" s="2092"/>
      <c r="P183" s="771"/>
    </row>
    <row r="184" spans="1:16" s="73" customFormat="1" ht="16.5">
      <c r="A184" s="413">
        <v>3</v>
      </c>
      <c r="B184" s="810" t="s">
        <v>5395</v>
      </c>
      <c r="C184" s="2104"/>
      <c r="D184" s="771"/>
      <c r="E184" s="2104"/>
      <c r="F184" s="2092"/>
      <c r="G184" s="2092"/>
      <c r="P184" s="771"/>
    </row>
    <row r="185" spans="1:16" s="73" customFormat="1" ht="16.5">
      <c r="A185" s="413"/>
      <c r="B185" s="810" t="s">
        <v>5396</v>
      </c>
      <c r="C185" s="2104"/>
      <c r="D185" s="771"/>
      <c r="E185" s="2104"/>
      <c r="F185" s="2092"/>
      <c r="G185" s="2092"/>
      <c r="P185" s="771"/>
    </row>
    <row r="186" spans="1:16" s="2105" customFormat="1" ht="16.5">
      <c r="A186" s="413"/>
      <c r="B186" s="814" t="s">
        <v>4879</v>
      </c>
      <c r="C186" s="514"/>
      <c r="D186" s="771"/>
      <c r="E186" s="514"/>
      <c r="F186" s="2092"/>
      <c r="G186" s="771"/>
      <c r="P186" s="771"/>
    </row>
    <row r="187" spans="1:16" s="2105" customFormat="1" ht="16.5">
      <c r="A187" s="2106">
        <v>4</v>
      </c>
      <c r="B187" s="814" t="s">
        <v>4880</v>
      </c>
      <c r="C187" s="514"/>
      <c r="D187" s="771"/>
      <c r="E187" s="514"/>
      <c r="F187" s="2092"/>
      <c r="G187" s="771"/>
      <c r="P187" s="771"/>
    </row>
    <row r="188" spans="1:16" s="2105" customFormat="1" ht="16.5">
      <c r="A188" s="2106">
        <v>5</v>
      </c>
      <c r="B188" s="810" t="s">
        <v>5397</v>
      </c>
      <c r="C188" s="514"/>
      <c r="D188" s="771"/>
      <c r="E188" s="514"/>
      <c r="F188" s="2092"/>
      <c r="G188" s="771"/>
      <c r="P188" s="771"/>
    </row>
    <row r="189" spans="1:16" s="2105" customFormat="1" ht="16.5">
      <c r="A189" s="2106">
        <v>6</v>
      </c>
      <c r="B189" s="2107" t="s">
        <v>1387</v>
      </c>
      <c r="C189" s="2108"/>
      <c r="D189" s="771"/>
      <c r="E189" s="2109"/>
      <c r="F189" s="771"/>
      <c r="G189" s="771"/>
      <c r="P189" s="771"/>
    </row>
    <row r="190" spans="1:16" s="2105" customFormat="1" ht="16.5">
      <c r="A190" s="2106">
        <v>7</v>
      </c>
      <c r="B190" s="2110" t="s">
        <v>5398</v>
      </c>
      <c r="C190" s="2108"/>
      <c r="D190" s="771"/>
      <c r="E190" s="2111"/>
      <c r="F190" s="771"/>
      <c r="G190" s="771"/>
      <c r="P190" s="771"/>
    </row>
    <row r="191" spans="1:16">
      <c r="B191" s="2113"/>
    </row>
    <row r="192" spans="1:16">
      <c r="B192" s="2113"/>
    </row>
    <row r="193" spans="2:13">
      <c r="B193" s="2105"/>
    </row>
    <row r="205" spans="2:13">
      <c r="K205" s="37"/>
      <c r="L205" s="37"/>
      <c r="M205" s="772"/>
    </row>
    <row r="206" spans="2:13">
      <c r="K206" s="37"/>
      <c r="L206" s="37"/>
      <c r="M206" s="772"/>
    </row>
    <row r="207" spans="2:13">
      <c r="K207" s="37"/>
      <c r="L207" s="37"/>
      <c r="M207" s="772"/>
    </row>
    <row r="208" spans="2:13">
      <c r="K208" s="37"/>
      <c r="L208" s="37"/>
    </row>
    <row r="209" spans="11:13">
      <c r="K209" s="37"/>
      <c r="L209" s="37"/>
      <c r="M209" s="772"/>
    </row>
    <row r="210" spans="11:13">
      <c r="K210" s="37"/>
      <c r="L210" s="37"/>
      <c r="M210" s="772"/>
    </row>
    <row r="211" spans="11:13">
      <c r="K211" s="37"/>
      <c r="L211" s="37"/>
      <c r="M211" s="772"/>
    </row>
    <row r="212" spans="11:13">
      <c r="K212" s="37"/>
      <c r="L212" s="37"/>
      <c r="M212" s="772"/>
    </row>
    <row r="213" spans="11:13">
      <c r="K213" s="37"/>
      <c r="L213" s="37"/>
      <c r="M213" s="772"/>
    </row>
    <row r="214" spans="11:13">
      <c r="K214" s="37"/>
      <c r="L214" s="37"/>
      <c r="M214" s="772"/>
    </row>
    <row r="215" spans="11:13">
      <c r="K215" s="37"/>
      <c r="L215" s="37"/>
      <c r="M215" s="772"/>
    </row>
    <row r="216" spans="11:13">
      <c r="K216" s="37"/>
      <c r="L216" s="37"/>
      <c r="M216" s="772"/>
    </row>
    <row r="217" spans="11:13">
      <c r="K217" s="37"/>
      <c r="L217" s="37"/>
      <c r="M217" s="772"/>
    </row>
    <row r="218" spans="11:13">
      <c r="K218" s="37"/>
      <c r="L218" s="37"/>
      <c r="M218" s="772"/>
    </row>
    <row r="219" spans="11:13">
      <c r="K219" s="37"/>
      <c r="L219" s="37"/>
      <c r="M219" s="772"/>
    </row>
    <row r="220" spans="11:13">
      <c r="K220" s="37"/>
      <c r="L220" s="37"/>
      <c r="M220" s="772"/>
    </row>
    <row r="221" spans="11:13">
      <c r="K221" s="37"/>
      <c r="L221" s="37"/>
      <c r="M221" s="772"/>
    </row>
    <row r="222" spans="11:13">
      <c r="K222" s="37"/>
      <c r="L222" s="37"/>
      <c r="M222" s="772"/>
    </row>
    <row r="223" spans="11:13">
      <c r="K223" s="37"/>
      <c r="L223" s="37"/>
      <c r="M223" s="772"/>
    </row>
    <row r="224" spans="11:13">
      <c r="K224" s="37"/>
      <c r="L224" s="37"/>
      <c r="M224" s="772"/>
    </row>
    <row r="225" spans="8:16">
      <c r="H225" s="2092"/>
      <c r="I225" s="2092"/>
      <c r="J225" s="2092"/>
      <c r="K225" s="2092"/>
      <c r="L225" s="2092"/>
      <c r="M225" s="2092"/>
      <c r="N225" s="2092"/>
      <c r="O225" s="2092"/>
      <c r="P225" s="2092"/>
    </row>
    <row r="226" spans="8:16">
      <c r="H226" s="2092"/>
      <c r="I226" s="2092"/>
      <c r="J226" s="2092"/>
      <c r="K226" s="2092"/>
      <c r="L226" s="2092"/>
      <c r="M226" s="2092"/>
      <c r="N226" s="2092"/>
      <c r="O226" s="2092"/>
      <c r="P226" s="2092"/>
    </row>
    <row r="227" spans="8:16">
      <c r="H227" s="2092"/>
      <c r="I227" s="2092"/>
      <c r="J227" s="2092"/>
      <c r="K227" s="2092"/>
      <c r="L227" s="2092"/>
      <c r="M227" s="2092"/>
      <c r="N227" s="2092"/>
      <c r="O227" s="2092"/>
      <c r="P227" s="2092"/>
    </row>
    <row r="228" spans="8:16">
      <c r="H228" s="2092"/>
      <c r="I228" s="2092"/>
      <c r="J228" s="2092"/>
      <c r="K228" s="2092"/>
      <c r="L228" s="2092"/>
      <c r="M228" s="2092"/>
      <c r="N228" s="2092"/>
      <c r="O228" s="2092"/>
      <c r="P228" s="2092"/>
    </row>
  </sheetData>
  <mergeCells count="3">
    <mergeCell ref="A3:A4"/>
    <mergeCell ref="B3:B4"/>
    <mergeCell ref="C3:C4"/>
  </mergeCells>
  <phoneticPr fontId="30"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tabColor rgb="FFFFFF00"/>
    <pageSetUpPr fitToPage="1"/>
  </sheetPr>
  <dimension ref="A1:G131"/>
  <sheetViews>
    <sheetView topLeftCell="A109" zoomScaleNormal="100" workbookViewId="0">
      <selection activeCell="A130" sqref="A130"/>
    </sheetView>
  </sheetViews>
  <sheetFormatPr defaultColWidth="15.625" defaultRowHeight="15.75"/>
  <cols>
    <col min="1" max="1" width="5.625" style="1896" customWidth="1"/>
    <col min="2" max="2" width="51.5" style="1851" customWidth="1"/>
    <col min="3" max="4" width="20.625" style="1851" customWidth="1"/>
    <col min="5" max="5" width="15.625" style="1851" customWidth="1"/>
    <col min="6" max="6" width="20.625" style="1851" customWidth="1"/>
    <col min="7" max="16384" width="15.625" style="1851"/>
  </cols>
  <sheetData>
    <row r="1" spans="1:6" ht="16.5">
      <c r="A1" s="2186" t="str">
        <f>+封面!A3&amp;" "&amp;封面!A2</f>
        <v xml:space="preserve"> 中央再保險股份有限公司 年度檢查報表</v>
      </c>
    </row>
    <row r="2" spans="1:6" ht="17.25" thickBot="1">
      <c r="A2" s="1852" t="s">
        <v>4881</v>
      </c>
      <c r="F2" s="1853" t="s">
        <v>4882</v>
      </c>
    </row>
    <row r="3" spans="1:6" ht="16.5">
      <c r="A3" s="3232" t="s">
        <v>4816</v>
      </c>
      <c r="B3" s="3224" t="s">
        <v>4883</v>
      </c>
      <c r="C3" s="1854" t="s">
        <v>4884</v>
      </c>
      <c r="D3" s="3224" t="s">
        <v>1382</v>
      </c>
      <c r="E3" s="3224" t="s">
        <v>4885</v>
      </c>
      <c r="F3" s="3217" t="s">
        <v>4886</v>
      </c>
    </row>
    <row r="4" spans="1:6" ht="16.5">
      <c r="A4" s="3233"/>
      <c r="B4" s="3225"/>
      <c r="C4" s="1855" t="s">
        <v>4887</v>
      </c>
      <c r="D4" s="3225"/>
      <c r="E4" s="3225"/>
      <c r="F4" s="3218"/>
    </row>
    <row r="5" spans="1:6" ht="16.5" thickBot="1">
      <c r="A5" s="3234"/>
      <c r="B5" s="1856" t="s">
        <v>66</v>
      </c>
      <c r="C5" s="1856" t="s">
        <v>67</v>
      </c>
      <c r="D5" s="1856" t="s">
        <v>68</v>
      </c>
      <c r="E5" s="1857" t="s">
        <v>69</v>
      </c>
      <c r="F5" s="1858" t="s">
        <v>70</v>
      </c>
    </row>
    <row r="6" spans="1:6">
      <c r="A6" s="1859" t="s">
        <v>553</v>
      </c>
      <c r="B6" s="3231" t="s">
        <v>4888</v>
      </c>
      <c r="C6" s="1860" t="s">
        <v>0</v>
      </c>
      <c r="D6" s="1861"/>
      <c r="E6" s="1862">
        <v>0</v>
      </c>
      <c r="F6" s="1863">
        <f t="shared" ref="F6:F23" si="0">ROUND(D6*E6,0)</f>
        <v>0</v>
      </c>
    </row>
    <row r="7" spans="1:6">
      <c r="A7" s="1864" t="s">
        <v>76</v>
      </c>
      <c r="B7" s="3228"/>
      <c r="C7" s="1865" t="s">
        <v>1</v>
      </c>
      <c r="D7" s="1866"/>
      <c r="E7" s="1867">
        <v>0</v>
      </c>
      <c r="F7" s="1868">
        <f t="shared" si="0"/>
        <v>0</v>
      </c>
    </row>
    <row r="8" spans="1:6">
      <c r="A8" s="1864" t="s">
        <v>77</v>
      </c>
      <c r="B8" s="3228"/>
      <c r="C8" s="1865" t="s">
        <v>2</v>
      </c>
      <c r="D8" s="1866"/>
      <c r="E8" s="1867">
        <v>3.0999999999999999E-3</v>
      </c>
      <c r="F8" s="1868">
        <f t="shared" si="0"/>
        <v>0</v>
      </c>
    </row>
    <row r="9" spans="1:6">
      <c r="A9" s="1864" t="s">
        <v>78</v>
      </c>
      <c r="B9" s="3228"/>
      <c r="C9" s="1865" t="s">
        <v>3</v>
      </c>
      <c r="D9" s="1866"/>
      <c r="E9" s="1867">
        <v>6.1999999999999998E-3</v>
      </c>
      <c r="F9" s="1868">
        <f t="shared" si="0"/>
        <v>0</v>
      </c>
    </row>
    <row r="10" spans="1:6">
      <c r="A10" s="1864" t="s">
        <v>79</v>
      </c>
      <c r="B10" s="3228"/>
      <c r="C10" s="1865" t="s">
        <v>4</v>
      </c>
      <c r="D10" s="1866"/>
      <c r="E10" s="1867">
        <v>7.4000000000000003E-3</v>
      </c>
      <c r="F10" s="1868">
        <f t="shared" si="0"/>
        <v>0</v>
      </c>
    </row>
    <row r="11" spans="1:6">
      <c r="A11" s="1864" t="s">
        <v>80</v>
      </c>
      <c r="B11" s="3228"/>
      <c r="C11" s="1865" t="s">
        <v>5</v>
      </c>
      <c r="D11" s="1866"/>
      <c r="E11" s="1867">
        <v>8.6E-3</v>
      </c>
      <c r="F11" s="1868">
        <f t="shared" si="0"/>
        <v>0</v>
      </c>
    </row>
    <row r="12" spans="1:6">
      <c r="A12" s="1864" t="s">
        <v>81</v>
      </c>
      <c r="B12" s="3228"/>
      <c r="C12" s="1865" t="s">
        <v>6</v>
      </c>
      <c r="D12" s="1866"/>
      <c r="E12" s="1867">
        <v>9.7999999999999997E-3</v>
      </c>
      <c r="F12" s="1868">
        <f t="shared" si="0"/>
        <v>0</v>
      </c>
    </row>
    <row r="13" spans="1:6">
      <c r="A13" s="1864" t="s">
        <v>82</v>
      </c>
      <c r="B13" s="3228"/>
      <c r="C13" s="1865" t="s">
        <v>7</v>
      </c>
      <c r="D13" s="1866"/>
      <c r="E13" s="1867">
        <v>1.7999999999999999E-2</v>
      </c>
      <c r="F13" s="1868">
        <f t="shared" si="0"/>
        <v>0</v>
      </c>
    </row>
    <row r="14" spans="1:6">
      <c r="A14" s="1864" t="s">
        <v>83</v>
      </c>
      <c r="B14" s="3228"/>
      <c r="C14" s="1865" t="s">
        <v>8</v>
      </c>
      <c r="D14" s="1866"/>
      <c r="E14" s="1867">
        <v>2.63E-2</v>
      </c>
      <c r="F14" s="1868">
        <f t="shared" si="0"/>
        <v>0</v>
      </c>
    </row>
    <row r="15" spans="1:6">
      <c r="A15" s="1864" t="s">
        <v>84</v>
      </c>
      <c r="B15" s="3228"/>
      <c r="C15" s="1865" t="s">
        <v>9</v>
      </c>
      <c r="D15" s="1866"/>
      <c r="E15" s="1867">
        <v>3.4500000000000003E-2</v>
      </c>
      <c r="F15" s="1868">
        <f t="shared" si="0"/>
        <v>0</v>
      </c>
    </row>
    <row r="16" spans="1:6">
      <c r="A16" s="1864" t="s">
        <v>10</v>
      </c>
      <c r="B16" s="3228"/>
      <c r="C16" s="1865" t="s">
        <v>11</v>
      </c>
      <c r="D16" s="1866"/>
      <c r="E16" s="1867">
        <v>4.8000000000000001E-2</v>
      </c>
      <c r="F16" s="1868">
        <f t="shared" si="0"/>
        <v>0</v>
      </c>
    </row>
    <row r="17" spans="1:6">
      <c r="A17" s="1864" t="s">
        <v>12</v>
      </c>
      <c r="B17" s="3228"/>
      <c r="C17" s="1865" t="s">
        <v>13</v>
      </c>
      <c r="D17" s="1866"/>
      <c r="E17" s="1867">
        <v>6.1499999999999999E-2</v>
      </c>
      <c r="F17" s="1868">
        <f t="shared" si="0"/>
        <v>0</v>
      </c>
    </row>
    <row r="18" spans="1:6">
      <c r="A18" s="1864" t="s">
        <v>14</v>
      </c>
      <c r="B18" s="3228"/>
      <c r="C18" s="1865" t="s">
        <v>15</v>
      </c>
      <c r="D18" s="1866"/>
      <c r="E18" s="1867">
        <v>7.4999999999999997E-2</v>
      </c>
      <c r="F18" s="1868">
        <f t="shared" si="0"/>
        <v>0</v>
      </c>
    </row>
    <row r="19" spans="1:6">
      <c r="A19" s="1864" t="s">
        <v>16</v>
      </c>
      <c r="B19" s="3228"/>
      <c r="C19" s="1865" t="s">
        <v>17</v>
      </c>
      <c r="D19" s="1866"/>
      <c r="E19" s="1867">
        <v>0.1075</v>
      </c>
      <c r="F19" s="1868">
        <f t="shared" si="0"/>
        <v>0</v>
      </c>
    </row>
    <row r="20" spans="1:6">
      <c r="A20" s="1864" t="s">
        <v>18</v>
      </c>
      <c r="B20" s="3228"/>
      <c r="C20" s="1865" t="s">
        <v>19</v>
      </c>
      <c r="D20" s="1866"/>
      <c r="E20" s="1867">
        <v>0.14000000000000001</v>
      </c>
      <c r="F20" s="1868">
        <f t="shared" si="0"/>
        <v>0</v>
      </c>
    </row>
    <row r="21" spans="1:6">
      <c r="A21" s="1864" t="s">
        <v>20</v>
      </c>
      <c r="B21" s="3228"/>
      <c r="C21" s="1865" t="s">
        <v>21</v>
      </c>
      <c r="D21" s="1866"/>
      <c r="E21" s="1867">
        <v>0.17249999999999999</v>
      </c>
      <c r="F21" s="1868">
        <f t="shared" si="0"/>
        <v>0</v>
      </c>
    </row>
    <row r="22" spans="1:6">
      <c r="A22" s="1864" t="s">
        <v>22</v>
      </c>
      <c r="B22" s="3228"/>
      <c r="C22" s="1865" t="s">
        <v>548</v>
      </c>
      <c r="D22" s="1866"/>
      <c r="E22" s="1867">
        <v>0.2112</v>
      </c>
      <c r="F22" s="1868">
        <f t="shared" si="0"/>
        <v>0</v>
      </c>
    </row>
    <row r="23" spans="1:6">
      <c r="A23" s="1864" t="s">
        <v>23</v>
      </c>
      <c r="B23" s="3229"/>
      <c r="C23" s="1869" t="s">
        <v>549</v>
      </c>
      <c r="D23" s="1870"/>
      <c r="E23" s="1871">
        <v>0.2165</v>
      </c>
      <c r="F23" s="1872">
        <f t="shared" si="0"/>
        <v>0</v>
      </c>
    </row>
    <row r="24" spans="1:6">
      <c r="A24" s="1873" t="s">
        <v>24</v>
      </c>
      <c r="B24" s="3223" t="s">
        <v>4889</v>
      </c>
      <c r="C24" s="3223"/>
      <c r="D24" s="1874">
        <f>SUM(D6:D23)</f>
        <v>0</v>
      </c>
      <c r="E24" s="1875"/>
      <c r="F24" s="1876">
        <f>SUM(F6:F23)</f>
        <v>0</v>
      </c>
    </row>
    <row r="25" spans="1:6">
      <c r="A25" s="1864" t="s">
        <v>25</v>
      </c>
      <c r="B25" s="3231" t="s">
        <v>4890</v>
      </c>
      <c r="C25" s="1860" t="s">
        <v>0</v>
      </c>
      <c r="D25" s="1877"/>
      <c r="E25" s="1878">
        <v>0</v>
      </c>
      <c r="F25" s="1863">
        <f t="shared" ref="F25:F42" si="1">ROUND(D25*E25,0)</f>
        <v>0</v>
      </c>
    </row>
    <row r="26" spans="1:6">
      <c r="A26" s="1864" t="s">
        <v>26</v>
      </c>
      <c r="B26" s="3228"/>
      <c r="C26" s="1865" t="s">
        <v>1</v>
      </c>
      <c r="D26" s="1866"/>
      <c r="E26" s="1867">
        <v>0</v>
      </c>
      <c r="F26" s="1868">
        <f t="shared" si="1"/>
        <v>0</v>
      </c>
    </row>
    <row r="27" spans="1:6">
      <c r="A27" s="1864" t="s">
        <v>27</v>
      </c>
      <c r="B27" s="3228"/>
      <c r="C27" s="1865" t="s">
        <v>2</v>
      </c>
      <c r="D27" s="1866"/>
      <c r="E27" s="1867">
        <v>3.0999999999999999E-3</v>
      </c>
      <c r="F27" s="1868">
        <f t="shared" si="1"/>
        <v>0</v>
      </c>
    </row>
    <row r="28" spans="1:6">
      <c r="A28" s="1864" t="s">
        <v>28</v>
      </c>
      <c r="B28" s="3228"/>
      <c r="C28" s="1865" t="s">
        <v>3</v>
      </c>
      <c r="D28" s="1866"/>
      <c r="E28" s="1867">
        <v>6.1999999999999998E-3</v>
      </c>
      <c r="F28" s="1868">
        <f t="shared" si="1"/>
        <v>0</v>
      </c>
    </row>
    <row r="29" spans="1:6">
      <c r="A29" s="1864" t="s">
        <v>29</v>
      </c>
      <c r="B29" s="3228"/>
      <c r="C29" s="1865" t="s">
        <v>4</v>
      </c>
      <c r="D29" s="1866"/>
      <c r="E29" s="1867">
        <v>7.4000000000000003E-3</v>
      </c>
      <c r="F29" s="1868">
        <f t="shared" si="1"/>
        <v>0</v>
      </c>
    </row>
    <row r="30" spans="1:6">
      <c r="A30" s="1864" t="s">
        <v>30</v>
      </c>
      <c r="B30" s="3228"/>
      <c r="C30" s="1865" t="s">
        <v>5</v>
      </c>
      <c r="D30" s="1866"/>
      <c r="E30" s="1867">
        <v>8.6E-3</v>
      </c>
      <c r="F30" s="1868">
        <f t="shared" si="1"/>
        <v>0</v>
      </c>
    </row>
    <row r="31" spans="1:6">
      <c r="A31" s="1864" t="s">
        <v>31</v>
      </c>
      <c r="B31" s="3228"/>
      <c r="C31" s="1865" t="s">
        <v>6</v>
      </c>
      <c r="D31" s="1866"/>
      <c r="E31" s="1867">
        <v>9.7999999999999997E-3</v>
      </c>
      <c r="F31" s="1868">
        <f t="shared" si="1"/>
        <v>0</v>
      </c>
    </row>
    <row r="32" spans="1:6">
      <c r="A32" s="1864" t="s">
        <v>32</v>
      </c>
      <c r="B32" s="3228"/>
      <c r="C32" s="1865" t="s">
        <v>7</v>
      </c>
      <c r="D32" s="1866"/>
      <c r="E32" s="1867">
        <v>1.7999999999999999E-2</v>
      </c>
      <c r="F32" s="1868">
        <f t="shared" si="1"/>
        <v>0</v>
      </c>
    </row>
    <row r="33" spans="1:6">
      <c r="A33" s="1864" t="s">
        <v>33</v>
      </c>
      <c r="B33" s="3228"/>
      <c r="C33" s="1865" t="s">
        <v>8</v>
      </c>
      <c r="D33" s="1866"/>
      <c r="E33" s="1867">
        <v>2.63E-2</v>
      </c>
      <c r="F33" s="1868">
        <f t="shared" si="1"/>
        <v>0</v>
      </c>
    </row>
    <row r="34" spans="1:6">
      <c r="A34" s="1864" t="s">
        <v>34</v>
      </c>
      <c r="B34" s="3228"/>
      <c r="C34" s="1865" t="s">
        <v>9</v>
      </c>
      <c r="D34" s="1866"/>
      <c r="E34" s="1867">
        <v>3.4500000000000003E-2</v>
      </c>
      <c r="F34" s="1868">
        <f t="shared" si="1"/>
        <v>0</v>
      </c>
    </row>
    <row r="35" spans="1:6">
      <c r="A35" s="1864" t="s">
        <v>35</v>
      </c>
      <c r="B35" s="3228"/>
      <c r="C35" s="1865" t="s">
        <v>11</v>
      </c>
      <c r="D35" s="1866"/>
      <c r="E35" s="1867">
        <v>4.8000000000000001E-2</v>
      </c>
      <c r="F35" s="1868">
        <f t="shared" si="1"/>
        <v>0</v>
      </c>
    </row>
    <row r="36" spans="1:6">
      <c r="A36" s="1864" t="s">
        <v>36</v>
      </c>
      <c r="B36" s="3228"/>
      <c r="C36" s="1865" t="s">
        <v>13</v>
      </c>
      <c r="D36" s="1866"/>
      <c r="E36" s="1867">
        <v>6.1499999999999999E-2</v>
      </c>
      <c r="F36" s="1868">
        <f t="shared" si="1"/>
        <v>0</v>
      </c>
    </row>
    <row r="37" spans="1:6">
      <c r="A37" s="1864" t="s">
        <v>37</v>
      </c>
      <c r="B37" s="3228"/>
      <c r="C37" s="1865" t="s">
        <v>15</v>
      </c>
      <c r="D37" s="1866"/>
      <c r="E37" s="1867">
        <v>7.4999999999999997E-2</v>
      </c>
      <c r="F37" s="1868">
        <f t="shared" si="1"/>
        <v>0</v>
      </c>
    </row>
    <row r="38" spans="1:6">
      <c r="A38" s="1864" t="s">
        <v>38</v>
      </c>
      <c r="B38" s="3228"/>
      <c r="C38" s="1865" t="s">
        <v>17</v>
      </c>
      <c r="D38" s="1866"/>
      <c r="E38" s="1867">
        <v>0.1075</v>
      </c>
      <c r="F38" s="1868">
        <f t="shared" si="1"/>
        <v>0</v>
      </c>
    </row>
    <row r="39" spans="1:6">
      <c r="A39" s="1864" t="s">
        <v>39</v>
      </c>
      <c r="B39" s="3228"/>
      <c r="C39" s="1865" t="s">
        <v>19</v>
      </c>
      <c r="D39" s="1866"/>
      <c r="E39" s="1867">
        <v>0.14000000000000001</v>
      </c>
      <c r="F39" s="1868">
        <f t="shared" si="1"/>
        <v>0</v>
      </c>
    </row>
    <row r="40" spans="1:6">
      <c r="A40" s="1864" t="s">
        <v>40</v>
      </c>
      <c r="B40" s="3228"/>
      <c r="C40" s="1865" t="s">
        <v>21</v>
      </c>
      <c r="D40" s="1866"/>
      <c r="E40" s="1867">
        <v>0.17249999999999999</v>
      </c>
      <c r="F40" s="1868">
        <f t="shared" si="1"/>
        <v>0</v>
      </c>
    </row>
    <row r="41" spans="1:6">
      <c r="A41" s="1864" t="s">
        <v>41</v>
      </c>
      <c r="B41" s="3228"/>
      <c r="C41" s="1865" t="s">
        <v>548</v>
      </c>
      <c r="D41" s="1866"/>
      <c r="E41" s="1867">
        <v>0.2112</v>
      </c>
      <c r="F41" s="1868">
        <f t="shared" si="1"/>
        <v>0</v>
      </c>
    </row>
    <row r="42" spans="1:6">
      <c r="A42" s="1864" t="s">
        <v>42</v>
      </c>
      <c r="B42" s="3229"/>
      <c r="C42" s="1869" t="s">
        <v>549</v>
      </c>
      <c r="D42" s="1870"/>
      <c r="E42" s="1871">
        <v>0.2165</v>
      </c>
      <c r="F42" s="1872">
        <f t="shared" si="1"/>
        <v>0</v>
      </c>
    </row>
    <row r="43" spans="1:6">
      <c r="A43" s="1873" t="s">
        <v>43</v>
      </c>
      <c r="B43" s="3223" t="s">
        <v>4891</v>
      </c>
      <c r="C43" s="3223"/>
      <c r="D43" s="1874">
        <f>SUM(D25:D42)</f>
        <v>0</v>
      </c>
      <c r="E43" s="1875"/>
      <c r="F43" s="1876">
        <f>SUM(F25:F42)</f>
        <v>0</v>
      </c>
    </row>
    <row r="44" spans="1:6">
      <c r="A44" s="1873">
        <v>39</v>
      </c>
      <c r="B44" s="3226" t="s">
        <v>4892</v>
      </c>
      <c r="C44" s="3226"/>
      <c r="D44" s="1879"/>
      <c r="E44" s="1880"/>
      <c r="F44" s="1881"/>
    </row>
    <row r="45" spans="1:6">
      <c r="A45" s="1864">
        <v>40</v>
      </c>
      <c r="B45" s="3231" t="s">
        <v>4893</v>
      </c>
      <c r="C45" s="1860" t="s">
        <v>0</v>
      </c>
      <c r="D45" s="1861"/>
      <c r="E45" s="1878">
        <v>0</v>
      </c>
      <c r="F45" s="1863">
        <f t="shared" ref="F45:F62" si="2">ROUND(D45*E45,0)</f>
        <v>0</v>
      </c>
    </row>
    <row r="46" spans="1:6">
      <c r="A46" s="1864">
        <v>41</v>
      </c>
      <c r="B46" s="3228"/>
      <c r="C46" s="1865" t="s">
        <v>1</v>
      </c>
      <c r="D46" s="1866"/>
      <c r="E46" s="1867">
        <v>0</v>
      </c>
      <c r="F46" s="1868">
        <f t="shared" si="2"/>
        <v>0</v>
      </c>
    </row>
    <row r="47" spans="1:6">
      <c r="A47" s="1864">
        <v>42</v>
      </c>
      <c r="B47" s="3228"/>
      <c r="C47" s="1865" t="s">
        <v>2</v>
      </c>
      <c r="D47" s="1866"/>
      <c r="E47" s="1867">
        <v>3.0999999999999999E-3</v>
      </c>
      <c r="F47" s="1868">
        <f t="shared" si="2"/>
        <v>0</v>
      </c>
    </row>
    <row r="48" spans="1:6">
      <c r="A48" s="1864">
        <v>43</v>
      </c>
      <c r="B48" s="3228"/>
      <c r="C48" s="1865" t="s">
        <v>3</v>
      </c>
      <c r="D48" s="1866"/>
      <c r="E48" s="1867">
        <v>6.1999999999999998E-3</v>
      </c>
      <c r="F48" s="1868">
        <f t="shared" si="2"/>
        <v>0</v>
      </c>
    </row>
    <row r="49" spans="1:6">
      <c r="A49" s="1864">
        <v>44</v>
      </c>
      <c r="B49" s="3228"/>
      <c r="C49" s="1865" t="s">
        <v>4</v>
      </c>
      <c r="D49" s="1866"/>
      <c r="E49" s="1867">
        <v>7.4000000000000003E-3</v>
      </c>
      <c r="F49" s="1868">
        <f t="shared" si="2"/>
        <v>0</v>
      </c>
    </row>
    <row r="50" spans="1:6">
      <c r="A50" s="1864">
        <v>45</v>
      </c>
      <c r="B50" s="3228"/>
      <c r="C50" s="1865" t="s">
        <v>5</v>
      </c>
      <c r="D50" s="1866"/>
      <c r="E50" s="1867">
        <v>8.6E-3</v>
      </c>
      <c r="F50" s="1868">
        <f t="shared" si="2"/>
        <v>0</v>
      </c>
    </row>
    <row r="51" spans="1:6">
      <c r="A51" s="1864">
        <v>46</v>
      </c>
      <c r="B51" s="3228"/>
      <c r="C51" s="1865" t="s">
        <v>6</v>
      </c>
      <c r="D51" s="1866"/>
      <c r="E51" s="1867">
        <v>9.7999999999999997E-3</v>
      </c>
      <c r="F51" s="1868">
        <f t="shared" si="2"/>
        <v>0</v>
      </c>
    </row>
    <row r="52" spans="1:6">
      <c r="A52" s="1864">
        <v>47</v>
      </c>
      <c r="B52" s="3228"/>
      <c r="C52" s="1865" t="s">
        <v>7</v>
      </c>
      <c r="D52" s="1866"/>
      <c r="E52" s="1867">
        <v>1.7999999999999999E-2</v>
      </c>
      <c r="F52" s="1868">
        <f t="shared" si="2"/>
        <v>0</v>
      </c>
    </row>
    <row r="53" spans="1:6">
      <c r="A53" s="1864">
        <v>48</v>
      </c>
      <c r="B53" s="3228"/>
      <c r="C53" s="1865" t="s">
        <v>8</v>
      </c>
      <c r="D53" s="1866"/>
      <c r="E53" s="1867">
        <v>2.63E-2</v>
      </c>
      <c r="F53" s="1868">
        <f t="shared" si="2"/>
        <v>0</v>
      </c>
    </row>
    <row r="54" spans="1:6">
      <c r="A54" s="1864">
        <v>49</v>
      </c>
      <c r="B54" s="3228"/>
      <c r="C54" s="1865" t="s">
        <v>9</v>
      </c>
      <c r="D54" s="1866"/>
      <c r="E54" s="1867">
        <v>3.4500000000000003E-2</v>
      </c>
      <c r="F54" s="1868">
        <f t="shared" si="2"/>
        <v>0</v>
      </c>
    </row>
    <row r="55" spans="1:6">
      <c r="A55" s="1864">
        <v>50</v>
      </c>
      <c r="B55" s="3228"/>
      <c r="C55" s="1865" t="s">
        <v>11</v>
      </c>
      <c r="D55" s="1866"/>
      <c r="E55" s="1867">
        <v>4.8000000000000001E-2</v>
      </c>
      <c r="F55" s="1868">
        <f t="shared" si="2"/>
        <v>0</v>
      </c>
    </row>
    <row r="56" spans="1:6">
      <c r="A56" s="1864">
        <v>51</v>
      </c>
      <c r="B56" s="3228"/>
      <c r="C56" s="1865" t="s">
        <v>13</v>
      </c>
      <c r="D56" s="1866"/>
      <c r="E56" s="1867">
        <v>6.1499999999999999E-2</v>
      </c>
      <c r="F56" s="1868">
        <f t="shared" si="2"/>
        <v>0</v>
      </c>
    </row>
    <row r="57" spans="1:6">
      <c r="A57" s="1864">
        <v>52</v>
      </c>
      <c r="B57" s="3228"/>
      <c r="C57" s="1865" t="s">
        <v>15</v>
      </c>
      <c r="D57" s="1866"/>
      <c r="E57" s="1867">
        <v>7.4999999999999997E-2</v>
      </c>
      <c r="F57" s="1868">
        <f t="shared" si="2"/>
        <v>0</v>
      </c>
    </row>
    <row r="58" spans="1:6">
      <c r="A58" s="1864">
        <v>53</v>
      </c>
      <c r="B58" s="3228"/>
      <c r="C58" s="1865" t="s">
        <v>17</v>
      </c>
      <c r="D58" s="1866"/>
      <c r="E58" s="1867">
        <v>0.1075</v>
      </c>
      <c r="F58" s="1868">
        <f t="shared" si="2"/>
        <v>0</v>
      </c>
    </row>
    <row r="59" spans="1:6">
      <c r="A59" s="1864">
        <v>54</v>
      </c>
      <c r="B59" s="3228"/>
      <c r="C59" s="1865" t="s">
        <v>19</v>
      </c>
      <c r="D59" s="1866"/>
      <c r="E59" s="1867">
        <v>0.14000000000000001</v>
      </c>
      <c r="F59" s="1868">
        <f t="shared" si="2"/>
        <v>0</v>
      </c>
    </row>
    <row r="60" spans="1:6">
      <c r="A60" s="1864">
        <v>55</v>
      </c>
      <c r="B60" s="3228"/>
      <c r="C60" s="1865" t="s">
        <v>21</v>
      </c>
      <c r="D60" s="1866"/>
      <c r="E60" s="1867">
        <v>0.17249999999999999</v>
      </c>
      <c r="F60" s="1868">
        <f t="shared" si="2"/>
        <v>0</v>
      </c>
    </row>
    <row r="61" spans="1:6">
      <c r="A61" s="1864">
        <v>56</v>
      </c>
      <c r="B61" s="3228"/>
      <c r="C61" s="1865" t="s">
        <v>548</v>
      </c>
      <c r="D61" s="1866"/>
      <c r="E61" s="1867">
        <v>0.2112</v>
      </c>
      <c r="F61" s="1868">
        <f t="shared" si="2"/>
        <v>0</v>
      </c>
    </row>
    <row r="62" spans="1:6">
      <c r="A62" s="1864">
        <v>57</v>
      </c>
      <c r="B62" s="3229"/>
      <c r="C62" s="1869" t="s">
        <v>549</v>
      </c>
      <c r="D62" s="1870"/>
      <c r="E62" s="1871">
        <v>0.2165</v>
      </c>
      <c r="F62" s="1872">
        <f t="shared" si="2"/>
        <v>0</v>
      </c>
    </row>
    <row r="63" spans="1:6">
      <c r="A63" s="1873">
        <v>58</v>
      </c>
      <c r="B63" s="3223" t="s">
        <v>4894</v>
      </c>
      <c r="C63" s="3223"/>
      <c r="D63" s="1874">
        <f>SUM(D45:D62)</f>
        <v>0</v>
      </c>
      <c r="E63" s="1875"/>
      <c r="F63" s="1876">
        <f>SUM(F45:F62)</f>
        <v>0</v>
      </c>
    </row>
    <row r="64" spans="1:6">
      <c r="A64" s="1864">
        <v>59</v>
      </c>
      <c r="B64" s="3227" t="s">
        <v>4895</v>
      </c>
      <c r="C64" s="1860" t="s">
        <v>0</v>
      </c>
      <c r="D64" s="1861"/>
      <c r="E64" s="1878">
        <v>0</v>
      </c>
      <c r="F64" s="1863">
        <f t="shared" ref="F64:F81" si="3">ROUND(D64*E64,0)</f>
        <v>0</v>
      </c>
    </row>
    <row r="65" spans="1:6">
      <c r="A65" s="1864">
        <v>60</v>
      </c>
      <c r="B65" s="3228"/>
      <c r="C65" s="1865" t="s">
        <v>1</v>
      </c>
      <c r="D65" s="1866"/>
      <c r="E65" s="1867">
        <v>0</v>
      </c>
      <c r="F65" s="1868">
        <f t="shared" si="3"/>
        <v>0</v>
      </c>
    </row>
    <row r="66" spans="1:6">
      <c r="A66" s="1864">
        <v>61</v>
      </c>
      <c r="B66" s="3228"/>
      <c r="C66" s="1865" t="s">
        <v>2</v>
      </c>
      <c r="D66" s="1866"/>
      <c r="E66" s="1867">
        <v>3.0999999999999999E-3</v>
      </c>
      <c r="F66" s="1868">
        <f t="shared" si="3"/>
        <v>0</v>
      </c>
    </row>
    <row r="67" spans="1:6">
      <c r="A67" s="1864">
        <v>62</v>
      </c>
      <c r="B67" s="3228"/>
      <c r="C67" s="1865" t="s">
        <v>3</v>
      </c>
      <c r="D67" s="1866"/>
      <c r="E67" s="1867">
        <v>6.1999999999999998E-3</v>
      </c>
      <c r="F67" s="1868">
        <f t="shared" si="3"/>
        <v>0</v>
      </c>
    </row>
    <row r="68" spans="1:6">
      <c r="A68" s="1864">
        <v>63</v>
      </c>
      <c r="B68" s="3228"/>
      <c r="C68" s="1865" t="s">
        <v>4</v>
      </c>
      <c r="D68" s="1866"/>
      <c r="E68" s="1867">
        <v>7.4000000000000003E-3</v>
      </c>
      <c r="F68" s="1868">
        <f t="shared" si="3"/>
        <v>0</v>
      </c>
    </row>
    <row r="69" spans="1:6">
      <c r="A69" s="1864">
        <v>64</v>
      </c>
      <c r="B69" s="3228"/>
      <c r="C69" s="1865" t="s">
        <v>5</v>
      </c>
      <c r="D69" s="1866"/>
      <c r="E69" s="1867">
        <v>8.6E-3</v>
      </c>
      <c r="F69" s="1868">
        <f t="shared" si="3"/>
        <v>0</v>
      </c>
    </row>
    <row r="70" spans="1:6">
      <c r="A70" s="1864">
        <v>65</v>
      </c>
      <c r="B70" s="3228"/>
      <c r="C70" s="1865" t="s">
        <v>6</v>
      </c>
      <c r="D70" s="1866"/>
      <c r="E70" s="1867">
        <v>9.7999999999999997E-3</v>
      </c>
      <c r="F70" s="1868">
        <f t="shared" si="3"/>
        <v>0</v>
      </c>
    </row>
    <row r="71" spans="1:6">
      <c r="A71" s="1864">
        <v>66</v>
      </c>
      <c r="B71" s="3228"/>
      <c r="C71" s="1865" t="s">
        <v>7</v>
      </c>
      <c r="D71" s="1866"/>
      <c r="E71" s="1867">
        <v>1.7999999999999999E-2</v>
      </c>
      <c r="F71" s="1868">
        <f t="shared" si="3"/>
        <v>0</v>
      </c>
    </row>
    <row r="72" spans="1:6">
      <c r="A72" s="1864">
        <v>67</v>
      </c>
      <c r="B72" s="3228"/>
      <c r="C72" s="1865" t="s">
        <v>8</v>
      </c>
      <c r="D72" s="1866"/>
      <c r="E72" s="1867">
        <v>2.63E-2</v>
      </c>
      <c r="F72" s="1868">
        <f t="shared" si="3"/>
        <v>0</v>
      </c>
    </row>
    <row r="73" spans="1:6">
      <c r="A73" s="1864">
        <v>68</v>
      </c>
      <c r="B73" s="3228"/>
      <c r="C73" s="1865" t="s">
        <v>9</v>
      </c>
      <c r="D73" s="1866"/>
      <c r="E73" s="1867">
        <v>3.4500000000000003E-2</v>
      </c>
      <c r="F73" s="1868">
        <f t="shared" si="3"/>
        <v>0</v>
      </c>
    </row>
    <row r="74" spans="1:6">
      <c r="A74" s="1864">
        <v>69</v>
      </c>
      <c r="B74" s="3228"/>
      <c r="C74" s="1865" t="s">
        <v>11</v>
      </c>
      <c r="D74" s="1866"/>
      <c r="E74" s="1867">
        <v>4.8000000000000001E-2</v>
      </c>
      <c r="F74" s="1868">
        <f t="shared" si="3"/>
        <v>0</v>
      </c>
    </row>
    <row r="75" spans="1:6">
      <c r="A75" s="1864">
        <v>70</v>
      </c>
      <c r="B75" s="3228"/>
      <c r="C75" s="1865" t="s">
        <v>13</v>
      </c>
      <c r="D75" s="1866"/>
      <c r="E75" s="1867">
        <v>6.1499999999999999E-2</v>
      </c>
      <c r="F75" s="1868">
        <f t="shared" si="3"/>
        <v>0</v>
      </c>
    </row>
    <row r="76" spans="1:6">
      <c r="A76" s="1864">
        <v>71</v>
      </c>
      <c r="B76" s="3228"/>
      <c r="C76" s="1865" t="s">
        <v>15</v>
      </c>
      <c r="D76" s="1866"/>
      <c r="E76" s="1867">
        <v>7.4999999999999997E-2</v>
      </c>
      <c r="F76" s="1868">
        <f t="shared" si="3"/>
        <v>0</v>
      </c>
    </row>
    <row r="77" spans="1:6">
      <c r="A77" s="1864">
        <v>72</v>
      </c>
      <c r="B77" s="3228"/>
      <c r="C77" s="1865" t="s">
        <v>17</v>
      </c>
      <c r="D77" s="1866"/>
      <c r="E77" s="1867">
        <v>0.1075</v>
      </c>
      <c r="F77" s="1868">
        <f t="shared" si="3"/>
        <v>0</v>
      </c>
    </row>
    <row r="78" spans="1:6">
      <c r="A78" s="1864">
        <v>73</v>
      </c>
      <c r="B78" s="3228"/>
      <c r="C78" s="1865" t="s">
        <v>19</v>
      </c>
      <c r="D78" s="1866"/>
      <c r="E78" s="1867">
        <v>0.14000000000000001</v>
      </c>
      <c r="F78" s="1868">
        <f t="shared" si="3"/>
        <v>0</v>
      </c>
    </row>
    <row r="79" spans="1:6">
      <c r="A79" s="1864">
        <v>74</v>
      </c>
      <c r="B79" s="3228"/>
      <c r="C79" s="1865" t="s">
        <v>21</v>
      </c>
      <c r="D79" s="1866"/>
      <c r="E79" s="1867">
        <v>0.17249999999999999</v>
      </c>
      <c r="F79" s="1868">
        <f t="shared" si="3"/>
        <v>0</v>
      </c>
    </row>
    <row r="80" spans="1:6">
      <c r="A80" s="1864">
        <v>75</v>
      </c>
      <c r="B80" s="3228"/>
      <c r="C80" s="1865" t="s">
        <v>548</v>
      </c>
      <c r="D80" s="1866"/>
      <c r="E80" s="1867">
        <v>0.2112</v>
      </c>
      <c r="F80" s="1868">
        <f t="shared" si="3"/>
        <v>0</v>
      </c>
    </row>
    <row r="81" spans="1:6">
      <c r="A81" s="1864">
        <v>76</v>
      </c>
      <c r="B81" s="3229"/>
      <c r="C81" s="1869" t="s">
        <v>549</v>
      </c>
      <c r="D81" s="1870"/>
      <c r="E81" s="1871">
        <v>0.2165</v>
      </c>
      <c r="F81" s="1872">
        <f t="shared" si="3"/>
        <v>0</v>
      </c>
    </row>
    <row r="82" spans="1:6">
      <c r="A82" s="1873">
        <v>77</v>
      </c>
      <c r="B82" s="3230" t="s">
        <v>4896</v>
      </c>
      <c r="C82" s="3230"/>
      <c r="D82" s="1882">
        <f>SUM(D64:D81)</f>
        <v>0</v>
      </c>
      <c r="E82" s="1883"/>
      <c r="F82" s="1884">
        <f>SUM(F64:F81)</f>
        <v>0</v>
      </c>
    </row>
    <row r="83" spans="1:6">
      <c r="A83" s="1873">
        <v>78</v>
      </c>
      <c r="B83" s="3223" t="s">
        <v>4897</v>
      </c>
      <c r="C83" s="3223"/>
      <c r="D83" s="1874"/>
      <c r="E83" s="1875"/>
      <c r="F83" s="1876"/>
    </row>
    <row r="84" spans="1:6">
      <c r="A84" s="1873">
        <v>79</v>
      </c>
      <c r="B84" s="3226" t="s">
        <v>4898</v>
      </c>
      <c r="C84" s="3226"/>
      <c r="D84" s="1879"/>
      <c r="E84" s="1880"/>
      <c r="F84" s="1881"/>
    </row>
    <row r="85" spans="1:6">
      <c r="A85" s="1864">
        <v>80</v>
      </c>
      <c r="B85" s="3227" t="s">
        <v>4899</v>
      </c>
      <c r="C85" s="1860" t="s">
        <v>0</v>
      </c>
      <c r="D85" s="1861"/>
      <c r="E85" s="1878">
        <v>3.0999999999999999E-3</v>
      </c>
      <c r="F85" s="1863">
        <f t="shared" ref="F85:F100" si="4">ROUND(D85*E85,0)</f>
        <v>0</v>
      </c>
    </row>
    <row r="86" spans="1:6">
      <c r="A86" s="1864">
        <v>81</v>
      </c>
      <c r="B86" s="3228"/>
      <c r="C86" s="1865" t="s">
        <v>1</v>
      </c>
      <c r="D86" s="1866"/>
      <c r="E86" s="1867">
        <v>6.1999999999999998E-3</v>
      </c>
      <c r="F86" s="1868">
        <f t="shared" si="4"/>
        <v>0</v>
      </c>
    </row>
    <row r="87" spans="1:6">
      <c r="A87" s="1864">
        <v>82</v>
      </c>
      <c r="B87" s="3228"/>
      <c r="C87" s="1865" t="s">
        <v>2</v>
      </c>
      <c r="D87" s="1866"/>
      <c r="E87" s="1867">
        <v>7.4000000000000003E-3</v>
      </c>
      <c r="F87" s="1868">
        <f t="shared" si="4"/>
        <v>0</v>
      </c>
    </row>
    <row r="88" spans="1:6">
      <c r="A88" s="1864">
        <v>83</v>
      </c>
      <c r="B88" s="3228"/>
      <c r="C88" s="1865" t="s">
        <v>3</v>
      </c>
      <c r="D88" s="1866"/>
      <c r="E88" s="1867">
        <v>8.6E-3</v>
      </c>
      <c r="F88" s="1868">
        <f t="shared" si="4"/>
        <v>0</v>
      </c>
    </row>
    <row r="89" spans="1:6">
      <c r="A89" s="1864">
        <v>84</v>
      </c>
      <c r="B89" s="3228"/>
      <c r="C89" s="1865" t="s">
        <v>4</v>
      </c>
      <c r="D89" s="1866"/>
      <c r="E89" s="1867">
        <v>9.7999999999999997E-3</v>
      </c>
      <c r="F89" s="1868">
        <f t="shared" si="4"/>
        <v>0</v>
      </c>
    </row>
    <row r="90" spans="1:6">
      <c r="A90" s="1864">
        <v>85</v>
      </c>
      <c r="B90" s="3228"/>
      <c r="C90" s="1865" t="s">
        <v>5</v>
      </c>
      <c r="D90" s="1866"/>
      <c r="E90" s="1867">
        <v>1.7999999999999999E-2</v>
      </c>
      <c r="F90" s="1868">
        <f t="shared" si="4"/>
        <v>0</v>
      </c>
    </row>
    <row r="91" spans="1:6">
      <c r="A91" s="1864">
        <v>86</v>
      </c>
      <c r="B91" s="3228"/>
      <c r="C91" s="1865" t="s">
        <v>6</v>
      </c>
      <c r="D91" s="1866"/>
      <c r="E91" s="1867">
        <v>2.63E-2</v>
      </c>
      <c r="F91" s="1868">
        <f t="shared" si="4"/>
        <v>0</v>
      </c>
    </row>
    <row r="92" spans="1:6">
      <c r="A92" s="1864">
        <v>87</v>
      </c>
      <c r="B92" s="3228"/>
      <c r="C92" s="1865" t="s">
        <v>7</v>
      </c>
      <c r="D92" s="1866"/>
      <c r="E92" s="1867">
        <v>3.4500000000000003E-2</v>
      </c>
      <c r="F92" s="1868">
        <f t="shared" si="4"/>
        <v>0</v>
      </c>
    </row>
    <row r="93" spans="1:6">
      <c r="A93" s="1864">
        <v>88</v>
      </c>
      <c r="B93" s="3228"/>
      <c r="C93" s="1865" t="s">
        <v>8</v>
      </c>
      <c r="D93" s="1866"/>
      <c r="E93" s="1867">
        <v>4.8000000000000001E-2</v>
      </c>
      <c r="F93" s="1868">
        <f t="shared" si="4"/>
        <v>0</v>
      </c>
    </row>
    <row r="94" spans="1:6">
      <c r="A94" s="1864">
        <v>89</v>
      </c>
      <c r="B94" s="3228"/>
      <c r="C94" s="1865" t="s">
        <v>9</v>
      </c>
      <c r="D94" s="1866"/>
      <c r="E94" s="1867">
        <v>6.1499999999999999E-2</v>
      </c>
      <c r="F94" s="1868">
        <f t="shared" si="4"/>
        <v>0</v>
      </c>
    </row>
    <row r="95" spans="1:6">
      <c r="A95" s="1864">
        <v>90</v>
      </c>
      <c r="B95" s="3228"/>
      <c r="C95" s="1865" t="s">
        <v>11</v>
      </c>
      <c r="D95" s="1866"/>
      <c r="E95" s="1867">
        <v>7.4999999999999997E-2</v>
      </c>
      <c r="F95" s="1868">
        <f t="shared" si="4"/>
        <v>0</v>
      </c>
    </row>
    <row r="96" spans="1:6">
      <c r="A96" s="1864">
        <v>91</v>
      </c>
      <c r="B96" s="3228"/>
      <c r="C96" s="1865" t="s">
        <v>13</v>
      </c>
      <c r="D96" s="1866"/>
      <c r="E96" s="1867">
        <v>0.1075</v>
      </c>
      <c r="F96" s="1868">
        <f t="shared" si="4"/>
        <v>0</v>
      </c>
    </row>
    <row r="97" spans="1:6">
      <c r="A97" s="1864">
        <v>92</v>
      </c>
      <c r="B97" s="3228"/>
      <c r="C97" s="1865" t="s">
        <v>15</v>
      </c>
      <c r="D97" s="1866"/>
      <c r="E97" s="1867">
        <v>0.14000000000000001</v>
      </c>
      <c r="F97" s="1868">
        <f t="shared" si="4"/>
        <v>0</v>
      </c>
    </row>
    <row r="98" spans="1:6">
      <c r="A98" s="1864">
        <v>93</v>
      </c>
      <c r="B98" s="3228"/>
      <c r="C98" s="1865" t="s">
        <v>17</v>
      </c>
      <c r="D98" s="1866"/>
      <c r="E98" s="1867">
        <v>0.17249999999999999</v>
      </c>
      <c r="F98" s="1868">
        <f t="shared" si="4"/>
        <v>0</v>
      </c>
    </row>
    <row r="99" spans="1:6">
      <c r="A99" s="1864">
        <v>94</v>
      </c>
      <c r="B99" s="3228"/>
      <c r="C99" s="1865" t="s">
        <v>19</v>
      </c>
      <c r="D99" s="1866"/>
      <c r="E99" s="1867">
        <v>0.2112</v>
      </c>
      <c r="F99" s="1868">
        <f t="shared" si="4"/>
        <v>0</v>
      </c>
    </row>
    <row r="100" spans="1:6">
      <c r="A100" s="1864">
        <v>95</v>
      </c>
      <c r="B100" s="3229"/>
      <c r="C100" s="1869" t="s">
        <v>21</v>
      </c>
      <c r="D100" s="1870"/>
      <c r="E100" s="1871">
        <v>0.2165</v>
      </c>
      <c r="F100" s="1872">
        <f t="shared" si="4"/>
        <v>0</v>
      </c>
    </row>
    <row r="101" spans="1:6" ht="16.5" customHeight="1">
      <c r="A101" s="1873">
        <v>96</v>
      </c>
      <c r="B101" s="3223" t="s">
        <v>4900</v>
      </c>
      <c r="C101" s="3223"/>
      <c r="D101" s="1874">
        <f>SUM(D85:D100)</f>
        <v>0</v>
      </c>
      <c r="E101" s="1875"/>
      <c r="F101" s="1876">
        <f>SUM(F85:F100)</f>
        <v>0</v>
      </c>
    </row>
    <row r="102" spans="1:6" ht="15.75" customHeight="1">
      <c r="A102" s="1864">
        <v>97</v>
      </c>
      <c r="B102" s="3219" t="s">
        <v>4901</v>
      </c>
      <c r="C102" s="1860" t="s">
        <v>1383</v>
      </c>
      <c r="D102" s="1861"/>
      <c r="E102" s="1878">
        <v>0</v>
      </c>
      <c r="F102" s="1863">
        <f t="shared" ref="F102:F119" si="5">ROUND(D102*E102,0)</f>
        <v>0</v>
      </c>
    </row>
    <row r="103" spans="1:6">
      <c r="A103" s="1864">
        <v>98</v>
      </c>
      <c r="B103" s="3220"/>
      <c r="C103" s="1865" t="s">
        <v>1</v>
      </c>
      <c r="D103" s="1866"/>
      <c r="E103" s="1867">
        <v>0</v>
      </c>
      <c r="F103" s="1868">
        <f t="shared" si="5"/>
        <v>0</v>
      </c>
    </row>
    <row r="104" spans="1:6">
      <c r="A104" s="1864">
        <v>99</v>
      </c>
      <c r="B104" s="3220"/>
      <c r="C104" s="1865" t="s">
        <v>2</v>
      </c>
      <c r="D104" s="1866"/>
      <c r="E104" s="1867">
        <v>3.0999999999999999E-3</v>
      </c>
      <c r="F104" s="1868">
        <f t="shared" si="5"/>
        <v>0</v>
      </c>
    </row>
    <row r="105" spans="1:6">
      <c r="A105" s="1864">
        <v>100</v>
      </c>
      <c r="B105" s="3220"/>
      <c r="C105" s="1865" t="s">
        <v>3</v>
      </c>
      <c r="D105" s="1866"/>
      <c r="E105" s="1867">
        <v>6.1999999999999998E-3</v>
      </c>
      <c r="F105" s="1868">
        <f t="shared" si="5"/>
        <v>0</v>
      </c>
    </row>
    <row r="106" spans="1:6">
      <c r="A106" s="1864">
        <v>101</v>
      </c>
      <c r="B106" s="3220"/>
      <c r="C106" s="1865" t="s">
        <v>4</v>
      </c>
      <c r="D106" s="1866"/>
      <c r="E106" s="1867">
        <v>7.4000000000000003E-3</v>
      </c>
      <c r="F106" s="1868">
        <f t="shared" si="5"/>
        <v>0</v>
      </c>
    </row>
    <row r="107" spans="1:6">
      <c r="A107" s="1864">
        <v>102</v>
      </c>
      <c r="B107" s="3220"/>
      <c r="C107" s="1865" t="s">
        <v>5</v>
      </c>
      <c r="D107" s="1866"/>
      <c r="E107" s="1867">
        <v>8.6E-3</v>
      </c>
      <c r="F107" s="1868">
        <f t="shared" si="5"/>
        <v>0</v>
      </c>
    </row>
    <row r="108" spans="1:6">
      <c r="A108" s="1864">
        <v>103</v>
      </c>
      <c r="B108" s="3220"/>
      <c r="C108" s="1865" t="s">
        <v>6</v>
      </c>
      <c r="D108" s="1866"/>
      <c r="E108" s="1867">
        <v>9.7999999999999997E-3</v>
      </c>
      <c r="F108" s="1868">
        <f t="shared" si="5"/>
        <v>0</v>
      </c>
    </row>
    <row r="109" spans="1:6">
      <c r="A109" s="1864">
        <v>104</v>
      </c>
      <c r="B109" s="3220"/>
      <c r="C109" s="1865" t="s">
        <v>7</v>
      </c>
      <c r="D109" s="1866"/>
      <c r="E109" s="1867">
        <v>1.7999999999999999E-2</v>
      </c>
      <c r="F109" s="1868">
        <f t="shared" si="5"/>
        <v>0</v>
      </c>
    </row>
    <row r="110" spans="1:6">
      <c r="A110" s="1864">
        <v>105</v>
      </c>
      <c r="B110" s="3220"/>
      <c r="C110" s="1865" t="s">
        <v>8</v>
      </c>
      <c r="D110" s="1866"/>
      <c r="E110" s="1867">
        <v>2.63E-2</v>
      </c>
      <c r="F110" s="1868">
        <f t="shared" si="5"/>
        <v>0</v>
      </c>
    </row>
    <row r="111" spans="1:6">
      <c r="A111" s="1864">
        <v>106</v>
      </c>
      <c r="B111" s="3220"/>
      <c r="C111" s="1865" t="s">
        <v>9</v>
      </c>
      <c r="D111" s="1866"/>
      <c r="E111" s="1867">
        <v>3.4500000000000003E-2</v>
      </c>
      <c r="F111" s="1868">
        <f t="shared" si="5"/>
        <v>0</v>
      </c>
    </row>
    <row r="112" spans="1:6">
      <c r="A112" s="1864">
        <v>107</v>
      </c>
      <c r="B112" s="3220"/>
      <c r="C112" s="1865" t="s">
        <v>11</v>
      </c>
      <c r="D112" s="1866"/>
      <c r="E112" s="1867">
        <v>4.8000000000000001E-2</v>
      </c>
      <c r="F112" s="1868">
        <f t="shared" si="5"/>
        <v>0</v>
      </c>
    </row>
    <row r="113" spans="1:6">
      <c r="A113" s="1864">
        <v>108</v>
      </c>
      <c r="B113" s="3220"/>
      <c r="C113" s="1865" t="s">
        <v>13</v>
      </c>
      <c r="D113" s="1866"/>
      <c r="E113" s="1867">
        <v>6.1499999999999999E-2</v>
      </c>
      <c r="F113" s="1868">
        <f t="shared" si="5"/>
        <v>0</v>
      </c>
    </row>
    <row r="114" spans="1:6">
      <c r="A114" s="1864">
        <v>109</v>
      </c>
      <c r="B114" s="3220"/>
      <c r="C114" s="1865" t="s">
        <v>15</v>
      </c>
      <c r="D114" s="1866"/>
      <c r="E114" s="1867">
        <v>7.4999999999999997E-2</v>
      </c>
      <c r="F114" s="1868">
        <f t="shared" si="5"/>
        <v>0</v>
      </c>
    </row>
    <row r="115" spans="1:6">
      <c r="A115" s="1864">
        <v>110</v>
      </c>
      <c r="B115" s="3220"/>
      <c r="C115" s="1865" t="s">
        <v>17</v>
      </c>
      <c r="D115" s="1866"/>
      <c r="E115" s="1867">
        <v>0.1075</v>
      </c>
      <c r="F115" s="1868">
        <f t="shared" si="5"/>
        <v>0</v>
      </c>
    </row>
    <row r="116" spans="1:6">
      <c r="A116" s="1864">
        <v>111</v>
      </c>
      <c r="B116" s="3220"/>
      <c r="C116" s="1865" t="s">
        <v>19</v>
      </c>
      <c r="D116" s="1866"/>
      <c r="E116" s="1867">
        <v>0.14000000000000001</v>
      </c>
      <c r="F116" s="1868">
        <f t="shared" si="5"/>
        <v>0</v>
      </c>
    </row>
    <row r="117" spans="1:6">
      <c r="A117" s="1864">
        <v>112</v>
      </c>
      <c r="B117" s="3220"/>
      <c r="C117" s="1865" t="s">
        <v>21</v>
      </c>
      <c r="D117" s="1866"/>
      <c r="E117" s="1867">
        <v>0.17249999999999999</v>
      </c>
      <c r="F117" s="1868">
        <f t="shared" si="5"/>
        <v>0</v>
      </c>
    </row>
    <row r="118" spans="1:6">
      <c r="A118" s="1885">
        <v>113</v>
      </c>
      <c r="B118" s="3220"/>
      <c r="C118" s="1865" t="s">
        <v>1384</v>
      </c>
      <c r="D118" s="1866"/>
      <c r="E118" s="1867">
        <v>0.2112</v>
      </c>
      <c r="F118" s="1868">
        <f t="shared" si="5"/>
        <v>0</v>
      </c>
    </row>
    <row r="119" spans="1:6">
      <c r="A119" s="1885">
        <v>114</v>
      </c>
      <c r="B119" s="3221"/>
      <c r="C119" s="1869" t="s">
        <v>1385</v>
      </c>
      <c r="D119" s="1870"/>
      <c r="E119" s="1871">
        <v>0.2165</v>
      </c>
      <c r="F119" s="1872">
        <f t="shared" si="5"/>
        <v>0</v>
      </c>
    </row>
    <row r="120" spans="1:6" ht="16.5" thickBot="1">
      <c r="A120" s="1886">
        <v>115</v>
      </c>
      <c r="B120" s="3222" t="s">
        <v>4902</v>
      </c>
      <c r="C120" s="3222"/>
      <c r="D120" s="1887">
        <f>SUM(D102:D119)</f>
        <v>0</v>
      </c>
      <c r="E120" s="1888"/>
      <c r="F120" s="1889">
        <f>SUM(F102:F119)</f>
        <v>0</v>
      </c>
    </row>
    <row r="121" spans="1:6" s="1890" customFormat="1" ht="16.5"/>
    <row r="122" spans="1:6" s="1890" customFormat="1" ht="16.5">
      <c r="A122" s="1891" t="s">
        <v>4903</v>
      </c>
      <c r="B122" s="1850" t="s">
        <v>4904</v>
      </c>
    </row>
    <row r="123" spans="1:6" s="1890" customFormat="1" ht="16.5">
      <c r="A123" s="1891"/>
      <c r="B123" s="1892" t="s">
        <v>4905</v>
      </c>
    </row>
    <row r="124" spans="1:6" s="1890" customFormat="1" ht="16.5">
      <c r="A124" s="1891" t="s">
        <v>4906</v>
      </c>
      <c r="B124" s="1892" t="s">
        <v>4907</v>
      </c>
      <c r="F124" s="1893" t="str">
        <f>IF(+D24+D43+D44+'表30-3'!D11-'表05-1'!G47=0,"","註2檢核錯誤")</f>
        <v/>
      </c>
    </row>
    <row r="125" spans="1:6" s="1890" customFormat="1" ht="16.5">
      <c r="A125" s="1891" t="s">
        <v>4908</v>
      </c>
      <c r="B125" s="1892" t="s">
        <v>4909</v>
      </c>
      <c r="F125" s="1893" t="str">
        <f>IF(+D82+D83+D84-('表05-1'!G20+'表05-1'!G21)=0,"","註3檢核錯誤")</f>
        <v/>
      </c>
    </row>
    <row r="126" spans="1:6" s="1890" customFormat="1" ht="16.5">
      <c r="A126" s="1891" t="s">
        <v>4910</v>
      </c>
      <c r="B126" s="1892" t="s">
        <v>4911</v>
      </c>
      <c r="F126" s="1893" t="str">
        <f>IF(+D63-'表05-1'!G15=0,"","註4檢核錯誤")</f>
        <v/>
      </c>
    </row>
    <row r="127" spans="1:6" s="1890" customFormat="1" ht="16.5">
      <c r="A127" s="1891" t="s">
        <v>4912</v>
      </c>
      <c r="B127" s="1852" t="s">
        <v>4913</v>
      </c>
      <c r="F127" s="1893" t="str">
        <f>IF(+D101+'表10-2'!L36-'表05-1'!G45-('表10-4'!G14+'表10-4'!G33)=0,"","註5檢核錯誤")</f>
        <v/>
      </c>
    </row>
    <row r="128" spans="1:6" s="1890" customFormat="1" ht="16.5">
      <c r="A128" s="1891" t="s">
        <v>4914</v>
      </c>
      <c r="B128" s="1892" t="s">
        <v>4815</v>
      </c>
    </row>
    <row r="129" spans="1:7" s="1890" customFormat="1" ht="16.5">
      <c r="A129" s="1894" t="s">
        <v>4915</v>
      </c>
      <c r="B129" s="1895" t="s">
        <v>4916</v>
      </c>
    </row>
    <row r="130" spans="1:7" s="1890" customFormat="1" ht="16.5">
      <c r="A130" s="2700" t="s">
        <v>8466</v>
      </c>
      <c r="B130" s="1895" t="s">
        <v>4917</v>
      </c>
      <c r="G130" s="1851"/>
    </row>
    <row r="131" spans="1:7" s="1890" customFormat="1" ht="16.5">
      <c r="F131" s="1893" t="str">
        <f>IF(D120-'表30-8-7'!F35=0,"","註9檢核錯誤")</f>
        <v/>
      </c>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32"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tabColor rgb="FFFFFF00"/>
    <pageSetUpPr fitToPage="1"/>
  </sheetPr>
  <dimension ref="A1:H128"/>
  <sheetViews>
    <sheetView topLeftCell="A106" zoomScaleNormal="100" workbookViewId="0">
      <selection activeCell="B126" sqref="B126:B128"/>
    </sheetView>
  </sheetViews>
  <sheetFormatPr defaultColWidth="15.625" defaultRowHeight="15.75"/>
  <cols>
    <col min="1" max="1" width="4.75" style="1897" customWidth="1"/>
    <col min="2" max="2" width="25.125" style="1897" customWidth="1"/>
    <col min="3" max="3" width="18.75" style="1897" customWidth="1"/>
    <col min="4" max="5" width="20.625" style="1897" customWidth="1"/>
    <col min="6" max="6" width="15.125" style="1897" customWidth="1"/>
    <col min="7" max="8" width="20.625" style="1897" customWidth="1"/>
    <col min="9" max="16384" width="15.625" style="1897"/>
  </cols>
  <sheetData>
    <row r="1" spans="1:8" ht="16.5">
      <c r="A1" s="2186" t="str">
        <f>+封面!A3&amp;" "&amp;封面!A2</f>
        <v xml:space="preserve"> 中央再保險股份有限公司 年度檢查報表</v>
      </c>
    </row>
    <row r="2" spans="1:8" ht="17.25" thickBot="1">
      <c r="A2" s="1845" t="s">
        <v>4918</v>
      </c>
      <c r="B2" s="1847"/>
      <c r="C2" s="1847"/>
      <c r="D2" s="1848"/>
      <c r="E2" s="1848"/>
      <c r="F2" s="1849"/>
      <c r="G2" s="1847"/>
      <c r="H2" s="1898" t="s">
        <v>4919</v>
      </c>
    </row>
    <row r="3" spans="1:8" ht="16.5" customHeight="1">
      <c r="A3" s="3251" t="s">
        <v>4813</v>
      </c>
      <c r="B3" s="3254" t="s">
        <v>4920</v>
      </c>
      <c r="C3" s="1899" t="s">
        <v>4921</v>
      </c>
      <c r="D3" s="3236" t="s">
        <v>1382</v>
      </c>
      <c r="E3" s="3236"/>
      <c r="F3" s="3248" t="s">
        <v>2540</v>
      </c>
      <c r="G3" s="3236" t="s">
        <v>389</v>
      </c>
      <c r="H3" s="3250"/>
    </row>
    <row r="4" spans="1:8" ht="16.5">
      <c r="A4" s="3252"/>
      <c r="B4" s="3255"/>
      <c r="C4" s="1900" t="s">
        <v>1381</v>
      </c>
      <c r="D4" s="1846" t="s">
        <v>2541</v>
      </c>
      <c r="E4" s="1846" t="s">
        <v>2542</v>
      </c>
      <c r="F4" s="3249"/>
      <c r="G4" s="1846" t="s">
        <v>2541</v>
      </c>
      <c r="H4" s="1901" t="s">
        <v>2543</v>
      </c>
    </row>
    <row r="5" spans="1:8" ht="15.75" customHeight="1" thickBot="1">
      <c r="A5" s="3253"/>
      <c r="B5" s="1902" t="s">
        <v>175</v>
      </c>
      <c r="C5" s="1902" t="s">
        <v>176</v>
      </c>
      <c r="D5" s="1902" t="s">
        <v>177</v>
      </c>
      <c r="E5" s="1902" t="s">
        <v>178</v>
      </c>
      <c r="F5" s="1902" t="s">
        <v>384</v>
      </c>
      <c r="G5" s="1902" t="s">
        <v>385</v>
      </c>
      <c r="H5" s="1903" t="s">
        <v>127</v>
      </c>
    </row>
    <row r="6" spans="1:8" ht="15.6" customHeight="1">
      <c r="A6" s="1904">
        <v>1</v>
      </c>
      <c r="B6" s="3237" t="s">
        <v>8467</v>
      </c>
      <c r="C6" s="1905" t="s">
        <v>44</v>
      </c>
      <c r="D6" s="1906"/>
      <c r="E6" s="1906"/>
      <c r="F6" s="1907">
        <v>0</v>
      </c>
      <c r="G6" s="1908">
        <f>D6*F6</f>
        <v>0</v>
      </c>
      <c r="H6" s="1909">
        <f>E6*F6</f>
        <v>0</v>
      </c>
    </row>
    <row r="7" spans="1:8">
      <c r="A7" s="1910">
        <f t="shared" ref="A7:A38" si="0">A6+1</f>
        <v>2</v>
      </c>
      <c r="B7" s="3238"/>
      <c r="C7" s="1911" t="s">
        <v>45</v>
      </c>
      <c r="D7" s="1912"/>
      <c r="E7" s="1912"/>
      <c r="F7" s="1913">
        <v>0</v>
      </c>
      <c r="G7" s="1914">
        <f t="shared" ref="G7:G26" si="1">D7*F7</f>
        <v>0</v>
      </c>
      <c r="H7" s="1915">
        <f t="shared" ref="H7:H26" si="2">E7*F7</f>
        <v>0</v>
      </c>
    </row>
    <row r="8" spans="1:8">
      <c r="A8" s="1910">
        <f t="shared" si="0"/>
        <v>3</v>
      </c>
      <c r="B8" s="3238"/>
      <c r="C8" s="1911" t="s">
        <v>46</v>
      </c>
      <c r="D8" s="1912"/>
      <c r="E8" s="1912"/>
      <c r="F8" s="1913">
        <v>0</v>
      </c>
      <c r="G8" s="1914">
        <f t="shared" si="1"/>
        <v>0</v>
      </c>
      <c r="H8" s="1915">
        <f t="shared" si="2"/>
        <v>0</v>
      </c>
    </row>
    <row r="9" spans="1:8">
      <c r="A9" s="1910">
        <f t="shared" si="0"/>
        <v>4</v>
      </c>
      <c r="B9" s="3238"/>
      <c r="C9" s="1911" t="s">
        <v>47</v>
      </c>
      <c r="D9" s="1912"/>
      <c r="E9" s="1912"/>
      <c r="F9" s="1913">
        <v>0</v>
      </c>
      <c r="G9" s="1914">
        <f t="shared" si="1"/>
        <v>0</v>
      </c>
      <c r="H9" s="1915">
        <f t="shared" si="2"/>
        <v>0</v>
      </c>
    </row>
    <row r="10" spans="1:8">
      <c r="A10" s="1910">
        <f t="shared" si="0"/>
        <v>5</v>
      </c>
      <c r="B10" s="3238"/>
      <c r="C10" s="1911" t="s">
        <v>48</v>
      </c>
      <c r="D10" s="1912"/>
      <c r="E10" s="1912"/>
      <c r="F10" s="1916">
        <v>3.0999999999999999E-3</v>
      </c>
      <c r="G10" s="1914">
        <f t="shared" si="1"/>
        <v>0</v>
      </c>
      <c r="H10" s="1915">
        <f t="shared" si="2"/>
        <v>0</v>
      </c>
    </row>
    <row r="11" spans="1:8">
      <c r="A11" s="1910">
        <f t="shared" si="0"/>
        <v>6</v>
      </c>
      <c r="B11" s="3238"/>
      <c r="C11" s="1911" t="s">
        <v>49</v>
      </c>
      <c r="D11" s="1912"/>
      <c r="E11" s="1912"/>
      <c r="F11" s="1916">
        <v>6.1999999999999998E-3</v>
      </c>
      <c r="G11" s="1914">
        <f t="shared" si="1"/>
        <v>0</v>
      </c>
      <c r="H11" s="1915">
        <f t="shared" si="2"/>
        <v>0</v>
      </c>
    </row>
    <row r="12" spans="1:8">
      <c r="A12" s="1910">
        <f t="shared" si="0"/>
        <v>7</v>
      </c>
      <c r="B12" s="3238"/>
      <c r="C12" s="1911" t="s">
        <v>50</v>
      </c>
      <c r="D12" s="1912"/>
      <c r="E12" s="1912"/>
      <c r="F12" s="1916">
        <v>7.3999999999999995E-3</v>
      </c>
      <c r="G12" s="1914">
        <f t="shared" si="1"/>
        <v>0</v>
      </c>
      <c r="H12" s="1915">
        <f t="shared" si="2"/>
        <v>0</v>
      </c>
    </row>
    <row r="13" spans="1:8">
      <c r="A13" s="1910">
        <f t="shared" si="0"/>
        <v>8</v>
      </c>
      <c r="B13" s="3238"/>
      <c r="C13" s="1911" t="s">
        <v>51</v>
      </c>
      <c r="D13" s="1912"/>
      <c r="E13" s="1912"/>
      <c r="F13" s="1916">
        <v>8.6E-3</v>
      </c>
      <c r="G13" s="1914">
        <f t="shared" si="1"/>
        <v>0</v>
      </c>
      <c r="H13" s="1915">
        <f t="shared" si="2"/>
        <v>0</v>
      </c>
    </row>
    <row r="14" spans="1:8">
      <c r="A14" s="1910">
        <f t="shared" si="0"/>
        <v>9</v>
      </c>
      <c r="B14" s="3238"/>
      <c r="C14" s="1911" t="s">
        <v>52</v>
      </c>
      <c r="D14" s="1912"/>
      <c r="E14" s="1912"/>
      <c r="F14" s="1916">
        <v>9.7999999999999997E-3</v>
      </c>
      <c r="G14" s="1914">
        <f t="shared" si="1"/>
        <v>0</v>
      </c>
      <c r="H14" s="1915">
        <f t="shared" si="2"/>
        <v>0</v>
      </c>
    </row>
    <row r="15" spans="1:8">
      <c r="A15" s="1910">
        <f t="shared" si="0"/>
        <v>10</v>
      </c>
      <c r="B15" s="3238"/>
      <c r="C15" s="1911" t="s">
        <v>53</v>
      </c>
      <c r="D15" s="1912"/>
      <c r="E15" s="1912"/>
      <c r="F15" s="1916">
        <v>1.8033333333333332E-2</v>
      </c>
      <c r="G15" s="1914">
        <f t="shared" si="1"/>
        <v>0</v>
      </c>
      <c r="H15" s="1915">
        <f t="shared" si="2"/>
        <v>0</v>
      </c>
    </row>
    <row r="16" spans="1:8">
      <c r="A16" s="1910">
        <f t="shared" si="0"/>
        <v>11</v>
      </c>
      <c r="B16" s="3238"/>
      <c r="C16" s="1911" t="s">
        <v>54</v>
      </c>
      <c r="D16" s="1912"/>
      <c r="E16" s="1912"/>
      <c r="F16" s="1916">
        <v>2.6266666666666667E-2</v>
      </c>
      <c r="G16" s="1914">
        <f t="shared" si="1"/>
        <v>0</v>
      </c>
      <c r="H16" s="1915">
        <f t="shared" si="2"/>
        <v>0</v>
      </c>
    </row>
    <row r="17" spans="1:8">
      <c r="A17" s="1910">
        <f t="shared" si="0"/>
        <v>12</v>
      </c>
      <c r="B17" s="3238"/>
      <c r="C17" s="1911" t="s">
        <v>55</v>
      </c>
      <c r="D17" s="1912"/>
      <c r="E17" s="1912"/>
      <c r="F17" s="1916">
        <v>3.4500000000000003E-2</v>
      </c>
      <c r="G17" s="1914">
        <f t="shared" si="1"/>
        <v>0</v>
      </c>
      <c r="H17" s="1915">
        <f t="shared" si="2"/>
        <v>0</v>
      </c>
    </row>
    <row r="18" spans="1:8">
      <c r="A18" s="1910">
        <f t="shared" si="0"/>
        <v>13</v>
      </c>
      <c r="B18" s="3238"/>
      <c r="C18" s="1911" t="s">
        <v>1379</v>
      </c>
      <c r="D18" s="1912"/>
      <c r="E18" s="1912"/>
      <c r="F18" s="1916">
        <v>4.8000000000000001E-2</v>
      </c>
      <c r="G18" s="1914">
        <f t="shared" si="1"/>
        <v>0</v>
      </c>
      <c r="H18" s="1915">
        <f t="shared" si="2"/>
        <v>0</v>
      </c>
    </row>
    <row r="19" spans="1:8">
      <c r="A19" s="1910">
        <f t="shared" si="0"/>
        <v>14</v>
      </c>
      <c r="B19" s="3238"/>
      <c r="C19" s="1911" t="s">
        <v>56</v>
      </c>
      <c r="D19" s="1912"/>
      <c r="E19" s="1912"/>
      <c r="F19" s="1916">
        <v>6.1499999999999999E-2</v>
      </c>
      <c r="G19" s="1914">
        <f t="shared" si="1"/>
        <v>0</v>
      </c>
      <c r="H19" s="1915">
        <f t="shared" si="2"/>
        <v>0</v>
      </c>
    </row>
    <row r="20" spans="1:8">
      <c r="A20" s="1910">
        <f t="shared" si="0"/>
        <v>15</v>
      </c>
      <c r="B20" s="3238"/>
      <c r="C20" s="1911" t="s">
        <v>57</v>
      </c>
      <c r="D20" s="1912"/>
      <c r="E20" s="1912"/>
      <c r="F20" s="1916">
        <v>7.4999999999999997E-2</v>
      </c>
      <c r="G20" s="1914">
        <f t="shared" si="1"/>
        <v>0</v>
      </c>
      <c r="H20" s="1915">
        <f t="shared" si="2"/>
        <v>0</v>
      </c>
    </row>
    <row r="21" spans="1:8">
      <c r="A21" s="1910">
        <f t="shared" si="0"/>
        <v>16</v>
      </c>
      <c r="B21" s="3238"/>
      <c r="C21" s="1911" t="s">
        <v>58</v>
      </c>
      <c r="D21" s="1912"/>
      <c r="E21" s="1912"/>
      <c r="F21" s="1916">
        <v>0.1075</v>
      </c>
      <c r="G21" s="1914">
        <f t="shared" si="1"/>
        <v>0</v>
      </c>
      <c r="H21" s="1915">
        <f t="shared" si="2"/>
        <v>0</v>
      </c>
    </row>
    <row r="22" spans="1:8">
      <c r="A22" s="1910">
        <f t="shared" si="0"/>
        <v>17</v>
      </c>
      <c r="B22" s="3238"/>
      <c r="C22" s="1911" t="s">
        <v>59</v>
      </c>
      <c r="D22" s="1912"/>
      <c r="E22" s="1912"/>
      <c r="F22" s="1916">
        <v>0.14000000000000001</v>
      </c>
      <c r="G22" s="1914">
        <f t="shared" si="1"/>
        <v>0</v>
      </c>
      <c r="H22" s="1915">
        <f t="shared" si="2"/>
        <v>0</v>
      </c>
    </row>
    <row r="23" spans="1:8">
      <c r="A23" s="1910">
        <f t="shared" si="0"/>
        <v>18</v>
      </c>
      <c r="B23" s="3238"/>
      <c r="C23" s="1911" t="s">
        <v>60</v>
      </c>
      <c r="D23" s="1912"/>
      <c r="E23" s="1912"/>
      <c r="F23" s="1916">
        <v>0.17249999999999999</v>
      </c>
      <c r="G23" s="1914">
        <f t="shared" si="1"/>
        <v>0</v>
      </c>
      <c r="H23" s="1915">
        <f t="shared" si="2"/>
        <v>0</v>
      </c>
    </row>
    <row r="24" spans="1:8">
      <c r="A24" s="1910">
        <f t="shared" si="0"/>
        <v>19</v>
      </c>
      <c r="B24" s="3238"/>
      <c r="C24" s="1911" t="s">
        <v>61</v>
      </c>
      <c r="D24" s="1912"/>
      <c r="E24" s="1912"/>
      <c r="F24" s="1916">
        <v>0.2112</v>
      </c>
      <c r="G24" s="1914">
        <f t="shared" si="1"/>
        <v>0</v>
      </c>
      <c r="H24" s="1915">
        <f t="shared" si="2"/>
        <v>0</v>
      </c>
    </row>
    <row r="25" spans="1:8">
      <c r="A25" s="1910">
        <f t="shared" si="0"/>
        <v>20</v>
      </c>
      <c r="B25" s="3238"/>
      <c r="C25" s="1911" t="s">
        <v>62</v>
      </c>
      <c r="D25" s="1912"/>
      <c r="E25" s="1912"/>
      <c r="F25" s="1916">
        <v>0.25</v>
      </c>
      <c r="G25" s="1914">
        <f t="shared" si="1"/>
        <v>0</v>
      </c>
      <c r="H25" s="1915">
        <f t="shared" si="2"/>
        <v>0</v>
      </c>
    </row>
    <row r="26" spans="1:8">
      <c r="A26" s="1910">
        <f t="shared" si="0"/>
        <v>21</v>
      </c>
      <c r="B26" s="3239"/>
      <c r="C26" s="1917" t="s">
        <v>1380</v>
      </c>
      <c r="D26" s="1918"/>
      <c r="E26" s="1918"/>
      <c r="F26" s="1919">
        <v>0.28870000000000001</v>
      </c>
      <c r="G26" s="1920">
        <f t="shared" si="1"/>
        <v>0</v>
      </c>
      <c r="H26" s="1921">
        <f t="shared" si="2"/>
        <v>0</v>
      </c>
    </row>
    <row r="27" spans="1:8">
      <c r="A27" s="1922">
        <f t="shared" si="0"/>
        <v>22</v>
      </c>
      <c r="B27" s="3240" t="s">
        <v>4922</v>
      </c>
      <c r="C27" s="3240"/>
      <c r="D27" s="1923">
        <f>SUM(D6:D26)</f>
        <v>0</v>
      </c>
      <c r="E27" s="1923">
        <f>SUM(E6:E26)</f>
        <v>0</v>
      </c>
      <c r="F27" s="1875"/>
      <c r="G27" s="1923">
        <f>SUM(G6:G26)</f>
        <v>0</v>
      </c>
      <c r="H27" s="1924">
        <f>SUM(H6:H26)</f>
        <v>0</v>
      </c>
    </row>
    <row r="28" spans="1:8">
      <c r="A28" s="1925">
        <f t="shared" si="0"/>
        <v>23</v>
      </c>
      <c r="B28" s="3237" t="s">
        <v>4923</v>
      </c>
      <c r="C28" s="1905" t="s">
        <v>44</v>
      </c>
      <c r="D28" s="1906"/>
      <c r="E28" s="1906"/>
      <c r="F28" s="1907">
        <v>0</v>
      </c>
      <c r="G28" s="1908">
        <f>D28*F28</f>
        <v>0</v>
      </c>
      <c r="H28" s="1909">
        <f>E28*F28</f>
        <v>0</v>
      </c>
    </row>
    <row r="29" spans="1:8">
      <c r="A29" s="1925">
        <f t="shared" si="0"/>
        <v>24</v>
      </c>
      <c r="B29" s="3238"/>
      <c r="C29" s="1911" t="s">
        <v>45</v>
      </c>
      <c r="D29" s="1912"/>
      <c r="E29" s="1912"/>
      <c r="F29" s="1913">
        <v>0</v>
      </c>
      <c r="G29" s="1914">
        <f t="shared" ref="G29:G48" si="3">D29*F29</f>
        <v>0</v>
      </c>
      <c r="H29" s="1915">
        <f t="shared" ref="H29:H48" si="4">E29*F29</f>
        <v>0</v>
      </c>
    </row>
    <row r="30" spans="1:8">
      <c r="A30" s="1925">
        <f t="shared" si="0"/>
        <v>25</v>
      </c>
      <c r="B30" s="3238"/>
      <c r="C30" s="1911" t="s">
        <v>46</v>
      </c>
      <c r="D30" s="1912"/>
      <c r="E30" s="1912"/>
      <c r="F30" s="1913">
        <v>0</v>
      </c>
      <c r="G30" s="1914">
        <f t="shared" si="3"/>
        <v>0</v>
      </c>
      <c r="H30" s="1915">
        <f t="shared" si="4"/>
        <v>0</v>
      </c>
    </row>
    <row r="31" spans="1:8">
      <c r="A31" s="1925">
        <f t="shared" si="0"/>
        <v>26</v>
      </c>
      <c r="B31" s="3238"/>
      <c r="C31" s="1911" t="s">
        <v>47</v>
      </c>
      <c r="D31" s="1912"/>
      <c r="E31" s="1912"/>
      <c r="F31" s="1913">
        <v>0</v>
      </c>
      <c r="G31" s="1914">
        <f t="shared" si="3"/>
        <v>0</v>
      </c>
      <c r="H31" s="1915">
        <f t="shared" si="4"/>
        <v>0</v>
      </c>
    </row>
    <row r="32" spans="1:8">
      <c r="A32" s="1925">
        <f t="shared" si="0"/>
        <v>27</v>
      </c>
      <c r="B32" s="3238"/>
      <c r="C32" s="1911" t="s">
        <v>48</v>
      </c>
      <c r="D32" s="1912"/>
      <c r="E32" s="1912"/>
      <c r="F32" s="1916">
        <v>3.0999999999999999E-3</v>
      </c>
      <c r="G32" s="1914">
        <f t="shared" si="3"/>
        <v>0</v>
      </c>
      <c r="H32" s="1915">
        <f t="shared" si="4"/>
        <v>0</v>
      </c>
    </row>
    <row r="33" spans="1:8">
      <c r="A33" s="1925">
        <f t="shared" si="0"/>
        <v>28</v>
      </c>
      <c r="B33" s="3238"/>
      <c r="C33" s="1911" t="s">
        <v>49</v>
      </c>
      <c r="D33" s="1912"/>
      <c r="E33" s="1912"/>
      <c r="F33" s="1916">
        <v>6.1999999999999998E-3</v>
      </c>
      <c r="G33" s="1914">
        <f t="shared" si="3"/>
        <v>0</v>
      </c>
      <c r="H33" s="1915">
        <f t="shared" si="4"/>
        <v>0</v>
      </c>
    </row>
    <row r="34" spans="1:8">
      <c r="A34" s="1925">
        <f t="shared" si="0"/>
        <v>29</v>
      </c>
      <c r="B34" s="3238"/>
      <c r="C34" s="1911" t="s">
        <v>50</v>
      </c>
      <c r="D34" s="1912"/>
      <c r="E34" s="1912"/>
      <c r="F34" s="1916">
        <v>7.3999999999999995E-3</v>
      </c>
      <c r="G34" s="1914">
        <f t="shared" si="3"/>
        <v>0</v>
      </c>
      <c r="H34" s="1915">
        <f t="shared" si="4"/>
        <v>0</v>
      </c>
    </row>
    <row r="35" spans="1:8">
      <c r="A35" s="1925">
        <f t="shared" si="0"/>
        <v>30</v>
      </c>
      <c r="B35" s="3238"/>
      <c r="C35" s="1911" t="s">
        <v>51</v>
      </c>
      <c r="D35" s="1912"/>
      <c r="E35" s="1912"/>
      <c r="F35" s="1916">
        <v>8.6E-3</v>
      </c>
      <c r="G35" s="1914">
        <f t="shared" si="3"/>
        <v>0</v>
      </c>
      <c r="H35" s="1915">
        <f t="shared" si="4"/>
        <v>0</v>
      </c>
    </row>
    <row r="36" spans="1:8">
      <c r="A36" s="1925">
        <f t="shared" si="0"/>
        <v>31</v>
      </c>
      <c r="B36" s="3238"/>
      <c r="C36" s="1911" t="s">
        <v>52</v>
      </c>
      <c r="D36" s="1912"/>
      <c r="E36" s="1912"/>
      <c r="F36" s="1916">
        <v>9.7999999999999997E-3</v>
      </c>
      <c r="G36" s="1914">
        <f t="shared" si="3"/>
        <v>0</v>
      </c>
      <c r="H36" s="1915">
        <f t="shared" si="4"/>
        <v>0</v>
      </c>
    </row>
    <row r="37" spans="1:8">
      <c r="A37" s="1925">
        <f t="shared" si="0"/>
        <v>32</v>
      </c>
      <c r="B37" s="3238"/>
      <c r="C37" s="1911" t="s">
        <v>53</v>
      </c>
      <c r="D37" s="1912"/>
      <c r="E37" s="1912"/>
      <c r="F37" s="1916">
        <v>1.8033333333333332E-2</v>
      </c>
      <c r="G37" s="1914">
        <f t="shared" si="3"/>
        <v>0</v>
      </c>
      <c r="H37" s="1915">
        <f t="shared" si="4"/>
        <v>0</v>
      </c>
    </row>
    <row r="38" spans="1:8">
      <c r="A38" s="1925">
        <f t="shared" si="0"/>
        <v>33</v>
      </c>
      <c r="B38" s="3238"/>
      <c r="C38" s="1911" t="s">
        <v>54</v>
      </c>
      <c r="D38" s="1912"/>
      <c r="E38" s="1912"/>
      <c r="F38" s="1916">
        <v>2.6266666666666667E-2</v>
      </c>
      <c r="G38" s="1914">
        <f t="shared" si="3"/>
        <v>0</v>
      </c>
      <c r="H38" s="1915">
        <f t="shared" si="4"/>
        <v>0</v>
      </c>
    </row>
    <row r="39" spans="1:8">
      <c r="A39" s="1925">
        <f t="shared" ref="A39:A70" si="5">A38+1</f>
        <v>34</v>
      </c>
      <c r="B39" s="3238"/>
      <c r="C39" s="1911" t="s">
        <v>55</v>
      </c>
      <c r="D39" s="1912"/>
      <c r="E39" s="1912"/>
      <c r="F39" s="1916">
        <v>3.4500000000000003E-2</v>
      </c>
      <c r="G39" s="1914">
        <f t="shared" si="3"/>
        <v>0</v>
      </c>
      <c r="H39" s="1915">
        <f t="shared" si="4"/>
        <v>0</v>
      </c>
    </row>
    <row r="40" spans="1:8">
      <c r="A40" s="1925">
        <f t="shared" si="5"/>
        <v>35</v>
      </c>
      <c r="B40" s="3238"/>
      <c r="C40" s="1911" t="s">
        <v>550</v>
      </c>
      <c r="D40" s="1912"/>
      <c r="E40" s="1912"/>
      <c r="F40" s="1916">
        <v>4.8000000000000001E-2</v>
      </c>
      <c r="G40" s="1914">
        <f t="shared" si="3"/>
        <v>0</v>
      </c>
      <c r="H40" s="1915">
        <f t="shared" si="4"/>
        <v>0</v>
      </c>
    </row>
    <row r="41" spans="1:8">
      <c r="A41" s="1925">
        <f t="shared" si="5"/>
        <v>36</v>
      </c>
      <c r="B41" s="3238"/>
      <c r="C41" s="1911" t="s">
        <v>56</v>
      </c>
      <c r="D41" s="1912"/>
      <c r="E41" s="1912"/>
      <c r="F41" s="1916">
        <v>6.1499999999999999E-2</v>
      </c>
      <c r="G41" s="1914">
        <f t="shared" si="3"/>
        <v>0</v>
      </c>
      <c r="H41" s="1915">
        <f t="shared" si="4"/>
        <v>0</v>
      </c>
    </row>
    <row r="42" spans="1:8">
      <c r="A42" s="1925">
        <f t="shared" si="5"/>
        <v>37</v>
      </c>
      <c r="B42" s="3238"/>
      <c r="C42" s="1911" t="s">
        <v>57</v>
      </c>
      <c r="D42" s="1912"/>
      <c r="E42" s="1912"/>
      <c r="F42" s="1916">
        <v>7.4999999999999997E-2</v>
      </c>
      <c r="G42" s="1914">
        <f t="shared" si="3"/>
        <v>0</v>
      </c>
      <c r="H42" s="1915">
        <f t="shared" si="4"/>
        <v>0</v>
      </c>
    </row>
    <row r="43" spans="1:8">
      <c r="A43" s="1925">
        <f t="shared" si="5"/>
        <v>38</v>
      </c>
      <c r="B43" s="3238"/>
      <c r="C43" s="1911" t="s">
        <v>58</v>
      </c>
      <c r="D43" s="1912"/>
      <c r="E43" s="1912"/>
      <c r="F43" s="1916">
        <v>0.1075</v>
      </c>
      <c r="G43" s="1914">
        <f t="shared" si="3"/>
        <v>0</v>
      </c>
      <c r="H43" s="1915">
        <f t="shared" si="4"/>
        <v>0</v>
      </c>
    </row>
    <row r="44" spans="1:8">
      <c r="A44" s="1925">
        <f t="shared" si="5"/>
        <v>39</v>
      </c>
      <c r="B44" s="3238"/>
      <c r="C44" s="1911" t="s">
        <v>59</v>
      </c>
      <c r="D44" s="1912"/>
      <c r="E44" s="1912"/>
      <c r="F44" s="1916">
        <v>0.14000000000000001</v>
      </c>
      <c r="G44" s="1914">
        <f t="shared" si="3"/>
        <v>0</v>
      </c>
      <c r="H44" s="1915">
        <f t="shared" si="4"/>
        <v>0</v>
      </c>
    </row>
    <row r="45" spans="1:8">
      <c r="A45" s="1925">
        <f t="shared" si="5"/>
        <v>40</v>
      </c>
      <c r="B45" s="3238"/>
      <c r="C45" s="1911" t="s">
        <v>60</v>
      </c>
      <c r="D45" s="1912"/>
      <c r="E45" s="1912"/>
      <c r="F45" s="1916">
        <v>0.17249999999999999</v>
      </c>
      <c r="G45" s="1914">
        <f t="shared" si="3"/>
        <v>0</v>
      </c>
      <c r="H45" s="1915">
        <f t="shared" si="4"/>
        <v>0</v>
      </c>
    </row>
    <row r="46" spans="1:8">
      <c r="A46" s="1925">
        <f t="shared" si="5"/>
        <v>41</v>
      </c>
      <c r="B46" s="3238"/>
      <c r="C46" s="1911" t="s">
        <v>61</v>
      </c>
      <c r="D46" s="1912"/>
      <c r="E46" s="1912"/>
      <c r="F46" s="1916">
        <v>0.2112</v>
      </c>
      <c r="G46" s="1914">
        <f t="shared" si="3"/>
        <v>0</v>
      </c>
      <c r="H46" s="1915">
        <f t="shared" si="4"/>
        <v>0</v>
      </c>
    </row>
    <row r="47" spans="1:8">
      <c r="A47" s="1925">
        <f t="shared" si="5"/>
        <v>42</v>
      </c>
      <c r="B47" s="3238"/>
      <c r="C47" s="1911" t="s">
        <v>62</v>
      </c>
      <c r="D47" s="1912"/>
      <c r="E47" s="1912"/>
      <c r="F47" s="1916">
        <v>0.25</v>
      </c>
      <c r="G47" s="1914">
        <f t="shared" si="3"/>
        <v>0</v>
      </c>
      <c r="H47" s="1915">
        <f t="shared" si="4"/>
        <v>0</v>
      </c>
    </row>
    <row r="48" spans="1:8">
      <c r="A48" s="1925">
        <f t="shared" si="5"/>
        <v>43</v>
      </c>
      <c r="B48" s="3239"/>
      <c r="C48" s="1917" t="s">
        <v>552</v>
      </c>
      <c r="D48" s="1918"/>
      <c r="E48" s="1918"/>
      <c r="F48" s="1919">
        <v>0.28870000000000001</v>
      </c>
      <c r="G48" s="1920">
        <f t="shared" si="3"/>
        <v>0</v>
      </c>
      <c r="H48" s="1921">
        <f t="shared" si="4"/>
        <v>0</v>
      </c>
    </row>
    <row r="49" spans="1:8">
      <c r="A49" s="1922">
        <f t="shared" si="5"/>
        <v>44</v>
      </c>
      <c r="B49" s="3246" t="s">
        <v>4924</v>
      </c>
      <c r="C49" s="3246"/>
      <c r="D49" s="1874">
        <f>SUM(D28:D48)</f>
        <v>0</v>
      </c>
      <c r="E49" s="1926">
        <f>SUM(E28:E48)</f>
        <v>0</v>
      </c>
      <c r="F49" s="1927"/>
      <c r="G49" s="1926">
        <f>SUM(G28:G48)</f>
        <v>0</v>
      </c>
      <c r="H49" s="1928">
        <f>SUM(H28:H48)</f>
        <v>0</v>
      </c>
    </row>
    <row r="50" spans="1:8">
      <c r="A50" s="1925">
        <f t="shared" si="5"/>
        <v>45</v>
      </c>
      <c r="B50" s="3241" t="s">
        <v>4925</v>
      </c>
      <c r="C50" s="1905" t="s">
        <v>44</v>
      </c>
      <c r="D50" s="1929"/>
      <c r="E50" s="1929"/>
      <c r="F50" s="2701">
        <f t="shared" ref="F50:F64" si="6">F51</f>
        <v>0.1517</v>
      </c>
      <c r="G50" s="1908">
        <f t="shared" ref="G50:G70" si="7">D50*F50</f>
        <v>0</v>
      </c>
      <c r="H50" s="1909">
        <f t="shared" ref="H50:H70" si="8">E50*F50</f>
        <v>0</v>
      </c>
    </row>
    <row r="51" spans="1:8">
      <c r="A51" s="1925">
        <f t="shared" si="5"/>
        <v>46</v>
      </c>
      <c r="B51" s="3242"/>
      <c r="C51" s="1911" t="s">
        <v>45</v>
      </c>
      <c r="D51" s="1912"/>
      <c r="E51" s="1912"/>
      <c r="F51" s="2701">
        <f t="shared" si="6"/>
        <v>0.1517</v>
      </c>
      <c r="G51" s="1914">
        <f t="shared" si="7"/>
        <v>0</v>
      </c>
      <c r="H51" s="1915">
        <f t="shared" si="8"/>
        <v>0</v>
      </c>
    </row>
    <row r="52" spans="1:8">
      <c r="A52" s="1925">
        <f t="shared" si="5"/>
        <v>47</v>
      </c>
      <c r="B52" s="3242"/>
      <c r="C52" s="1911" t="s">
        <v>46</v>
      </c>
      <c r="D52" s="1912"/>
      <c r="E52" s="1912"/>
      <c r="F52" s="2701">
        <f t="shared" si="6"/>
        <v>0.1517</v>
      </c>
      <c r="G52" s="1914">
        <f t="shared" si="7"/>
        <v>0</v>
      </c>
      <c r="H52" s="1915">
        <f t="shared" si="8"/>
        <v>0</v>
      </c>
    </row>
    <row r="53" spans="1:8">
      <c r="A53" s="1925">
        <f t="shared" si="5"/>
        <v>48</v>
      </c>
      <c r="B53" s="3242"/>
      <c r="C53" s="1911" t="s">
        <v>47</v>
      </c>
      <c r="D53" s="1912"/>
      <c r="E53" s="1912"/>
      <c r="F53" s="2701">
        <f t="shared" si="6"/>
        <v>0.1517</v>
      </c>
      <c r="G53" s="1914">
        <f t="shared" si="7"/>
        <v>0</v>
      </c>
      <c r="H53" s="1915">
        <f t="shared" si="8"/>
        <v>0</v>
      </c>
    </row>
    <row r="54" spans="1:8">
      <c r="A54" s="1925">
        <f t="shared" si="5"/>
        <v>49</v>
      </c>
      <c r="B54" s="3242"/>
      <c r="C54" s="1911" t="s">
        <v>48</v>
      </c>
      <c r="D54" s="1912"/>
      <c r="E54" s="1912"/>
      <c r="F54" s="2701">
        <f t="shared" si="6"/>
        <v>0.1517</v>
      </c>
      <c r="G54" s="1914">
        <f t="shared" si="7"/>
        <v>0</v>
      </c>
      <c r="H54" s="1915">
        <f t="shared" si="8"/>
        <v>0</v>
      </c>
    </row>
    <row r="55" spans="1:8">
      <c r="A55" s="1925">
        <f t="shared" si="5"/>
        <v>50</v>
      </c>
      <c r="B55" s="3242"/>
      <c r="C55" s="1911" t="s">
        <v>49</v>
      </c>
      <c r="D55" s="1912"/>
      <c r="E55" s="1912"/>
      <c r="F55" s="2701">
        <f t="shared" si="6"/>
        <v>0.1517</v>
      </c>
      <c r="G55" s="1914">
        <f t="shared" si="7"/>
        <v>0</v>
      </c>
      <c r="H55" s="1915">
        <f t="shared" si="8"/>
        <v>0</v>
      </c>
    </row>
    <row r="56" spans="1:8">
      <c r="A56" s="1925">
        <f t="shared" si="5"/>
        <v>51</v>
      </c>
      <c r="B56" s="3242"/>
      <c r="C56" s="1911" t="s">
        <v>50</v>
      </c>
      <c r="D56" s="1912"/>
      <c r="E56" s="1912"/>
      <c r="F56" s="2701">
        <f t="shared" si="6"/>
        <v>0.1517</v>
      </c>
      <c r="G56" s="1914">
        <f t="shared" si="7"/>
        <v>0</v>
      </c>
      <c r="H56" s="1915">
        <f t="shared" si="8"/>
        <v>0</v>
      </c>
    </row>
    <row r="57" spans="1:8">
      <c r="A57" s="1925">
        <f t="shared" si="5"/>
        <v>52</v>
      </c>
      <c r="B57" s="3242"/>
      <c r="C57" s="1911" t="s">
        <v>51</v>
      </c>
      <c r="D57" s="1912"/>
      <c r="E57" s="1912"/>
      <c r="F57" s="2701">
        <f t="shared" si="6"/>
        <v>0.1517</v>
      </c>
      <c r="G57" s="1914">
        <f t="shared" si="7"/>
        <v>0</v>
      </c>
      <c r="H57" s="1915">
        <f t="shared" si="8"/>
        <v>0</v>
      </c>
    </row>
    <row r="58" spans="1:8">
      <c r="A58" s="1925">
        <f t="shared" si="5"/>
        <v>53</v>
      </c>
      <c r="B58" s="3242"/>
      <c r="C58" s="1911" t="s">
        <v>52</v>
      </c>
      <c r="D58" s="1912"/>
      <c r="E58" s="1912"/>
      <c r="F58" s="2701">
        <f t="shared" si="6"/>
        <v>0.1517</v>
      </c>
      <c r="G58" s="1914">
        <f t="shared" si="7"/>
        <v>0</v>
      </c>
      <c r="H58" s="1915">
        <f t="shared" si="8"/>
        <v>0</v>
      </c>
    </row>
    <row r="59" spans="1:8">
      <c r="A59" s="1925">
        <f t="shared" si="5"/>
        <v>54</v>
      </c>
      <c r="B59" s="3242"/>
      <c r="C59" s="1911" t="s">
        <v>53</v>
      </c>
      <c r="D59" s="1912"/>
      <c r="E59" s="1912"/>
      <c r="F59" s="2701">
        <f t="shared" si="6"/>
        <v>0.1517</v>
      </c>
      <c r="G59" s="1914">
        <f t="shared" si="7"/>
        <v>0</v>
      </c>
      <c r="H59" s="1915">
        <f t="shared" si="8"/>
        <v>0</v>
      </c>
    </row>
    <row r="60" spans="1:8">
      <c r="A60" s="1925">
        <f t="shared" si="5"/>
        <v>55</v>
      </c>
      <c r="B60" s="3242"/>
      <c r="C60" s="1911" t="s">
        <v>54</v>
      </c>
      <c r="D60" s="1912"/>
      <c r="E60" s="1912"/>
      <c r="F60" s="2701">
        <f t="shared" si="6"/>
        <v>0.1517</v>
      </c>
      <c r="G60" s="1914">
        <f t="shared" si="7"/>
        <v>0</v>
      </c>
      <c r="H60" s="1915">
        <f t="shared" si="8"/>
        <v>0</v>
      </c>
    </row>
    <row r="61" spans="1:8">
      <c r="A61" s="1925">
        <f t="shared" si="5"/>
        <v>56</v>
      </c>
      <c r="B61" s="3242"/>
      <c r="C61" s="1911" t="s">
        <v>55</v>
      </c>
      <c r="D61" s="1912"/>
      <c r="E61" s="1912"/>
      <c r="F61" s="2701">
        <f t="shared" si="6"/>
        <v>0.1517</v>
      </c>
      <c r="G61" s="1914">
        <f t="shared" si="7"/>
        <v>0</v>
      </c>
      <c r="H61" s="1915">
        <f t="shared" si="8"/>
        <v>0</v>
      </c>
    </row>
    <row r="62" spans="1:8">
      <c r="A62" s="1925">
        <f t="shared" si="5"/>
        <v>57</v>
      </c>
      <c r="B62" s="3242"/>
      <c r="C62" s="1911" t="s">
        <v>550</v>
      </c>
      <c r="D62" s="1912"/>
      <c r="E62" s="1912"/>
      <c r="F62" s="2701">
        <f t="shared" si="6"/>
        <v>0.1517</v>
      </c>
      <c r="G62" s="1914">
        <f t="shared" si="7"/>
        <v>0</v>
      </c>
      <c r="H62" s="1915">
        <f t="shared" si="8"/>
        <v>0</v>
      </c>
    </row>
    <row r="63" spans="1:8">
      <c r="A63" s="1925">
        <f t="shared" si="5"/>
        <v>58</v>
      </c>
      <c r="B63" s="3242"/>
      <c r="C63" s="1911" t="s">
        <v>56</v>
      </c>
      <c r="D63" s="1912"/>
      <c r="E63" s="1912"/>
      <c r="F63" s="2701">
        <f t="shared" si="6"/>
        <v>0.1517</v>
      </c>
      <c r="G63" s="1914">
        <f t="shared" si="7"/>
        <v>0</v>
      </c>
      <c r="H63" s="1915">
        <f t="shared" si="8"/>
        <v>0</v>
      </c>
    </row>
    <row r="64" spans="1:8">
      <c r="A64" s="1925">
        <f t="shared" si="5"/>
        <v>59</v>
      </c>
      <c r="B64" s="3242"/>
      <c r="C64" s="1911" t="s">
        <v>57</v>
      </c>
      <c r="D64" s="1912"/>
      <c r="E64" s="1912"/>
      <c r="F64" s="2701">
        <f t="shared" si="6"/>
        <v>0.1517</v>
      </c>
      <c r="G64" s="1914">
        <f t="shared" si="7"/>
        <v>0</v>
      </c>
      <c r="H64" s="1915">
        <f t="shared" si="8"/>
        <v>0</v>
      </c>
    </row>
    <row r="65" spans="1:8">
      <c r="A65" s="1925">
        <f t="shared" si="5"/>
        <v>60</v>
      </c>
      <c r="B65" s="3242"/>
      <c r="C65" s="1911" t="s">
        <v>58</v>
      </c>
      <c r="D65" s="1912"/>
      <c r="E65" s="1912"/>
      <c r="F65" s="2701">
        <f>F66</f>
        <v>0.1517</v>
      </c>
      <c r="G65" s="1914">
        <f t="shared" si="7"/>
        <v>0</v>
      </c>
      <c r="H65" s="1915">
        <f t="shared" si="8"/>
        <v>0</v>
      </c>
    </row>
    <row r="66" spans="1:8">
      <c r="A66" s="1925">
        <f t="shared" si="5"/>
        <v>61</v>
      </c>
      <c r="B66" s="3242"/>
      <c r="C66" s="1911" t="s">
        <v>59</v>
      </c>
      <c r="D66" s="1912"/>
      <c r="E66" s="1912"/>
      <c r="F66" s="2701">
        <v>0.1517</v>
      </c>
      <c r="G66" s="1914">
        <f t="shared" si="7"/>
        <v>0</v>
      </c>
      <c r="H66" s="1915">
        <f t="shared" si="8"/>
        <v>0</v>
      </c>
    </row>
    <row r="67" spans="1:8">
      <c r="A67" s="1925">
        <f t="shared" si="5"/>
        <v>62</v>
      </c>
      <c r="B67" s="3242"/>
      <c r="C67" s="1911" t="s">
        <v>60</v>
      </c>
      <c r="D67" s="1912"/>
      <c r="E67" s="1912"/>
      <c r="F67" s="2702">
        <v>0.17249999999999999</v>
      </c>
      <c r="G67" s="1914">
        <f t="shared" si="7"/>
        <v>0</v>
      </c>
      <c r="H67" s="1915">
        <f t="shared" si="8"/>
        <v>0</v>
      </c>
    </row>
    <row r="68" spans="1:8">
      <c r="A68" s="1925">
        <f t="shared" si="5"/>
        <v>63</v>
      </c>
      <c r="B68" s="3242"/>
      <c r="C68" s="1911" t="s">
        <v>61</v>
      </c>
      <c r="D68" s="1912"/>
      <c r="E68" s="1912"/>
      <c r="F68" s="2702">
        <f>$F$24</f>
        <v>0.2112</v>
      </c>
      <c r="G68" s="1914">
        <f t="shared" si="7"/>
        <v>0</v>
      </c>
      <c r="H68" s="1915">
        <f t="shared" si="8"/>
        <v>0</v>
      </c>
    </row>
    <row r="69" spans="1:8">
      <c r="A69" s="1925">
        <f t="shared" si="5"/>
        <v>64</v>
      </c>
      <c r="B69" s="3242"/>
      <c r="C69" s="1911" t="s">
        <v>62</v>
      </c>
      <c r="D69" s="1912"/>
      <c r="E69" s="1912"/>
      <c r="F69" s="2702">
        <f>$F$25</f>
        <v>0.25</v>
      </c>
      <c r="G69" s="1914">
        <f t="shared" si="7"/>
        <v>0</v>
      </c>
      <c r="H69" s="1915">
        <f t="shared" si="8"/>
        <v>0</v>
      </c>
    </row>
    <row r="70" spans="1:8">
      <c r="A70" s="1925">
        <f t="shared" si="5"/>
        <v>65</v>
      </c>
      <c r="B70" s="3243"/>
      <c r="C70" s="1917" t="s">
        <v>552</v>
      </c>
      <c r="D70" s="1918"/>
      <c r="E70" s="1918"/>
      <c r="F70" s="2703">
        <f>$F$26</f>
        <v>0.28870000000000001</v>
      </c>
      <c r="G70" s="1920">
        <f t="shared" si="7"/>
        <v>0</v>
      </c>
      <c r="H70" s="1921">
        <f t="shared" si="8"/>
        <v>0</v>
      </c>
    </row>
    <row r="71" spans="1:8">
      <c r="A71" s="1930">
        <f t="shared" ref="A71:A102" si="9">A70+1</f>
        <v>66</v>
      </c>
      <c r="B71" s="3244" t="s">
        <v>4926</v>
      </c>
      <c r="C71" s="3244"/>
      <c r="D71" s="1874">
        <f>SUM(D50:D70)</f>
        <v>0</v>
      </c>
      <c r="E71" s="1874">
        <f>SUM(E50:E70)</f>
        <v>0</v>
      </c>
      <c r="F71" s="1927"/>
      <c r="G71" s="1874">
        <f>SUM(G50:G70)</f>
        <v>0</v>
      </c>
      <c r="H71" s="1876">
        <f>SUM(H50:H70)</f>
        <v>0</v>
      </c>
    </row>
    <row r="72" spans="1:8">
      <c r="A72" s="1925">
        <f t="shared" si="9"/>
        <v>67</v>
      </c>
      <c r="B72" s="3245" t="s">
        <v>4927</v>
      </c>
      <c r="C72" s="1905" t="s">
        <v>44</v>
      </c>
      <c r="D72" s="1929"/>
      <c r="E72" s="1929"/>
      <c r="F72" s="1907">
        <v>0</v>
      </c>
      <c r="G72" s="1908">
        <f t="shared" ref="G72:G92" si="10">D72*F72</f>
        <v>0</v>
      </c>
      <c r="H72" s="1909">
        <f t="shared" ref="H72:H92" si="11">E72*F72</f>
        <v>0</v>
      </c>
    </row>
    <row r="73" spans="1:8">
      <c r="A73" s="1925">
        <f t="shared" si="9"/>
        <v>68</v>
      </c>
      <c r="B73" s="3242"/>
      <c r="C73" s="1911" t="s">
        <v>45</v>
      </c>
      <c r="D73" s="1912"/>
      <c r="E73" s="1912"/>
      <c r="F73" s="1913">
        <v>0</v>
      </c>
      <c r="G73" s="1914">
        <f t="shared" si="10"/>
        <v>0</v>
      </c>
      <c r="H73" s="1915">
        <f t="shared" si="11"/>
        <v>0</v>
      </c>
    </row>
    <row r="74" spans="1:8">
      <c r="A74" s="1925">
        <f t="shared" si="9"/>
        <v>69</v>
      </c>
      <c r="B74" s="3242"/>
      <c r="C74" s="1911" t="s">
        <v>46</v>
      </c>
      <c r="D74" s="1912"/>
      <c r="E74" s="1912"/>
      <c r="F74" s="1913">
        <v>0</v>
      </c>
      <c r="G74" s="1914">
        <f t="shared" si="10"/>
        <v>0</v>
      </c>
      <c r="H74" s="1915">
        <f t="shared" si="11"/>
        <v>0</v>
      </c>
    </row>
    <row r="75" spans="1:8">
      <c r="A75" s="1925">
        <f t="shared" si="9"/>
        <v>70</v>
      </c>
      <c r="B75" s="3242"/>
      <c r="C75" s="1911" t="s">
        <v>47</v>
      </c>
      <c r="D75" s="1912"/>
      <c r="E75" s="1912"/>
      <c r="F75" s="1913">
        <v>0</v>
      </c>
      <c r="G75" s="1914">
        <f t="shared" si="10"/>
        <v>0</v>
      </c>
      <c r="H75" s="1915">
        <f t="shared" si="11"/>
        <v>0</v>
      </c>
    </row>
    <row r="76" spans="1:8">
      <c r="A76" s="1925">
        <f t="shared" si="9"/>
        <v>71</v>
      </c>
      <c r="B76" s="3242"/>
      <c r="C76" s="1911" t="s">
        <v>48</v>
      </c>
      <c r="D76" s="1912"/>
      <c r="E76" s="1912"/>
      <c r="F76" s="1916">
        <v>3.0999999999999999E-3</v>
      </c>
      <c r="G76" s="1914">
        <f t="shared" si="10"/>
        <v>0</v>
      </c>
      <c r="H76" s="1915">
        <f t="shared" si="11"/>
        <v>0</v>
      </c>
    </row>
    <row r="77" spans="1:8">
      <c r="A77" s="1925">
        <f t="shared" si="9"/>
        <v>72</v>
      </c>
      <c r="B77" s="3242"/>
      <c r="C77" s="1911" t="s">
        <v>49</v>
      </c>
      <c r="D77" s="1912"/>
      <c r="E77" s="1912"/>
      <c r="F77" s="1916">
        <v>6.1999999999999998E-3</v>
      </c>
      <c r="G77" s="1914">
        <f t="shared" si="10"/>
        <v>0</v>
      </c>
      <c r="H77" s="1915">
        <f t="shared" si="11"/>
        <v>0</v>
      </c>
    </row>
    <row r="78" spans="1:8">
      <c r="A78" s="1925">
        <f t="shared" si="9"/>
        <v>73</v>
      </c>
      <c r="B78" s="3242"/>
      <c r="C78" s="1911" t="s">
        <v>50</v>
      </c>
      <c r="D78" s="1912"/>
      <c r="E78" s="1912"/>
      <c r="F78" s="1916">
        <v>7.3999999999999995E-3</v>
      </c>
      <c r="G78" s="1914">
        <f t="shared" si="10"/>
        <v>0</v>
      </c>
      <c r="H78" s="1915">
        <f t="shared" si="11"/>
        <v>0</v>
      </c>
    </row>
    <row r="79" spans="1:8">
      <c r="A79" s="1925">
        <f t="shared" si="9"/>
        <v>74</v>
      </c>
      <c r="B79" s="3242"/>
      <c r="C79" s="1911" t="s">
        <v>51</v>
      </c>
      <c r="D79" s="1912"/>
      <c r="E79" s="1912"/>
      <c r="F79" s="1916">
        <v>8.6E-3</v>
      </c>
      <c r="G79" s="1914">
        <f t="shared" si="10"/>
        <v>0</v>
      </c>
      <c r="H79" s="1915">
        <f t="shared" si="11"/>
        <v>0</v>
      </c>
    </row>
    <row r="80" spans="1:8">
      <c r="A80" s="1925">
        <f t="shared" si="9"/>
        <v>75</v>
      </c>
      <c r="B80" s="3242"/>
      <c r="C80" s="1911" t="s">
        <v>52</v>
      </c>
      <c r="D80" s="1912"/>
      <c r="E80" s="1912"/>
      <c r="F80" s="1916">
        <v>9.7999999999999997E-3</v>
      </c>
      <c r="G80" s="1914">
        <f t="shared" si="10"/>
        <v>0</v>
      </c>
      <c r="H80" s="1915">
        <f t="shared" si="11"/>
        <v>0</v>
      </c>
    </row>
    <row r="81" spans="1:8">
      <c r="A81" s="1925">
        <f t="shared" si="9"/>
        <v>76</v>
      </c>
      <c r="B81" s="3242"/>
      <c r="C81" s="1911" t="s">
        <v>53</v>
      </c>
      <c r="D81" s="1912"/>
      <c r="E81" s="1912"/>
      <c r="F81" s="1916">
        <v>1.8033333333333332E-2</v>
      </c>
      <c r="G81" s="1914">
        <f t="shared" si="10"/>
        <v>0</v>
      </c>
      <c r="H81" s="1915">
        <f t="shared" si="11"/>
        <v>0</v>
      </c>
    </row>
    <row r="82" spans="1:8">
      <c r="A82" s="1925">
        <f t="shared" si="9"/>
        <v>77</v>
      </c>
      <c r="B82" s="3242"/>
      <c r="C82" s="1911" t="s">
        <v>54</v>
      </c>
      <c r="D82" s="1912"/>
      <c r="E82" s="1912"/>
      <c r="F82" s="1916">
        <v>2.6266666666666667E-2</v>
      </c>
      <c r="G82" s="1914">
        <f t="shared" si="10"/>
        <v>0</v>
      </c>
      <c r="H82" s="1915">
        <f t="shared" si="11"/>
        <v>0</v>
      </c>
    </row>
    <row r="83" spans="1:8">
      <c r="A83" s="1925">
        <f t="shared" si="9"/>
        <v>78</v>
      </c>
      <c r="B83" s="3242"/>
      <c r="C83" s="1911" t="s">
        <v>55</v>
      </c>
      <c r="D83" s="1912"/>
      <c r="E83" s="1912"/>
      <c r="F83" s="1916">
        <v>3.4500000000000003E-2</v>
      </c>
      <c r="G83" s="1914">
        <f t="shared" si="10"/>
        <v>0</v>
      </c>
      <c r="H83" s="1915">
        <f t="shared" si="11"/>
        <v>0</v>
      </c>
    </row>
    <row r="84" spans="1:8">
      <c r="A84" s="1925">
        <f t="shared" si="9"/>
        <v>79</v>
      </c>
      <c r="B84" s="3242"/>
      <c r="C84" s="1911" t="s">
        <v>550</v>
      </c>
      <c r="D84" s="1912"/>
      <c r="E84" s="1912"/>
      <c r="F84" s="1916">
        <v>4.8000000000000001E-2</v>
      </c>
      <c r="G84" s="1914">
        <f t="shared" si="10"/>
        <v>0</v>
      </c>
      <c r="H84" s="1915">
        <f t="shared" si="11"/>
        <v>0</v>
      </c>
    </row>
    <row r="85" spans="1:8">
      <c r="A85" s="1925">
        <f t="shared" si="9"/>
        <v>80</v>
      </c>
      <c r="B85" s="3242"/>
      <c r="C85" s="1911" t="s">
        <v>56</v>
      </c>
      <c r="D85" s="1912"/>
      <c r="E85" s="1912"/>
      <c r="F85" s="1916">
        <v>6.1499999999999999E-2</v>
      </c>
      <c r="G85" s="1914">
        <f t="shared" si="10"/>
        <v>0</v>
      </c>
      <c r="H85" s="1915">
        <f t="shared" si="11"/>
        <v>0</v>
      </c>
    </row>
    <row r="86" spans="1:8">
      <c r="A86" s="1925">
        <f t="shared" si="9"/>
        <v>81</v>
      </c>
      <c r="B86" s="3242"/>
      <c r="C86" s="1911" t="s">
        <v>57</v>
      </c>
      <c r="D86" s="1912"/>
      <c r="E86" s="1912"/>
      <c r="F86" s="1916">
        <v>7.4999999999999997E-2</v>
      </c>
      <c r="G86" s="1914">
        <f t="shared" si="10"/>
        <v>0</v>
      </c>
      <c r="H86" s="1915">
        <f t="shared" si="11"/>
        <v>0</v>
      </c>
    </row>
    <row r="87" spans="1:8">
      <c r="A87" s="1925">
        <f t="shared" si="9"/>
        <v>82</v>
      </c>
      <c r="B87" s="3242"/>
      <c r="C87" s="1911" t="s">
        <v>58</v>
      </c>
      <c r="D87" s="1912"/>
      <c r="E87" s="1912"/>
      <c r="F87" s="1916">
        <v>0.1075</v>
      </c>
      <c r="G87" s="1914">
        <f t="shared" si="10"/>
        <v>0</v>
      </c>
      <c r="H87" s="1915">
        <f t="shared" si="11"/>
        <v>0</v>
      </c>
    </row>
    <row r="88" spans="1:8">
      <c r="A88" s="1925">
        <f t="shared" si="9"/>
        <v>83</v>
      </c>
      <c r="B88" s="3242"/>
      <c r="C88" s="1911" t="s">
        <v>59</v>
      </c>
      <c r="D88" s="1912"/>
      <c r="E88" s="1912"/>
      <c r="F88" s="1916">
        <v>0.14000000000000001</v>
      </c>
      <c r="G88" s="1914">
        <f t="shared" si="10"/>
        <v>0</v>
      </c>
      <c r="H88" s="1915">
        <f t="shared" si="11"/>
        <v>0</v>
      </c>
    </row>
    <row r="89" spans="1:8">
      <c r="A89" s="1925">
        <f t="shared" si="9"/>
        <v>84</v>
      </c>
      <c r="B89" s="3242"/>
      <c r="C89" s="1911" t="s">
        <v>60</v>
      </c>
      <c r="D89" s="1912"/>
      <c r="E89" s="1912"/>
      <c r="F89" s="1916">
        <v>0.17249999999999999</v>
      </c>
      <c r="G89" s="1914">
        <f t="shared" si="10"/>
        <v>0</v>
      </c>
      <c r="H89" s="1915">
        <f t="shared" si="11"/>
        <v>0</v>
      </c>
    </row>
    <row r="90" spans="1:8">
      <c r="A90" s="1925">
        <f t="shared" si="9"/>
        <v>85</v>
      </c>
      <c r="B90" s="3242"/>
      <c r="C90" s="1911" t="s">
        <v>61</v>
      </c>
      <c r="D90" s="1912"/>
      <c r="E90" s="1912"/>
      <c r="F90" s="1916">
        <v>0.2112</v>
      </c>
      <c r="G90" s="1914">
        <f t="shared" si="10"/>
        <v>0</v>
      </c>
      <c r="H90" s="1915">
        <f t="shared" si="11"/>
        <v>0</v>
      </c>
    </row>
    <row r="91" spans="1:8">
      <c r="A91" s="1925">
        <f t="shared" si="9"/>
        <v>86</v>
      </c>
      <c r="B91" s="3242"/>
      <c r="C91" s="1911" t="s">
        <v>62</v>
      </c>
      <c r="D91" s="1912"/>
      <c r="E91" s="1912"/>
      <c r="F91" s="1916">
        <v>0.25</v>
      </c>
      <c r="G91" s="1914">
        <f t="shared" si="10"/>
        <v>0</v>
      </c>
      <c r="H91" s="1915">
        <f t="shared" si="11"/>
        <v>0</v>
      </c>
    </row>
    <row r="92" spans="1:8">
      <c r="A92" s="1925">
        <f t="shared" si="9"/>
        <v>87</v>
      </c>
      <c r="B92" s="3243"/>
      <c r="C92" s="1917" t="s">
        <v>552</v>
      </c>
      <c r="D92" s="1918"/>
      <c r="E92" s="1918"/>
      <c r="F92" s="1919">
        <v>0.28870000000000001</v>
      </c>
      <c r="G92" s="1920">
        <f t="shared" si="10"/>
        <v>0</v>
      </c>
      <c r="H92" s="1921">
        <f t="shared" si="11"/>
        <v>0</v>
      </c>
    </row>
    <row r="93" spans="1:8">
      <c r="A93" s="1930">
        <f t="shared" si="9"/>
        <v>88</v>
      </c>
      <c r="B93" s="3244" t="s">
        <v>4928</v>
      </c>
      <c r="C93" s="3244"/>
      <c r="D93" s="1874">
        <f>SUM(D72:D92)</f>
        <v>0</v>
      </c>
      <c r="E93" s="1874">
        <f>SUM(E72:E92)</f>
        <v>0</v>
      </c>
      <c r="F93" s="1927"/>
      <c r="G93" s="1874">
        <f>SUM(G72:G92)</f>
        <v>0</v>
      </c>
      <c r="H93" s="1876">
        <f>SUM(H72:H92)</f>
        <v>0</v>
      </c>
    </row>
    <row r="94" spans="1:8">
      <c r="A94" s="1925">
        <f t="shared" si="9"/>
        <v>89</v>
      </c>
      <c r="B94" s="3241" t="s">
        <v>4929</v>
      </c>
      <c r="C94" s="1905" t="s">
        <v>44</v>
      </c>
      <c r="D94" s="1929"/>
      <c r="E94" s="1929"/>
      <c r="F94" s="1907">
        <v>0</v>
      </c>
      <c r="G94" s="1908">
        <f t="shared" ref="G94:G114" si="12">D94*F94</f>
        <v>0</v>
      </c>
      <c r="H94" s="1909">
        <f t="shared" ref="H94:H114" si="13">E94*F94</f>
        <v>0</v>
      </c>
    </row>
    <row r="95" spans="1:8">
      <c r="A95" s="1925">
        <f t="shared" si="9"/>
        <v>90</v>
      </c>
      <c r="B95" s="3242"/>
      <c r="C95" s="1911" t="s">
        <v>45</v>
      </c>
      <c r="D95" s="1912"/>
      <c r="E95" s="1912"/>
      <c r="F95" s="1913">
        <v>0</v>
      </c>
      <c r="G95" s="1914">
        <f t="shared" si="12"/>
        <v>0</v>
      </c>
      <c r="H95" s="1915">
        <f t="shared" si="13"/>
        <v>0</v>
      </c>
    </row>
    <row r="96" spans="1:8">
      <c r="A96" s="1925">
        <f t="shared" si="9"/>
        <v>91</v>
      </c>
      <c r="B96" s="3242"/>
      <c r="C96" s="1911" t="s">
        <v>46</v>
      </c>
      <c r="D96" s="1912"/>
      <c r="E96" s="1912"/>
      <c r="F96" s="1913">
        <v>0</v>
      </c>
      <c r="G96" s="1914">
        <f t="shared" si="12"/>
        <v>0</v>
      </c>
      <c r="H96" s="1915">
        <f t="shared" si="13"/>
        <v>0</v>
      </c>
    </row>
    <row r="97" spans="1:8">
      <c r="A97" s="1925">
        <f t="shared" si="9"/>
        <v>92</v>
      </c>
      <c r="B97" s="3242"/>
      <c r="C97" s="1911" t="s">
        <v>47</v>
      </c>
      <c r="D97" s="1912"/>
      <c r="E97" s="1912"/>
      <c r="F97" s="1913">
        <v>0</v>
      </c>
      <c r="G97" s="1914">
        <f t="shared" si="12"/>
        <v>0</v>
      </c>
      <c r="H97" s="1915">
        <f t="shared" si="13"/>
        <v>0</v>
      </c>
    </row>
    <row r="98" spans="1:8">
      <c r="A98" s="1925">
        <f t="shared" si="9"/>
        <v>93</v>
      </c>
      <c r="B98" s="3242"/>
      <c r="C98" s="1911" t="s">
        <v>48</v>
      </c>
      <c r="D98" s="1912"/>
      <c r="E98" s="1912"/>
      <c r="F98" s="1916">
        <v>3.0999999999999999E-3</v>
      </c>
      <c r="G98" s="1914">
        <f t="shared" si="12"/>
        <v>0</v>
      </c>
      <c r="H98" s="1915">
        <f t="shared" si="13"/>
        <v>0</v>
      </c>
    </row>
    <row r="99" spans="1:8">
      <c r="A99" s="1925">
        <f t="shared" si="9"/>
        <v>94</v>
      </c>
      <c r="B99" s="3242"/>
      <c r="C99" s="1911" t="s">
        <v>49</v>
      </c>
      <c r="D99" s="1912"/>
      <c r="E99" s="1912"/>
      <c r="F99" s="1916">
        <v>6.1999999999999998E-3</v>
      </c>
      <c r="G99" s="1914">
        <f t="shared" si="12"/>
        <v>0</v>
      </c>
      <c r="H99" s="1915">
        <f t="shared" si="13"/>
        <v>0</v>
      </c>
    </row>
    <row r="100" spans="1:8">
      <c r="A100" s="1925">
        <f t="shared" si="9"/>
        <v>95</v>
      </c>
      <c r="B100" s="3242"/>
      <c r="C100" s="1911" t="s">
        <v>50</v>
      </c>
      <c r="D100" s="1912"/>
      <c r="E100" s="1912"/>
      <c r="F100" s="1916">
        <v>7.3999999999999995E-3</v>
      </c>
      <c r="G100" s="1914">
        <f t="shared" si="12"/>
        <v>0</v>
      </c>
      <c r="H100" s="1915">
        <f t="shared" si="13"/>
        <v>0</v>
      </c>
    </row>
    <row r="101" spans="1:8">
      <c r="A101" s="1925">
        <f t="shared" si="9"/>
        <v>96</v>
      </c>
      <c r="B101" s="3242"/>
      <c r="C101" s="1911" t="s">
        <v>51</v>
      </c>
      <c r="D101" s="1912"/>
      <c r="E101" s="1912"/>
      <c r="F101" s="1916">
        <v>8.6E-3</v>
      </c>
      <c r="G101" s="1914">
        <f t="shared" si="12"/>
        <v>0</v>
      </c>
      <c r="H101" s="1915">
        <f t="shared" si="13"/>
        <v>0</v>
      </c>
    </row>
    <row r="102" spans="1:8">
      <c r="A102" s="1925">
        <f t="shared" si="9"/>
        <v>97</v>
      </c>
      <c r="B102" s="3242"/>
      <c r="C102" s="1911" t="s">
        <v>52</v>
      </c>
      <c r="D102" s="1912"/>
      <c r="E102" s="1912"/>
      <c r="F102" s="1916">
        <v>9.7999999999999997E-3</v>
      </c>
      <c r="G102" s="1914">
        <f t="shared" si="12"/>
        <v>0</v>
      </c>
      <c r="H102" s="1915">
        <f t="shared" si="13"/>
        <v>0</v>
      </c>
    </row>
    <row r="103" spans="1:8">
      <c r="A103" s="1925">
        <f t="shared" ref="A103:A115" si="14">A102+1</f>
        <v>98</v>
      </c>
      <c r="B103" s="3242"/>
      <c r="C103" s="1911" t="s">
        <v>53</v>
      </c>
      <c r="D103" s="1912"/>
      <c r="E103" s="1912"/>
      <c r="F103" s="1916">
        <v>1.8033333333333332E-2</v>
      </c>
      <c r="G103" s="1914">
        <f t="shared" si="12"/>
        <v>0</v>
      </c>
      <c r="H103" s="1915">
        <f t="shared" si="13"/>
        <v>0</v>
      </c>
    </row>
    <row r="104" spans="1:8">
      <c r="A104" s="1925">
        <f t="shared" si="14"/>
        <v>99</v>
      </c>
      <c r="B104" s="3242"/>
      <c r="C104" s="1911" t="s">
        <v>54</v>
      </c>
      <c r="D104" s="1912"/>
      <c r="E104" s="1912"/>
      <c r="F104" s="1916">
        <v>2.6266666666666667E-2</v>
      </c>
      <c r="G104" s="1914">
        <f t="shared" si="12"/>
        <v>0</v>
      </c>
      <c r="H104" s="1915">
        <f t="shared" si="13"/>
        <v>0</v>
      </c>
    </row>
    <row r="105" spans="1:8">
      <c r="A105" s="1925">
        <f t="shared" si="14"/>
        <v>100</v>
      </c>
      <c r="B105" s="3242"/>
      <c r="C105" s="1911" t="s">
        <v>55</v>
      </c>
      <c r="D105" s="1912"/>
      <c r="E105" s="1912"/>
      <c r="F105" s="1916">
        <v>3.4500000000000003E-2</v>
      </c>
      <c r="G105" s="1914">
        <f t="shared" si="12"/>
        <v>0</v>
      </c>
      <c r="H105" s="1915">
        <f t="shared" si="13"/>
        <v>0</v>
      </c>
    </row>
    <row r="106" spans="1:8">
      <c r="A106" s="1925">
        <f t="shared" si="14"/>
        <v>101</v>
      </c>
      <c r="B106" s="3242"/>
      <c r="C106" s="1911" t="s">
        <v>550</v>
      </c>
      <c r="D106" s="1912"/>
      <c r="E106" s="1912"/>
      <c r="F106" s="1916">
        <v>4.8000000000000001E-2</v>
      </c>
      <c r="G106" s="1914">
        <f t="shared" si="12"/>
        <v>0</v>
      </c>
      <c r="H106" s="1915">
        <f t="shared" si="13"/>
        <v>0</v>
      </c>
    </row>
    <row r="107" spans="1:8">
      <c r="A107" s="1925">
        <f t="shared" si="14"/>
        <v>102</v>
      </c>
      <c r="B107" s="3242"/>
      <c r="C107" s="1911" t="s">
        <v>56</v>
      </c>
      <c r="D107" s="1912"/>
      <c r="E107" s="1912"/>
      <c r="F107" s="1916">
        <v>6.1499999999999999E-2</v>
      </c>
      <c r="G107" s="1914">
        <f t="shared" si="12"/>
        <v>0</v>
      </c>
      <c r="H107" s="1915">
        <f t="shared" si="13"/>
        <v>0</v>
      </c>
    </row>
    <row r="108" spans="1:8">
      <c r="A108" s="1925">
        <f t="shared" si="14"/>
        <v>103</v>
      </c>
      <c r="B108" s="3242"/>
      <c r="C108" s="1911" t="s">
        <v>57</v>
      </c>
      <c r="D108" s="1912"/>
      <c r="E108" s="1912"/>
      <c r="F108" s="1916">
        <v>7.4999999999999997E-2</v>
      </c>
      <c r="G108" s="1914">
        <f t="shared" si="12"/>
        <v>0</v>
      </c>
      <c r="H108" s="1915">
        <f t="shared" si="13"/>
        <v>0</v>
      </c>
    </row>
    <row r="109" spans="1:8">
      <c r="A109" s="1925">
        <f t="shared" si="14"/>
        <v>104</v>
      </c>
      <c r="B109" s="3242"/>
      <c r="C109" s="1911" t="s">
        <v>58</v>
      </c>
      <c r="D109" s="1912"/>
      <c r="E109" s="1912"/>
      <c r="F109" s="1916">
        <v>0.1075</v>
      </c>
      <c r="G109" s="1914">
        <f t="shared" si="12"/>
        <v>0</v>
      </c>
      <c r="H109" s="1915">
        <f t="shared" si="13"/>
        <v>0</v>
      </c>
    </row>
    <row r="110" spans="1:8">
      <c r="A110" s="1925">
        <f t="shared" si="14"/>
        <v>105</v>
      </c>
      <c r="B110" s="3242"/>
      <c r="C110" s="1911" t="s">
        <v>59</v>
      </c>
      <c r="D110" s="1912"/>
      <c r="E110" s="1912"/>
      <c r="F110" s="1916">
        <v>0.14000000000000001</v>
      </c>
      <c r="G110" s="1914">
        <f t="shared" si="12"/>
        <v>0</v>
      </c>
      <c r="H110" s="1915">
        <f t="shared" si="13"/>
        <v>0</v>
      </c>
    </row>
    <row r="111" spans="1:8">
      <c r="A111" s="1925">
        <f t="shared" si="14"/>
        <v>106</v>
      </c>
      <c r="B111" s="3242"/>
      <c r="C111" s="1911" t="s">
        <v>60</v>
      </c>
      <c r="D111" s="1912"/>
      <c r="E111" s="1912"/>
      <c r="F111" s="1916">
        <v>0.17249999999999999</v>
      </c>
      <c r="G111" s="1914">
        <f t="shared" si="12"/>
        <v>0</v>
      </c>
      <c r="H111" s="1915">
        <f t="shared" si="13"/>
        <v>0</v>
      </c>
    </row>
    <row r="112" spans="1:8">
      <c r="A112" s="1925">
        <f t="shared" si="14"/>
        <v>107</v>
      </c>
      <c r="B112" s="3242"/>
      <c r="C112" s="1911" t="s">
        <v>61</v>
      </c>
      <c r="D112" s="1912"/>
      <c r="E112" s="1912"/>
      <c r="F112" s="1916">
        <v>0.2112</v>
      </c>
      <c r="G112" s="1914">
        <f t="shared" si="12"/>
        <v>0</v>
      </c>
      <c r="H112" s="1915">
        <f t="shared" si="13"/>
        <v>0</v>
      </c>
    </row>
    <row r="113" spans="1:8">
      <c r="A113" s="1925">
        <f t="shared" si="14"/>
        <v>108</v>
      </c>
      <c r="B113" s="3242"/>
      <c r="C113" s="1911" t="s">
        <v>62</v>
      </c>
      <c r="D113" s="1912"/>
      <c r="E113" s="1912"/>
      <c r="F113" s="1916">
        <v>0.25</v>
      </c>
      <c r="G113" s="1914">
        <f t="shared" si="12"/>
        <v>0</v>
      </c>
      <c r="H113" s="1915">
        <f t="shared" si="13"/>
        <v>0</v>
      </c>
    </row>
    <row r="114" spans="1:8">
      <c r="A114" s="1925">
        <f t="shared" si="14"/>
        <v>109</v>
      </c>
      <c r="B114" s="3247"/>
      <c r="C114" s="1931" t="s">
        <v>552</v>
      </c>
      <c r="D114" s="1932"/>
      <c r="E114" s="1932"/>
      <c r="F114" s="1933">
        <v>0.28870000000000001</v>
      </c>
      <c r="G114" s="1934">
        <f t="shared" si="12"/>
        <v>0</v>
      </c>
      <c r="H114" s="1935">
        <f t="shared" si="13"/>
        <v>0</v>
      </c>
    </row>
    <row r="115" spans="1:8" ht="16.5" thickBot="1">
      <c r="A115" s="1936">
        <f t="shared" si="14"/>
        <v>110</v>
      </c>
      <c r="B115" s="3235" t="s">
        <v>4930</v>
      </c>
      <c r="C115" s="3235"/>
      <c r="D115" s="1887">
        <f>SUM(D94:D114)</f>
        <v>0</v>
      </c>
      <c r="E115" s="1887">
        <f>SUM(E94:E114)</f>
        <v>0</v>
      </c>
      <c r="F115" s="1937"/>
      <c r="G115" s="1938">
        <f>SUM(G94:G114)</f>
        <v>0</v>
      </c>
      <c r="H115" s="1939">
        <f>SUM(H94:H114)</f>
        <v>0</v>
      </c>
    </row>
    <row r="117" spans="1:8" ht="16.5">
      <c r="A117" s="1940" t="s">
        <v>4931</v>
      </c>
      <c r="B117" s="1844" t="s">
        <v>8468</v>
      </c>
    </row>
    <row r="118" spans="1:8" ht="16.5">
      <c r="A118" s="2704" t="s">
        <v>8469</v>
      </c>
      <c r="B118" s="2705" t="s">
        <v>8470</v>
      </c>
    </row>
    <row r="119" spans="1:8" ht="16.5">
      <c r="A119" s="2704" t="s">
        <v>8471</v>
      </c>
      <c r="B119" s="1844" t="s">
        <v>4932</v>
      </c>
      <c r="H119" s="1941" t="str">
        <f>IF(AND(+D27-'表05-1'!G114=0,E27-'表05-1'!G144=0),"","註4檢核錯誤")</f>
        <v/>
      </c>
    </row>
    <row r="120" spans="1:8" ht="16.5">
      <c r="A120" s="2704" t="s">
        <v>8472</v>
      </c>
      <c r="B120" s="1844" t="s">
        <v>4933</v>
      </c>
      <c r="H120" s="1942" t="str">
        <f>IF(D49-('表05-1'!G115+'表05-1'!G117)=0,"","註5檢核錯誤")</f>
        <v/>
      </c>
    </row>
    <row r="121" spans="1:8" ht="16.5">
      <c r="A121" s="2704" t="s">
        <v>8473</v>
      </c>
      <c r="B121" s="1844" t="s">
        <v>4934</v>
      </c>
      <c r="H121" s="1942" t="str">
        <f>IF(E49-('表05-1'!G145+'表05-1'!G147)=0,"","註6檢核錯誤")</f>
        <v/>
      </c>
    </row>
    <row r="122" spans="1:8" ht="16.5">
      <c r="A122" s="2704" t="s">
        <v>8474</v>
      </c>
      <c r="B122" s="1844" t="s">
        <v>4935</v>
      </c>
      <c r="H122" s="1943" t="str">
        <f>IF(AND(D71-'表05-1'!G116=0,E71-'表05-1'!G146=0),"","註7檢核錯誤")</f>
        <v/>
      </c>
    </row>
    <row r="123" spans="1:8" ht="16.5">
      <c r="A123" s="2704" t="s">
        <v>8475</v>
      </c>
      <c r="B123" s="1844" t="s">
        <v>4936</v>
      </c>
      <c r="H123" s="1942" t="str">
        <f>IF(AND(D93-'表05-1'!G119=0,E93-'表05-1'!G149=0),"","註8檢核錯誤")</f>
        <v/>
      </c>
    </row>
    <row r="124" spans="1:8" ht="16.5">
      <c r="A124" s="2704" t="s">
        <v>8476</v>
      </c>
      <c r="B124" s="1844" t="s">
        <v>4937</v>
      </c>
      <c r="H124" s="1944" t="str">
        <f>IF(+D115-'表10-4'!G46=0,"","註9檢核錯誤")</f>
        <v/>
      </c>
    </row>
    <row r="125" spans="1:8" ht="16.5">
      <c r="A125" s="2704" t="s">
        <v>8477</v>
      </c>
      <c r="B125" s="1844" t="s">
        <v>4938</v>
      </c>
      <c r="H125" s="1944" t="str">
        <f>IF(+E115-'表10-4'!G54=0,"","註10檢核錯誤")</f>
        <v/>
      </c>
    </row>
    <row r="126" spans="1:8" ht="16.5">
      <c r="A126" s="2704" t="s">
        <v>8478</v>
      </c>
      <c r="B126" s="1844" t="s">
        <v>4815</v>
      </c>
    </row>
    <row r="127" spans="1:8" ht="16.5">
      <c r="A127" s="2704" t="s">
        <v>8479</v>
      </c>
      <c r="B127" s="2705" t="s">
        <v>8481</v>
      </c>
    </row>
    <row r="128" spans="1:8" ht="16.5">
      <c r="A128" s="2704" t="s">
        <v>8480</v>
      </c>
      <c r="B128" s="1844" t="s">
        <v>8482</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2"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9" activePane="bottomRight" state="frozen"/>
      <selection pane="topRight"/>
      <selection pane="bottomLeft"/>
      <selection pane="bottomRight"/>
    </sheetView>
  </sheetViews>
  <sheetFormatPr defaultColWidth="9" defaultRowHeight="12.75"/>
  <cols>
    <col min="1" max="1" width="5.125" style="1759" customWidth="1"/>
    <col min="2" max="2" width="3.625" style="1759" customWidth="1"/>
    <col min="3" max="3" width="2.625" style="1759" customWidth="1"/>
    <col min="4" max="4" width="20.5" style="1759" customWidth="1"/>
    <col min="5" max="22" width="7.875" style="1759" customWidth="1"/>
    <col min="23" max="23" width="8.375" style="1759" customWidth="1"/>
    <col min="24" max="24" width="5" style="1759" customWidth="1"/>
    <col min="25" max="25" width="11.125" style="1759" customWidth="1"/>
    <col min="26" max="26" width="6.875" style="1759" customWidth="1"/>
    <col min="27" max="27" width="11.25" style="1759" customWidth="1"/>
    <col min="28" max="28" width="7.125" style="1759" customWidth="1"/>
    <col min="29" max="29" width="11.75" style="1759" customWidth="1"/>
    <col min="30" max="31" width="7.625" style="1759" customWidth="1"/>
    <col min="32" max="32" width="7" style="1759" customWidth="1"/>
    <col min="33" max="33" width="7.125" style="1759" customWidth="1"/>
    <col min="34" max="34" width="6.875" style="1759" customWidth="1"/>
    <col min="35" max="35" width="7.125" style="1759" customWidth="1"/>
    <col min="36" max="36" width="9.5" style="1759" customWidth="1"/>
    <col min="37" max="37" width="11.25" style="1759" customWidth="1"/>
    <col min="38" max="38" width="12.125" style="1759" customWidth="1"/>
    <col min="39" max="39" width="12" style="1759" customWidth="1"/>
    <col min="40" max="40" width="5" style="1759" bestFit="1" customWidth="1"/>
    <col min="41" max="16384" width="9" style="1759"/>
  </cols>
  <sheetData>
    <row r="1" spans="1:40" s="65" customFormat="1" ht="16.5">
      <c r="A1" s="2186" t="str">
        <f>+封面!A3&amp;" "&amp;封面!A2</f>
        <v xml:space="preserve"> 中央再保險股份有限公司 年度檢查報表</v>
      </c>
      <c r="B1" s="64"/>
      <c r="C1" s="64"/>
      <c r="D1" s="64"/>
      <c r="E1" s="64"/>
      <c r="F1" s="64"/>
      <c r="G1" s="64"/>
      <c r="H1" s="64"/>
      <c r="I1" s="64"/>
      <c r="J1" s="64"/>
      <c r="K1" s="64"/>
      <c r="L1" s="64"/>
      <c r="M1" s="64"/>
      <c r="N1" s="64"/>
      <c r="O1" s="64"/>
    </row>
    <row r="2" spans="1:40" s="65" customFormat="1" ht="14.25">
      <c r="A2" s="65" t="s">
        <v>4714</v>
      </c>
      <c r="AE2" s="1755" t="s">
        <v>4715</v>
      </c>
    </row>
    <row r="3" spans="1:40" ht="13.9" customHeight="1">
      <c r="A3" s="2837" t="s">
        <v>3641</v>
      </c>
      <c r="B3" s="2840" t="s">
        <v>4716</v>
      </c>
      <c r="C3" s="2841"/>
      <c r="D3" s="2842"/>
      <c r="E3" s="1756" t="s">
        <v>4717</v>
      </c>
      <c r="F3" s="1756"/>
      <c r="G3" s="1756"/>
      <c r="H3" s="1756"/>
      <c r="I3" s="1756"/>
      <c r="J3" s="1756"/>
      <c r="K3" s="1756"/>
      <c r="L3" s="1756"/>
      <c r="M3" s="1756"/>
      <c r="N3" s="1756"/>
      <c r="O3" s="1756"/>
      <c r="P3" s="1756"/>
      <c r="Q3" s="1756" t="s">
        <v>4718</v>
      </c>
      <c r="R3" s="1756"/>
      <c r="S3" s="1756"/>
      <c r="T3" s="1756"/>
      <c r="U3" s="1756"/>
      <c r="V3" s="1757" t="s">
        <v>4719</v>
      </c>
      <c r="W3" s="2834" t="s">
        <v>4720</v>
      </c>
      <c r="X3" s="1758"/>
      <c r="Y3" s="2831" t="s">
        <v>4721</v>
      </c>
      <c r="Z3" s="2832"/>
      <c r="AA3" s="2831" t="s">
        <v>4722</v>
      </c>
      <c r="AB3" s="2832"/>
      <c r="AC3" s="2829" t="s">
        <v>4723</v>
      </c>
      <c r="AD3" s="2830"/>
      <c r="AE3" s="2829" t="s">
        <v>4724</v>
      </c>
      <c r="AF3" s="2833"/>
      <c r="AG3" s="2833"/>
      <c r="AH3" s="2833"/>
      <c r="AI3" s="2830"/>
      <c r="AJ3" s="2831" t="s">
        <v>4725</v>
      </c>
      <c r="AK3" s="2836"/>
      <c r="AL3" s="2836"/>
      <c r="AM3" s="2832"/>
      <c r="AN3" s="2827" t="s">
        <v>4726</v>
      </c>
    </row>
    <row r="4" spans="1:40" ht="138.4" customHeight="1">
      <c r="A4" s="2838"/>
      <c r="B4" s="2843"/>
      <c r="C4" s="2844"/>
      <c r="D4" s="2845"/>
      <c r="E4" s="1760" t="s">
        <v>4727</v>
      </c>
      <c r="F4" s="1760" t="s">
        <v>4728</v>
      </c>
      <c r="G4" s="1760" t="s">
        <v>4729</v>
      </c>
      <c r="H4" s="1760" t="s">
        <v>4730</v>
      </c>
      <c r="I4" s="1760" t="s">
        <v>4731</v>
      </c>
      <c r="J4" s="1760" t="s">
        <v>4732</v>
      </c>
      <c r="K4" s="1760" t="s">
        <v>4733</v>
      </c>
      <c r="L4" s="1760" t="s">
        <v>4734</v>
      </c>
      <c r="M4" s="1760" t="s">
        <v>4735</v>
      </c>
      <c r="N4" s="1760" t="s">
        <v>4736</v>
      </c>
      <c r="O4" s="1760" t="s">
        <v>4737</v>
      </c>
      <c r="P4" s="1760" t="s">
        <v>4738</v>
      </c>
      <c r="Q4" s="1760" t="s">
        <v>4739</v>
      </c>
      <c r="R4" s="1760" t="s">
        <v>4740</v>
      </c>
      <c r="S4" s="1760" t="s">
        <v>4741</v>
      </c>
      <c r="T4" s="1760" t="s">
        <v>4742</v>
      </c>
      <c r="U4" s="1760" t="s">
        <v>4743</v>
      </c>
      <c r="V4" s="478" t="s">
        <v>4744</v>
      </c>
      <c r="W4" s="2835"/>
      <c r="X4" s="1760" t="s">
        <v>4745</v>
      </c>
      <c r="Y4" s="1761" t="s">
        <v>4746</v>
      </c>
      <c r="Z4" s="1761" t="s">
        <v>446</v>
      </c>
      <c r="AA4" s="1761" t="s">
        <v>4746</v>
      </c>
      <c r="AB4" s="1761" t="s">
        <v>446</v>
      </c>
      <c r="AC4" s="1761" t="s">
        <v>4746</v>
      </c>
      <c r="AD4" s="1761" t="s">
        <v>446</v>
      </c>
      <c r="AE4" s="1761" t="s">
        <v>4747</v>
      </c>
      <c r="AF4" s="1761" t="s">
        <v>4748</v>
      </c>
      <c r="AG4" s="1761" t="s">
        <v>4748</v>
      </c>
      <c r="AH4" s="1761" t="s">
        <v>4748</v>
      </c>
      <c r="AI4" s="1761" t="s">
        <v>4748</v>
      </c>
      <c r="AJ4" s="1760" t="s">
        <v>4749</v>
      </c>
      <c r="AK4" s="1760" t="s">
        <v>4750</v>
      </c>
      <c r="AL4" s="1760" t="s">
        <v>4751</v>
      </c>
      <c r="AM4" s="1760" t="s">
        <v>4752</v>
      </c>
      <c r="AN4" s="2828"/>
    </row>
    <row r="5" spans="1:40" ht="25.5" customHeight="1">
      <c r="A5" s="2839"/>
      <c r="B5" s="2846" t="s">
        <v>447</v>
      </c>
      <c r="C5" s="2847"/>
      <c r="D5" s="2848"/>
      <c r="E5" s="1762" t="s">
        <v>67</v>
      </c>
      <c r="F5" s="1762" t="s">
        <v>68</v>
      </c>
      <c r="G5" s="1762" t="s">
        <v>69</v>
      </c>
      <c r="H5" s="1762" t="s">
        <v>70</v>
      </c>
      <c r="I5" s="1762" t="s">
        <v>71</v>
      </c>
      <c r="J5" s="1762" t="s">
        <v>72</v>
      </c>
      <c r="K5" s="1762" t="s">
        <v>73</v>
      </c>
      <c r="L5" s="1762" t="s">
        <v>74</v>
      </c>
      <c r="M5" s="1762" t="s">
        <v>75</v>
      </c>
      <c r="N5" s="1762" t="s">
        <v>225</v>
      </c>
      <c r="O5" s="1762" t="s">
        <v>226</v>
      </c>
      <c r="P5" s="1762" t="s">
        <v>274</v>
      </c>
      <c r="Q5" s="1762" t="s">
        <v>275</v>
      </c>
      <c r="R5" s="1762" t="s">
        <v>276</v>
      </c>
      <c r="S5" s="1762" t="s">
        <v>277</v>
      </c>
      <c r="T5" s="1762" t="s">
        <v>278</v>
      </c>
      <c r="U5" s="1762" t="s">
        <v>138</v>
      </c>
      <c r="V5" s="1762" t="s">
        <v>139</v>
      </c>
      <c r="W5" s="1762" t="s">
        <v>140</v>
      </c>
      <c r="X5" s="1762" t="s">
        <v>141</v>
      </c>
      <c r="Y5" s="1762" t="s">
        <v>1367</v>
      </c>
      <c r="Z5" s="1762" t="s">
        <v>1351</v>
      </c>
      <c r="AA5" s="1762" t="s">
        <v>819</v>
      </c>
      <c r="AB5" s="1762" t="s">
        <v>818</v>
      </c>
      <c r="AC5" s="1762" t="s">
        <v>245</v>
      </c>
      <c r="AD5" s="1762" t="s">
        <v>246</v>
      </c>
      <c r="AE5" s="1762" t="s">
        <v>247</v>
      </c>
      <c r="AF5" s="1762" t="s">
        <v>248</v>
      </c>
      <c r="AG5" s="1762" t="s">
        <v>249</v>
      </c>
      <c r="AH5" s="1762" t="s">
        <v>1025</v>
      </c>
      <c r="AI5" s="1762" t="s">
        <v>1026</v>
      </c>
      <c r="AJ5" s="1762" t="s">
        <v>1324</v>
      </c>
      <c r="AK5" s="1762" t="s">
        <v>1027</v>
      </c>
      <c r="AL5" s="1762" t="s">
        <v>1352</v>
      </c>
      <c r="AM5" s="1762" t="s">
        <v>1353</v>
      </c>
      <c r="AN5" s="1762" t="s">
        <v>1325</v>
      </c>
    </row>
    <row r="6" spans="1:40" ht="14.1" customHeight="1">
      <c r="A6" s="1763">
        <v>1</v>
      </c>
      <c r="B6" s="1764"/>
      <c r="C6" s="1765" t="s">
        <v>4753</v>
      </c>
      <c r="D6" s="1766" t="s">
        <v>4754</v>
      </c>
      <c r="E6" s="1767"/>
      <c r="F6" s="1767"/>
      <c r="G6" s="1767"/>
      <c r="H6" s="1767"/>
      <c r="I6" s="1767"/>
      <c r="J6" s="1767"/>
      <c r="K6" s="1767"/>
      <c r="L6" s="1767"/>
      <c r="M6" s="1767"/>
      <c r="N6" s="1767"/>
      <c r="O6" s="1767"/>
      <c r="P6" s="1767"/>
      <c r="Q6" s="1767"/>
      <c r="R6" s="1767"/>
      <c r="S6" s="1767"/>
      <c r="T6" s="1767"/>
      <c r="U6" s="1767"/>
      <c r="V6" s="1767"/>
      <c r="W6" s="1767"/>
      <c r="X6" s="1767"/>
      <c r="Y6" s="1768">
        <f t="shared" ref="Y6:Y51" si="0">SUM(E6:X6)</f>
        <v>0</v>
      </c>
      <c r="Z6" s="1769"/>
      <c r="AA6" s="1767"/>
      <c r="AB6" s="1769"/>
      <c r="AC6" s="1768">
        <f>+Y6-AA6</f>
        <v>0</v>
      </c>
      <c r="AD6" s="1769"/>
      <c r="AE6" s="1769"/>
      <c r="AF6" s="1769"/>
      <c r="AG6" s="1769"/>
      <c r="AH6" s="1769"/>
      <c r="AI6" s="1769"/>
      <c r="AJ6" s="1767"/>
      <c r="AK6" s="1767"/>
      <c r="AL6" s="1768">
        <f>+AJ6-AK6</f>
        <v>0</v>
      </c>
      <c r="AM6" s="1769"/>
      <c r="AN6" s="1767"/>
    </row>
    <row r="7" spans="1:40" ht="14.1" customHeight="1">
      <c r="A7" s="1763">
        <f>A6+1</f>
        <v>2</v>
      </c>
      <c r="B7" s="1770"/>
      <c r="C7" s="1771"/>
      <c r="D7" s="1772" t="s">
        <v>4755</v>
      </c>
      <c r="E7" s="1767"/>
      <c r="F7" s="1767"/>
      <c r="G7" s="1767"/>
      <c r="H7" s="1767"/>
      <c r="I7" s="1767"/>
      <c r="J7" s="1767"/>
      <c r="K7" s="1767"/>
      <c r="L7" s="1767"/>
      <c r="M7" s="1767"/>
      <c r="N7" s="1767"/>
      <c r="O7" s="1767"/>
      <c r="P7" s="1767"/>
      <c r="Q7" s="1767"/>
      <c r="R7" s="1767"/>
      <c r="S7" s="1767"/>
      <c r="T7" s="1767"/>
      <c r="U7" s="1767"/>
      <c r="V7" s="1767"/>
      <c r="W7" s="1767"/>
      <c r="X7" s="1767"/>
      <c r="Y7" s="1768">
        <f t="shared" si="0"/>
        <v>0</v>
      </c>
      <c r="Z7" s="1769"/>
      <c r="AA7" s="1767"/>
      <c r="AB7" s="1769"/>
      <c r="AC7" s="1768">
        <f t="shared" ref="AC7:AC51" si="1">+Y7-AA7</f>
        <v>0</v>
      </c>
      <c r="AD7" s="1769"/>
      <c r="AE7" s="1769"/>
      <c r="AF7" s="1769"/>
      <c r="AG7" s="1769"/>
      <c r="AH7" s="1769"/>
      <c r="AI7" s="1769"/>
      <c r="AJ7" s="1767"/>
      <c r="AK7" s="1767"/>
      <c r="AL7" s="1768">
        <f t="shared" ref="AL7:AL51" si="2">+AJ7-AK7</f>
        <v>0</v>
      </c>
      <c r="AM7" s="1769"/>
      <c r="AN7" s="1767"/>
    </row>
    <row r="8" spans="1:40" ht="14.1" customHeight="1">
      <c r="A8" s="1763">
        <f t="shared" ref="A8:A51" si="3">A7+1</f>
        <v>3</v>
      </c>
      <c r="B8" s="1770" t="s">
        <v>4756</v>
      </c>
      <c r="C8" s="1771"/>
      <c r="D8" s="1766" t="s">
        <v>4757</v>
      </c>
      <c r="E8" s="1767"/>
      <c r="F8" s="1767"/>
      <c r="G8" s="1767"/>
      <c r="H8" s="1767"/>
      <c r="I8" s="1767"/>
      <c r="J8" s="1767"/>
      <c r="K8" s="1767"/>
      <c r="L8" s="1767"/>
      <c r="M8" s="1767"/>
      <c r="N8" s="1767"/>
      <c r="O8" s="1767"/>
      <c r="P8" s="1767"/>
      <c r="Q8" s="1767"/>
      <c r="R8" s="1767"/>
      <c r="S8" s="1767"/>
      <c r="T8" s="1767"/>
      <c r="U8" s="1767"/>
      <c r="V8" s="1767"/>
      <c r="W8" s="1767"/>
      <c r="X8" s="1767"/>
      <c r="Y8" s="1768">
        <f t="shared" si="0"/>
        <v>0</v>
      </c>
      <c r="Z8" s="1769"/>
      <c r="AA8" s="1767"/>
      <c r="AB8" s="1769"/>
      <c r="AC8" s="1768">
        <f t="shared" si="1"/>
        <v>0</v>
      </c>
      <c r="AD8" s="1769"/>
      <c r="AE8" s="1769"/>
      <c r="AF8" s="1769"/>
      <c r="AG8" s="1769"/>
      <c r="AH8" s="1769"/>
      <c r="AI8" s="1769"/>
      <c r="AJ8" s="1767"/>
      <c r="AK8" s="1767"/>
      <c r="AL8" s="1768">
        <f t="shared" si="2"/>
        <v>0</v>
      </c>
      <c r="AM8" s="1769"/>
      <c r="AN8" s="1767"/>
    </row>
    <row r="9" spans="1:40" ht="14.1" customHeight="1">
      <c r="A9" s="1763">
        <f t="shared" si="3"/>
        <v>4</v>
      </c>
      <c r="B9" s="1770"/>
      <c r="C9" s="1771"/>
      <c r="D9" s="1766" t="s">
        <v>4758</v>
      </c>
      <c r="E9" s="1767"/>
      <c r="F9" s="1767"/>
      <c r="G9" s="1767"/>
      <c r="H9" s="1767"/>
      <c r="I9" s="1767"/>
      <c r="J9" s="1767"/>
      <c r="K9" s="1767"/>
      <c r="L9" s="1767"/>
      <c r="M9" s="1767"/>
      <c r="N9" s="1767"/>
      <c r="O9" s="1767"/>
      <c r="P9" s="1767"/>
      <c r="Q9" s="1767"/>
      <c r="R9" s="1767"/>
      <c r="S9" s="1767"/>
      <c r="T9" s="1767"/>
      <c r="U9" s="1767"/>
      <c r="V9" s="1767"/>
      <c r="W9" s="1767"/>
      <c r="X9" s="1767"/>
      <c r="Y9" s="1768">
        <f t="shared" si="0"/>
        <v>0</v>
      </c>
      <c r="Z9" s="1769"/>
      <c r="AA9" s="1767"/>
      <c r="AB9" s="1769"/>
      <c r="AC9" s="1768">
        <f t="shared" si="1"/>
        <v>0</v>
      </c>
      <c r="AD9" s="1769"/>
      <c r="AE9" s="1769"/>
      <c r="AF9" s="1769"/>
      <c r="AG9" s="1769"/>
      <c r="AH9" s="1769"/>
      <c r="AI9" s="1769"/>
      <c r="AJ9" s="1767"/>
      <c r="AK9" s="1767"/>
      <c r="AL9" s="1768">
        <f>+AJ9-AK9</f>
        <v>0</v>
      </c>
      <c r="AM9" s="1769"/>
      <c r="AN9" s="1767"/>
    </row>
    <row r="10" spans="1:40" ht="14.1" customHeight="1">
      <c r="A10" s="1763">
        <f t="shared" si="3"/>
        <v>5</v>
      </c>
      <c r="B10" s="1770"/>
      <c r="C10" s="1773" t="s">
        <v>4759</v>
      </c>
      <c r="D10" s="1766" t="s">
        <v>3650</v>
      </c>
      <c r="E10" s="1768">
        <f>SUM(E6:E9)</f>
        <v>0</v>
      </c>
      <c r="F10" s="1768">
        <f t="shared" ref="F10:X10" si="4">SUM(F6:F9)</f>
        <v>0</v>
      </c>
      <c r="G10" s="1768">
        <f t="shared" si="4"/>
        <v>0</v>
      </c>
      <c r="H10" s="1768">
        <f t="shared" si="4"/>
        <v>0</v>
      </c>
      <c r="I10" s="1768">
        <f t="shared" si="4"/>
        <v>0</v>
      </c>
      <c r="J10" s="1768">
        <f t="shared" si="4"/>
        <v>0</v>
      </c>
      <c r="K10" s="1768">
        <f t="shared" si="4"/>
        <v>0</v>
      </c>
      <c r="L10" s="1768">
        <f t="shared" si="4"/>
        <v>0</v>
      </c>
      <c r="M10" s="1768">
        <f t="shared" si="4"/>
        <v>0</v>
      </c>
      <c r="N10" s="1768">
        <f t="shared" si="4"/>
        <v>0</v>
      </c>
      <c r="O10" s="1768">
        <f t="shared" si="4"/>
        <v>0</v>
      </c>
      <c r="P10" s="1768">
        <f t="shared" si="4"/>
        <v>0</v>
      </c>
      <c r="Q10" s="1768">
        <f t="shared" si="4"/>
        <v>0</v>
      </c>
      <c r="R10" s="1768">
        <f t="shared" si="4"/>
        <v>0</v>
      </c>
      <c r="S10" s="1768">
        <f t="shared" si="4"/>
        <v>0</v>
      </c>
      <c r="T10" s="1768">
        <f t="shared" si="4"/>
        <v>0</v>
      </c>
      <c r="U10" s="1768">
        <f t="shared" si="4"/>
        <v>0</v>
      </c>
      <c r="V10" s="1768">
        <f t="shared" si="4"/>
        <v>0</v>
      </c>
      <c r="W10" s="1768">
        <f t="shared" si="4"/>
        <v>0</v>
      </c>
      <c r="X10" s="1768">
        <f t="shared" si="4"/>
        <v>0</v>
      </c>
      <c r="Y10" s="1768">
        <f t="shared" si="0"/>
        <v>0</v>
      </c>
      <c r="Z10" s="1769"/>
      <c r="AA10" s="1767"/>
      <c r="AB10" s="1769"/>
      <c r="AC10" s="1768">
        <f t="shared" si="1"/>
        <v>0</v>
      </c>
      <c r="AD10" s="1769"/>
      <c r="AE10" s="1769"/>
      <c r="AF10" s="1769"/>
      <c r="AG10" s="1769"/>
      <c r="AH10" s="1769"/>
      <c r="AI10" s="1769"/>
      <c r="AJ10" s="1767"/>
      <c r="AK10" s="1767"/>
      <c r="AL10" s="1768">
        <f t="shared" si="2"/>
        <v>0</v>
      </c>
      <c r="AM10" s="1769"/>
      <c r="AN10" s="1767"/>
    </row>
    <row r="11" spans="1:40" ht="14.1" customHeight="1">
      <c r="A11" s="1763">
        <f t="shared" si="3"/>
        <v>6</v>
      </c>
      <c r="B11" s="1770"/>
      <c r="D11" s="1774" t="s">
        <v>4760</v>
      </c>
      <c r="E11" s="1767"/>
      <c r="F11" s="1767"/>
      <c r="G11" s="1767"/>
      <c r="H11" s="1767"/>
      <c r="I11" s="1767"/>
      <c r="J11" s="1767"/>
      <c r="K11" s="1767"/>
      <c r="L11" s="1767"/>
      <c r="M11" s="1767"/>
      <c r="N11" s="1767"/>
      <c r="O11" s="1767"/>
      <c r="P11" s="1767"/>
      <c r="Q11" s="1767"/>
      <c r="R11" s="1767"/>
      <c r="S11" s="1767"/>
      <c r="T11" s="1767"/>
      <c r="U11" s="1767"/>
      <c r="V11" s="1767"/>
      <c r="W11" s="1767"/>
      <c r="X11" s="1767"/>
      <c r="Y11" s="1768">
        <f t="shared" si="0"/>
        <v>0</v>
      </c>
      <c r="Z11" s="1769"/>
      <c r="AA11" s="1767"/>
      <c r="AB11" s="1769"/>
      <c r="AC11" s="1768">
        <f t="shared" si="1"/>
        <v>0</v>
      </c>
      <c r="AD11" s="1769"/>
      <c r="AE11" s="1769"/>
      <c r="AF11" s="1769"/>
      <c r="AG11" s="1769"/>
      <c r="AH11" s="1769"/>
      <c r="AI11" s="1769"/>
      <c r="AJ11" s="1767"/>
      <c r="AK11" s="1767"/>
      <c r="AL11" s="1768">
        <f t="shared" si="2"/>
        <v>0</v>
      </c>
      <c r="AM11" s="1769"/>
      <c r="AN11" s="1767"/>
    </row>
    <row r="12" spans="1:40" ht="14.1" customHeight="1">
      <c r="A12" s="1763">
        <f t="shared" si="3"/>
        <v>7</v>
      </c>
      <c r="B12" s="1770" t="s">
        <v>4761</v>
      </c>
      <c r="C12" s="1771" t="s">
        <v>4762</v>
      </c>
      <c r="D12" s="1775" t="s">
        <v>4763</v>
      </c>
      <c r="E12" s="1767"/>
      <c r="F12" s="1767"/>
      <c r="G12" s="1767"/>
      <c r="H12" s="1767"/>
      <c r="I12" s="1767"/>
      <c r="J12" s="1767"/>
      <c r="K12" s="1767"/>
      <c r="L12" s="1767"/>
      <c r="M12" s="1767"/>
      <c r="N12" s="1767"/>
      <c r="O12" s="1767"/>
      <c r="P12" s="1767"/>
      <c r="Q12" s="1767"/>
      <c r="R12" s="1767"/>
      <c r="S12" s="1767"/>
      <c r="T12" s="1767"/>
      <c r="U12" s="1767"/>
      <c r="V12" s="1767"/>
      <c r="W12" s="1767"/>
      <c r="X12" s="1767"/>
      <c r="Y12" s="1768">
        <f t="shared" si="0"/>
        <v>0</v>
      </c>
      <c r="Z12" s="1769"/>
      <c r="AA12" s="1767"/>
      <c r="AB12" s="1769"/>
      <c r="AC12" s="1768">
        <f t="shared" si="1"/>
        <v>0</v>
      </c>
      <c r="AD12" s="1769"/>
      <c r="AE12" s="1769"/>
      <c r="AF12" s="1769"/>
      <c r="AG12" s="1769"/>
      <c r="AH12" s="1769"/>
      <c r="AI12" s="1769"/>
      <c r="AJ12" s="1767"/>
      <c r="AK12" s="1767"/>
      <c r="AL12" s="1768">
        <f t="shared" si="2"/>
        <v>0</v>
      </c>
      <c r="AM12" s="1769"/>
      <c r="AN12" s="1767"/>
    </row>
    <row r="13" spans="1:40" ht="14.1" customHeight="1">
      <c r="A13" s="1763">
        <f t="shared" si="3"/>
        <v>8</v>
      </c>
      <c r="B13" s="1770"/>
      <c r="C13" s="1771" t="s">
        <v>4764</v>
      </c>
      <c r="D13" s="1776" t="s">
        <v>4765</v>
      </c>
      <c r="E13" s="1767"/>
      <c r="F13" s="1767"/>
      <c r="G13" s="1767"/>
      <c r="H13" s="1767"/>
      <c r="I13" s="1767"/>
      <c r="J13" s="1767"/>
      <c r="K13" s="1767"/>
      <c r="L13" s="1767"/>
      <c r="M13" s="1767"/>
      <c r="N13" s="1767"/>
      <c r="O13" s="1767"/>
      <c r="P13" s="1767"/>
      <c r="Q13" s="1767"/>
      <c r="R13" s="1767"/>
      <c r="S13" s="1767"/>
      <c r="T13" s="1767"/>
      <c r="U13" s="1767"/>
      <c r="V13" s="1767"/>
      <c r="W13" s="1767"/>
      <c r="X13" s="1767"/>
      <c r="Y13" s="1768">
        <f t="shared" si="0"/>
        <v>0</v>
      </c>
      <c r="Z13" s="1769"/>
      <c r="AA13" s="1767"/>
      <c r="AB13" s="1769"/>
      <c r="AC13" s="1768">
        <f t="shared" si="1"/>
        <v>0</v>
      </c>
      <c r="AD13" s="1769"/>
      <c r="AE13" s="1769"/>
      <c r="AF13" s="1769"/>
      <c r="AG13" s="1769"/>
      <c r="AH13" s="1769"/>
      <c r="AI13" s="1769"/>
      <c r="AJ13" s="1767"/>
      <c r="AK13" s="1767"/>
      <c r="AL13" s="1768">
        <f t="shared" si="2"/>
        <v>0</v>
      </c>
      <c r="AM13" s="1769"/>
      <c r="AN13" s="1767"/>
    </row>
    <row r="14" spans="1:40" ht="14.1" customHeight="1">
      <c r="A14" s="1763">
        <f t="shared" si="3"/>
        <v>9</v>
      </c>
      <c r="B14" s="1770"/>
      <c r="C14" s="1771" t="s">
        <v>4766</v>
      </c>
      <c r="D14" s="1775" t="s">
        <v>4767</v>
      </c>
      <c r="E14" s="1767"/>
      <c r="F14" s="1767"/>
      <c r="G14" s="1767"/>
      <c r="H14" s="1767"/>
      <c r="I14" s="1767"/>
      <c r="J14" s="1767"/>
      <c r="K14" s="1767"/>
      <c r="L14" s="1767"/>
      <c r="M14" s="1767"/>
      <c r="N14" s="1767"/>
      <c r="O14" s="1767"/>
      <c r="P14" s="1767"/>
      <c r="Q14" s="1767"/>
      <c r="R14" s="1767"/>
      <c r="S14" s="1767"/>
      <c r="T14" s="1767"/>
      <c r="U14" s="1767"/>
      <c r="V14" s="1767"/>
      <c r="W14" s="1767"/>
      <c r="X14" s="1767"/>
      <c r="Y14" s="1768">
        <f t="shared" si="0"/>
        <v>0</v>
      </c>
      <c r="Z14" s="1769"/>
      <c r="AA14" s="1767"/>
      <c r="AB14" s="1769"/>
      <c r="AC14" s="1768">
        <f t="shared" si="1"/>
        <v>0</v>
      </c>
      <c r="AD14" s="1769"/>
      <c r="AE14" s="1769"/>
      <c r="AF14" s="1769"/>
      <c r="AG14" s="1769"/>
      <c r="AH14" s="1769"/>
      <c r="AI14" s="1769"/>
      <c r="AJ14" s="1767"/>
      <c r="AK14" s="1767"/>
      <c r="AL14" s="1768">
        <f t="shared" si="2"/>
        <v>0</v>
      </c>
      <c r="AM14" s="1769"/>
      <c r="AN14" s="1767"/>
    </row>
    <row r="15" spans="1:40" ht="14.1" customHeight="1">
      <c r="A15" s="1763">
        <f t="shared" si="3"/>
        <v>10</v>
      </c>
      <c r="B15" s="1770"/>
      <c r="C15" s="1771" t="s">
        <v>4768</v>
      </c>
      <c r="D15" s="1775" t="s">
        <v>4769</v>
      </c>
      <c r="E15" s="1767"/>
      <c r="F15" s="1767"/>
      <c r="G15" s="1767"/>
      <c r="H15" s="1767"/>
      <c r="I15" s="1767"/>
      <c r="J15" s="1767"/>
      <c r="K15" s="1767"/>
      <c r="L15" s="1767"/>
      <c r="M15" s="1767"/>
      <c r="N15" s="1767"/>
      <c r="O15" s="1767"/>
      <c r="P15" s="1767"/>
      <c r="Q15" s="1767"/>
      <c r="R15" s="1767"/>
      <c r="S15" s="1767"/>
      <c r="T15" s="1767"/>
      <c r="U15" s="1767"/>
      <c r="V15" s="1767"/>
      <c r="W15" s="1767"/>
      <c r="X15" s="1767"/>
      <c r="Y15" s="1768">
        <f t="shared" si="0"/>
        <v>0</v>
      </c>
      <c r="Z15" s="1769"/>
      <c r="AA15" s="1767"/>
      <c r="AB15" s="1769"/>
      <c r="AC15" s="1768">
        <f t="shared" si="1"/>
        <v>0</v>
      </c>
      <c r="AD15" s="1769"/>
      <c r="AE15" s="1769"/>
      <c r="AF15" s="1769"/>
      <c r="AG15" s="1769"/>
      <c r="AH15" s="1769"/>
      <c r="AI15" s="1769"/>
      <c r="AJ15" s="1767"/>
      <c r="AK15" s="1767"/>
      <c r="AL15" s="1768">
        <f t="shared" si="2"/>
        <v>0</v>
      </c>
      <c r="AM15" s="1769"/>
      <c r="AN15" s="1767"/>
    </row>
    <row r="16" spans="1:40" ht="14.1" customHeight="1">
      <c r="A16" s="1763">
        <f t="shared" si="3"/>
        <v>11</v>
      </c>
      <c r="B16" s="1770" t="s">
        <v>4770</v>
      </c>
      <c r="C16" s="1773"/>
      <c r="D16" s="1759" t="s">
        <v>4341</v>
      </c>
      <c r="E16" s="1768">
        <f>SUM(E11:E15)</f>
        <v>0</v>
      </c>
      <c r="F16" s="1768">
        <f t="shared" ref="F16:X16" si="5">SUM(F11:F15)</f>
        <v>0</v>
      </c>
      <c r="G16" s="1768">
        <f t="shared" si="5"/>
        <v>0</v>
      </c>
      <c r="H16" s="1768">
        <f t="shared" si="5"/>
        <v>0</v>
      </c>
      <c r="I16" s="1768">
        <f t="shared" si="5"/>
        <v>0</v>
      </c>
      <c r="J16" s="1768">
        <f t="shared" si="5"/>
        <v>0</v>
      </c>
      <c r="K16" s="1768">
        <f t="shared" si="5"/>
        <v>0</v>
      </c>
      <c r="L16" s="1768">
        <f t="shared" si="5"/>
        <v>0</v>
      </c>
      <c r="M16" s="1768">
        <f t="shared" si="5"/>
        <v>0</v>
      </c>
      <c r="N16" s="1768">
        <f t="shared" si="5"/>
        <v>0</v>
      </c>
      <c r="O16" s="1768">
        <f t="shared" si="5"/>
        <v>0</v>
      </c>
      <c r="P16" s="1768">
        <f t="shared" si="5"/>
        <v>0</v>
      </c>
      <c r="Q16" s="1768">
        <f t="shared" si="5"/>
        <v>0</v>
      </c>
      <c r="R16" s="1768">
        <f t="shared" si="5"/>
        <v>0</v>
      </c>
      <c r="S16" s="1768">
        <f t="shared" si="5"/>
        <v>0</v>
      </c>
      <c r="T16" s="1768">
        <f t="shared" si="5"/>
        <v>0</v>
      </c>
      <c r="U16" s="1768">
        <f t="shared" si="5"/>
        <v>0</v>
      </c>
      <c r="V16" s="1768">
        <f t="shared" si="5"/>
        <v>0</v>
      </c>
      <c r="W16" s="1768">
        <f t="shared" si="5"/>
        <v>0</v>
      </c>
      <c r="X16" s="1768">
        <f t="shared" si="5"/>
        <v>0</v>
      </c>
      <c r="Y16" s="1768">
        <f t="shared" si="0"/>
        <v>0</v>
      </c>
      <c r="Z16" s="1769"/>
      <c r="AA16" s="1767"/>
      <c r="AB16" s="1769"/>
      <c r="AC16" s="1768">
        <f t="shared" si="1"/>
        <v>0</v>
      </c>
      <c r="AD16" s="1769"/>
      <c r="AE16" s="1769"/>
      <c r="AF16" s="1769"/>
      <c r="AG16" s="1769"/>
      <c r="AH16" s="1769"/>
      <c r="AI16" s="1769"/>
      <c r="AJ16" s="1767"/>
      <c r="AK16" s="1767"/>
      <c r="AL16" s="1768">
        <f t="shared" si="2"/>
        <v>0</v>
      </c>
      <c r="AM16" s="1769"/>
      <c r="AN16" s="1767"/>
    </row>
    <row r="17" spans="1:40" ht="14.1" customHeight="1">
      <c r="A17" s="1763">
        <f t="shared" si="3"/>
        <v>12</v>
      </c>
      <c r="B17" s="1770"/>
      <c r="C17" s="1771" t="s">
        <v>4771</v>
      </c>
      <c r="D17" s="1775" t="s">
        <v>4772</v>
      </c>
      <c r="E17" s="1767"/>
      <c r="F17" s="1767"/>
      <c r="G17" s="1767"/>
      <c r="H17" s="1767"/>
      <c r="I17" s="1767"/>
      <c r="J17" s="1767"/>
      <c r="K17" s="1767"/>
      <c r="L17" s="1767"/>
      <c r="M17" s="1767"/>
      <c r="N17" s="1767"/>
      <c r="O17" s="1767"/>
      <c r="P17" s="1767"/>
      <c r="Q17" s="1767"/>
      <c r="R17" s="1767"/>
      <c r="S17" s="1767"/>
      <c r="T17" s="1767"/>
      <c r="U17" s="1767"/>
      <c r="V17" s="1767"/>
      <c r="W17" s="1767"/>
      <c r="X17" s="1767"/>
      <c r="Y17" s="1768">
        <f t="shared" si="0"/>
        <v>0</v>
      </c>
      <c r="Z17" s="1769"/>
      <c r="AA17" s="1767"/>
      <c r="AB17" s="1769"/>
      <c r="AC17" s="1768">
        <f t="shared" si="1"/>
        <v>0</v>
      </c>
      <c r="AD17" s="1769"/>
      <c r="AE17" s="1769"/>
      <c r="AF17" s="1769"/>
      <c r="AG17" s="1769"/>
      <c r="AH17" s="1769"/>
      <c r="AI17" s="1769"/>
      <c r="AJ17" s="1767"/>
      <c r="AK17" s="1767"/>
      <c r="AL17" s="1768">
        <f t="shared" si="2"/>
        <v>0</v>
      </c>
      <c r="AM17" s="1769"/>
      <c r="AN17" s="1767"/>
    </row>
    <row r="18" spans="1:40" ht="14.1" customHeight="1">
      <c r="A18" s="1763">
        <f t="shared" si="3"/>
        <v>13</v>
      </c>
      <c r="B18" s="1770"/>
      <c r="C18" s="1771" t="s">
        <v>4773</v>
      </c>
      <c r="D18" s="1775" t="s">
        <v>4774</v>
      </c>
      <c r="E18" s="1767"/>
      <c r="F18" s="1767"/>
      <c r="G18" s="1767"/>
      <c r="H18" s="1767"/>
      <c r="I18" s="1767"/>
      <c r="J18" s="1767"/>
      <c r="K18" s="1767"/>
      <c r="L18" s="1767"/>
      <c r="M18" s="1767"/>
      <c r="N18" s="1767"/>
      <c r="O18" s="1767"/>
      <c r="P18" s="1767"/>
      <c r="Q18" s="1767"/>
      <c r="R18" s="1767"/>
      <c r="S18" s="1767"/>
      <c r="T18" s="1767"/>
      <c r="U18" s="1767"/>
      <c r="V18" s="1767"/>
      <c r="W18" s="1767"/>
      <c r="X18" s="1767"/>
      <c r="Y18" s="1768">
        <f t="shared" si="0"/>
        <v>0</v>
      </c>
      <c r="Z18" s="1769"/>
      <c r="AA18" s="1767"/>
      <c r="AB18" s="1769"/>
      <c r="AC18" s="1768">
        <f t="shared" si="1"/>
        <v>0</v>
      </c>
      <c r="AD18" s="1769"/>
      <c r="AE18" s="1769"/>
      <c r="AF18" s="1769"/>
      <c r="AG18" s="1769"/>
      <c r="AH18" s="1769"/>
      <c r="AI18" s="1769"/>
      <c r="AJ18" s="1767"/>
      <c r="AK18" s="1767"/>
      <c r="AL18" s="1768">
        <f t="shared" si="2"/>
        <v>0</v>
      </c>
      <c r="AM18" s="1769"/>
      <c r="AN18" s="1767"/>
    </row>
    <row r="19" spans="1:40" ht="14.1" customHeight="1">
      <c r="A19" s="1763">
        <f t="shared" si="3"/>
        <v>14</v>
      </c>
      <c r="B19" s="1770"/>
      <c r="C19" s="1771" t="s">
        <v>4775</v>
      </c>
      <c r="D19" s="1775" t="s">
        <v>4758</v>
      </c>
      <c r="E19" s="1767"/>
      <c r="F19" s="1767"/>
      <c r="G19" s="1767"/>
      <c r="H19" s="1767"/>
      <c r="I19" s="1767"/>
      <c r="J19" s="1767"/>
      <c r="K19" s="1767"/>
      <c r="L19" s="1767"/>
      <c r="M19" s="1767"/>
      <c r="N19" s="1767"/>
      <c r="O19" s="1767"/>
      <c r="P19" s="1767"/>
      <c r="Q19" s="1767"/>
      <c r="R19" s="1767"/>
      <c r="S19" s="1767"/>
      <c r="T19" s="1767"/>
      <c r="U19" s="1767"/>
      <c r="V19" s="1767"/>
      <c r="W19" s="1767"/>
      <c r="X19" s="1767"/>
      <c r="Y19" s="1768">
        <f t="shared" si="0"/>
        <v>0</v>
      </c>
      <c r="Z19" s="1769"/>
      <c r="AA19" s="1767"/>
      <c r="AB19" s="1769"/>
      <c r="AC19" s="1768">
        <f t="shared" si="1"/>
        <v>0</v>
      </c>
      <c r="AD19" s="1769"/>
      <c r="AE19" s="1769"/>
      <c r="AF19" s="1769"/>
      <c r="AG19" s="1769"/>
      <c r="AH19" s="1769"/>
      <c r="AI19" s="1769"/>
      <c r="AJ19" s="1767"/>
      <c r="AK19" s="1767"/>
      <c r="AL19" s="1768">
        <f t="shared" si="2"/>
        <v>0</v>
      </c>
      <c r="AM19" s="1769"/>
      <c r="AN19" s="1767"/>
    </row>
    <row r="20" spans="1:40" ht="14.1" customHeight="1">
      <c r="A20" s="1763">
        <f t="shared" si="3"/>
        <v>15</v>
      </c>
      <c r="B20" s="1770" t="s">
        <v>4776</v>
      </c>
      <c r="C20" s="1773"/>
      <c r="D20" s="1759" t="s">
        <v>4341</v>
      </c>
      <c r="E20" s="1768">
        <f>SUM(E17:E19)</f>
        <v>0</v>
      </c>
      <c r="F20" s="1768">
        <f t="shared" ref="F20:X20" si="6">SUM(F17:F19)</f>
        <v>0</v>
      </c>
      <c r="G20" s="1768">
        <f t="shared" si="6"/>
        <v>0</v>
      </c>
      <c r="H20" s="1768">
        <f t="shared" si="6"/>
        <v>0</v>
      </c>
      <c r="I20" s="1768">
        <f t="shared" si="6"/>
        <v>0</v>
      </c>
      <c r="J20" s="1768">
        <f t="shared" si="6"/>
        <v>0</v>
      </c>
      <c r="K20" s="1768">
        <f t="shared" si="6"/>
        <v>0</v>
      </c>
      <c r="L20" s="1768">
        <f t="shared" si="6"/>
        <v>0</v>
      </c>
      <c r="M20" s="1768">
        <f t="shared" si="6"/>
        <v>0</v>
      </c>
      <c r="N20" s="1768">
        <f t="shared" si="6"/>
        <v>0</v>
      </c>
      <c r="O20" s="1768">
        <f t="shared" si="6"/>
        <v>0</v>
      </c>
      <c r="P20" s="1768">
        <f t="shared" si="6"/>
        <v>0</v>
      </c>
      <c r="Q20" s="1768">
        <f t="shared" si="6"/>
        <v>0</v>
      </c>
      <c r="R20" s="1768">
        <f t="shared" si="6"/>
        <v>0</v>
      </c>
      <c r="S20" s="1768">
        <f t="shared" si="6"/>
        <v>0</v>
      </c>
      <c r="T20" s="1768">
        <f t="shared" si="6"/>
        <v>0</v>
      </c>
      <c r="U20" s="1768">
        <f t="shared" si="6"/>
        <v>0</v>
      </c>
      <c r="V20" s="1768">
        <f t="shared" si="6"/>
        <v>0</v>
      </c>
      <c r="W20" s="1768">
        <f t="shared" si="6"/>
        <v>0</v>
      </c>
      <c r="X20" s="1768">
        <f t="shared" si="6"/>
        <v>0</v>
      </c>
      <c r="Y20" s="1768">
        <f t="shared" si="0"/>
        <v>0</v>
      </c>
      <c r="Z20" s="1769"/>
      <c r="AA20" s="1767"/>
      <c r="AB20" s="1769"/>
      <c r="AC20" s="1768">
        <f t="shared" si="1"/>
        <v>0</v>
      </c>
      <c r="AD20" s="1769"/>
      <c r="AE20" s="1769"/>
      <c r="AF20" s="1769"/>
      <c r="AG20" s="1769"/>
      <c r="AH20" s="1769"/>
      <c r="AI20" s="1769"/>
      <c r="AJ20" s="1767"/>
      <c r="AK20" s="1767"/>
      <c r="AL20" s="1768">
        <f t="shared" si="2"/>
        <v>0</v>
      </c>
      <c r="AM20" s="1769"/>
      <c r="AN20" s="1767"/>
    </row>
    <row r="21" spans="1:40" ht="14.1" customHeight="1">
      <c r="A21" s="1763">
        <f t="shared" si="3"/>
        <v>16</v>
      </c>
      <c r="B21" s="1770"/>
      <c r="C21" s="1771" t="s">
        <v>4777</v>
      </c>
      <c r="D21" s="1777" t="s">
        <v>4778</v>
      </c>
      <c r="E21" s="1767"/>
      <c r="F21" s="1767"/>
      <c r="G21" s="1767"/>
      <c r="H21" s="1767"/>
      <c r="I21" s="1767"/>
      <c r="J21" s="1767"/>
      <c r="K21" s="1767"/>
      <c r="L21" s="1767"/>
      <c r="M21" s="1767"/>
      <c r="N21" s="1767"/>
      <c r="O21" s="1767"/>
      <c r="P21" s="1767"/>
      <c r="Q21" s="1767"/>
      <c r="R21" s="1767"/>
      <c r="S21" s="1767"/>
      <c r="T21" s="1767"/>
      <c r="U21" s="1767"/>
      <c r="V21" s="1767"/>
      <c r="W21" s="1767"/>
      <c r="X21" s="1767"/>
      <c r="Y21" s="1768">
        <f t="shared" si="0"/>
        <v>0</v>
      </c>
      <c r="Z21" s="1769"/>
      <c r="AA21" s="1767"/>
      <c r="AB21" s="1769"/>
      <c r="AC21" s="1768">
        <f t="shared" si="1"/>
        <v>0</v>
      </c>
      <c r="AD21" s="1769"/>
      <c r="AE21" s="1769"/>
      <c r="AF21" s="1769"/>
      <c r="AG21" s="1769"/>
      <c r="AH21" s="1769"/>
      <c r="AI21" s="1769"/>
      <c r="AJ21" s="1767"/>
      <c r="AK21" s="1767"/>
      <c r="AL21" s="1768">
        <f t="shared" si="2"/>
        <v>0</v>
      </c>
      <c r="AM21" s="1769"/>
      <c r="AN21" s="1767"/>
    </row>
    <row r="22" spans="1:40" ht="14.1" customHeight="1">
      <c r="A22" s="1763">
        <f t="shared" si="3"/>
        <v>17</v>
      </c>
      <c r="B22" s="1770"/>
      <c r="C22" s="1771"/>
      <c r="D22" s="1766" t="s">
        <v>4779</v>
      </c>
      <c r="E22" s="1767"/>
      <c r="F22" s="1767"/>
      <c r="G22" s="1767"/>
      <c r="H22" s="1767"/>
      <c r="I22" s="1767"/>
      <c r="J22" s="1767"/>
      <c r="K22" s="1767"/>
      <c r="L22" s="1767"/>
      <c r="M22" s="1767"/>
      <c r="N22" s="1767"/>
      <c r="O22" s="1767"/>
      <c r="P22" s="1767"/>
      <c r="Q22" s="1767"/>
      <c r="R22" s="1767"/>
      <c r="S22" s="1767"/>
      <c r="T22" s="1767"/>
      <c r="U22" s="1767"/>
      <c r="V22" s="1767"/>
      <c r="W22" s="1767"/>
      <c r="X22" s="1767"/>
      <c r="Y22" s="1768">
        <f t="shared" si="0"/>
        <v>0</v>
      </c>
      <c r="Z22" s="1769"/>
      <c r="AA22" s="1767"/>
      <c r="AB22" s="1769"/>
      <c r="AC22" s="1768">
        <f t="shared" si="1"/>
        <v>0</v>
      </c>
      <c r="AD22" s="1769"/>
      <c r="AE22" s="1769"/>
      <c r="AF22" s="1769"/>
      <c r="AG22" s="1769"/>
      <c r="AH22" s="1769"/>
      <c r="AI22" s="1769"/>
      <c r="AJ22" s="1767"/>
      <c r="AK22" s="1767"/>
      <c r="AL22" s="1768">
        <f t="shared" si="2"/>
        <v>0</v>
      </c>
      <c r="AM22" s="1769"/>
      <c r="AN22" s="1767"/>
    </row>
    <row r="23" spans="1:40" ht="14.1" customHeight="1">
      <c r="A23" s="1763">
        <f t="shared" si="3"/>
        <v>18</v>
      </c>
      <c r="B23" s="1770"/>
      <c r="C23" s="1773" t="s">
        <v>4780</v>
      </c>
      <c r="D23" s="1766" t="s">
        <v>3650</v>
      </c>
      <c r="E23" s="1768">
        <f>SUM(E21:E22)</f>
        <v>0</v>
      </c>
      <c r="F23" s="1768">
        <f t="shared" ref="F23:X23" si="7">SUM(F21:F22)</f>
        <v>0</v>
      </c>
      <c r="G23" s="1768">
        <f t="shared" si="7"/>
        <v>0</v>
      </c>
      <c r="H23" s="1768">
        <f t="shared" si="7"/>
        <v>0</v>
      </c>
      <c r="I23" s="1768">
        <f t="shared" si="7"/>
        <v>0</v>
      </c>
      <c r="J23" s="1768">
        <f t="shared" si="7"/>
        <v>0</v>
      </c>
      <c r="K23" s="1768">
        <f t="shared" si="7"/>
        <v>0</v>
      </c>
      <c r="L23" s="1768">
        <f t="shared" si="7"/>
        <v>0</v>
      </c>
      <c r="M23" s="1768">
        <f t="shared" si="7"/>
        <v>0</v>
      </c>
      <c r="N23" s="1768">
        <f t="shared" si="7"/>
        <v>0</v>
      </c>
      <c r="O23" s="1768">
        <f t="shared" si="7"/>
        <v>0</v>
      </c>
      <c r="P23" s="1768">
        <f t="shared" si="7"/>
        <v>0</v>
      </c>
      <c r="Q23" s="1768">
        <f t="shared" si="7"/>
        <v>0</v>
      </c>
      <c r="R23" s="1768">
        <f t="shared" si="7"/>
        <v>0</v>
      </c>
      <c r="S23" s="1768">
        <f t="shared" si="7"/>
        <v>0</v>
      </c>
      <c r="T23" s="1768">
        <f t="shared" si="7"/>
        <v>0</v>
      </c>
      <c r="U23" s="1768">
        <f t="shared" si="7"/>
        <v>0</v>
      </c>
      <c r="V23" s="1768">
        <f t="shared" si="7"/>
        <v>0</v>
      </c>
      <c r="W23" s="1768">
        <f t="shared" si="7"/>
        <v>0</v>
      </c>
      <c r="X23" s="1768">
        <f t="shared" si="7"/>
        <v>0</v>
      </c>
      <c r="Y23" s="1768">
        <f t="shared" si="0"/>
        <v>0</v>
      </c>
      <c r="Z23" s="1769"/>
      <c r="AA23" s="1767"/>
      <c r="AB23" s="1769"/>
      <c r="AC23" s="1768">
        <f t="shared" si="1"/>
        <v>0</v>
      </c>
      <c r="AD23" s="1769"/>
      <c r="AE23" s="1769"/>
      <c r="AF23" s="1769"/>
      <c r="AG23" s="1769"/>
      <c r="AH23" s="1769"/>
      <c r="AI23" s="1769"/>
      <c r="AJ23" s="1767"/>
      <c r="AK23" s="1767"/>
      <c r="AL23" s="1768">
        <f t="shared" si="2"/>
        <v>0</v>
      </c>
      <c r="AM23" s="1769"/>
      <c r="AN23" s="1767"/>
    </row>
    <row r="24" spans="1:40" ht="14.1" customHeight="1">
      <c r="A24" s="1763">
        <f t="shared" si="3"/>
        <v>19</v>
      </c>
      <c r="B24" s="1770"/>
      <c r="C24" s="2829" t="s">
        <v>4781</v>
      </c>
      <c r="D24" s="2830"/>
      <c r="E24" s="1767"/>
      <c r="F24" s="1767"/>
      <c r="G24" s="1767"/>
      <c r="H24" s="1767"/>
      <c r="I24" s="1767"/>
      <c r="J24" s="1767"/>
      <c r="K24" s="1767"/>
      <c r="L24" s="1767"/>
      <c r="M24" s="1767"/>
      <c r="N24" s="1767"/>
      <c r="O24" s="1767"/>
      <c r="P24" s="1767"/>
      <c r="Q24" s="1767"/>
      <c r="R24" s="1767"/>
      <c r="S24" s="1767"/>
      <c r="T24" s="1767"/>
      <c r="U24" s="1767"/>
      <c r="V24" s="1767"/>
      <c r="W24" s="1767"/>
      <c r="X24" s="1767"/>
      <c r="Y24" s="1768">
        <f t="shared" si="0"/>
        <v>0</v>
      </c>
      <c r="Z24" s="1769"/>
      <c r="AA24" s="1767"/>
      <c r="AB24" s="1769"/>
      <c r="AC24" s="1768">
        <f t="shared" si="1"/>
        <v>0</v>
      </c>
      <c r="AD24" s="1769"/>
      <c r="AE24" s="1769"/>
      <c r="AF24" s="1769"/>
      <c r="AG24" s="1769"/>
      <c r="AH24" s="1769"/>
      <c r="AI24" s="1769"/>
      <c r="AJ24" s="1767"/>
      <c r="AK24" s="1767"/>
      <c r="AL24" s="1768">
        <f t="shared" si="2"/>
        <v>0</v>
      </c>
      <c r="AM24" s="1769"/>
      <c r="AN24" s="1767"/>
    </row>
    <row r="25" spans="1:40" ht="14.1" customHeight="1">
      <c r="A25" s="1763">
        <f t="shared" si="3"/>
        <v>20</v>
      </c>
      <c r="B25" s="1770"/>
      <c r="C25" s="2829" t="s">
        <v>4782</v>
      </c>
      <c r="D25" s="2830"/>
      <c r="E25" s="1768">
        <f>+E10+E16+E20+E23+E24</f>
        <v>0</v>
      </c>
      <c r="F25" s="1768">
        <f t="shared" ref="F25:X25" si="8">+F10+F16+F20+F23+F24</f>
        <v>0</v>
      </c>
      <c r="G25" s="1768">
        <f t="shared" si="8"/>
        <v>0</v>
      </c>
      <c r="H25" s="1768">
        <f t="shared" si="8"/>
        <v>0</v>
      </c>
      <c r="I25" s="1768">
        <f t="shared" si="8"/>
        <v>0</v>
      </c>
      <c r="J25" s="1768">
        <f t="shared" si="8"/>
        <v>0</v>
      </c>
      <c r="K25" s="1768">
        <f t="shared" si="8"/>
        <v>0</v>
      </c>
      <c r="L25" s="1768">
        <f t="shared" si="8"/>
        <v>0</v>
      </c>
      <c r="M25" s="1768">
        <f t="shared" si="8"/>
        <v>0</v>
      </c>
      <c r="N25" s="1768">
        <f t="shared" si="8"/>
        <v>0</v>
      </c>
      <c r="O25" s="1768">
        <f t="shared" si="8"/>
        <v>0</v>
      </c>
      <c r="P25" s="1768">
        <f t="shared" si="8"/>
        <v>0</v>
      </c>
      <c r="Q25" s="1768">
        <f t="shared" si="8"/>
        <v>0</v>
      </c>
      <c r="R25" s="1768">
        <f t="shared" si="8"/>
        <v>0</v>
      </c>
      <c r="S25" s="1768">
        <f t="shared" si="8"/>
        <v>0</v>
      </c>
      <c r="T25" s="1768">
        <f t="shared" si="8"/>
        <v>0</v>
      </c>
      <c r="U25" s="1768">
        <f t="shared" si="8"/>
        <v>0</v>
      </c>
      <c r="V25" s="1768">
        <f t="shared" si="8"/>
        <v>0</v>
      </c>
      <c r="W25" s="1768">
        <f t="shared" si="8"/>
        <v>0</v>
      </c>
      <c r="X25" s="1768">
        <f t="shared" si="8"/>
        <v>0</v>
      </c>
      <c r="Y25" s="1768">
        <f t="shared" si="0"/>
        <v>0</v>
      </c>
      <c r="Z25" s="1769"/>
      <c r="AA25" s="1767"/>
      <c r="AB25" s="1769"/>
      <c r="AC25" s="1768">
        <f t="shared" si="1"/>
        <v>0</v>
      </c>
      <c r="AD25" s="1769"/>
      <c r="AE25" s="1769"/>
      <c r="AF25" s="1769"/>
      <c r="AG25" s="1769"/>
      <c r="AH25" s="1769"/>
      <c r="AI25" s="1769"/>
      <c r="AJ25" s="1767"/>
      <c r="AK25" s="1767"/>
      <c r="AL25" s="1768">
        <f t="shared" si="2"/>
        <v>0</v>
      </c>
      <c r="AM25" s="1769"/>
      <c r="AN25" s="1767"/>
    </row>
    <row r="26" spans="1:40" ht="14.1" customHeight="1">
      <c r="A26" s="1763">
        <f t="shared" si="3"/>
        <v>21</v>
      </c>
      <c r="B26" s="1764"/>
      <c r="C26" s="1765" t="s">
        <v>4753</v>
      </c>
      <c r="D26" s="1766" t="s">
        <v>4754</v>
      </c>
      <c r="E26" s="1767"/>
      <c r="F26" s="1767"/>
      <c r="G26" s="1767"/>
      <c r="H26" s="1767"/>
      <c r="I26" s="1767"/>
      <c r="J26" s="1767"/>
      <c r="K26" s="1767"/>
      <c r="L26" s="1767"/>
      <c r="M26" s="1767"/>
      <c r="N26" s="1767"/>
      <c r="O26" s="1767"/>
      <c r="P26" s="1767"/>
      <c r="Q26" s="1767"/>
      <c r="R26" s="1767"/>
      <c r="S26" s="1767"/>
      <c r="T26" s="1767"/>
      <c r="U26" s="1767"/>
      <c r="V26" s="1767"/>
      <c r="W26" s="1767"/>
      <c r="X26" s="1767"/>
      <c r="Y26" s="1768">
        <f t="shared" si="0"/>
        <v>0</v>
      </c>
      <c r="Z26" s="1769"/>
      <c r="AA26" s="1767"/>
      <c r="AB26" s="1769"/>
      <c r="AC26" s="1768">
        <f t="shared" si="1"/>
        <v>0</v>
      </c>
      <c r="AD26" s="1769"/>
      <c r="AE26" s="1769"/>
      <c r="AF26" s="1769"/>
      <c r="AG26" s="1769"/>
      <c r="AH26" s="1769"/>
      <c r="AI26" s="1769"/>
      <c r="AJ26" s="1767"/>
      <c r="AK26" s="1767"/>
      <c r="AL26" s="1768">
        <f t="shared" si="2"/>
        <v>0</v>
      </c>
      <c r="AM26" s="1769"/>
      <c r="AN26" s="1767"/>
    </row>
    <row r="27" spans="1:40" ht="28.5">
      <c r="A27" s="1763">
        <f t="shared" si="3"/>
        <v>22</v>
      </c>
      <c r="B27" s="1770"/>
      <c r="C27" s="1771"/>
      <c r="D27" s="1772" t="s">
        <v>4755</v>
      </c>
      <c r="E27" s="1767"/>
      <c r="F27" s="1767"/>
      <c r="G27" s="1767"/>
      <c r="H27" s="1767"/>
      <c r="I27" s="1767"/>
      <c r="J27" s="1767"/>
      <c r="K27" s="1767"/>
      <c r="L27" s="1767"/>
      <c r="M27" s="1767"/>
      <c r="N27" s="1767"/>
      <c r="O27" s="1767"/>
      <c r="P27" s="1767"/>
      <c r="Q27" s="1767"/>
      <c r="R27" s="1767"/>
      <c r="S27" s="1767"/>
      <c r="T27" s="1767"/>
      <c r="U27" s="1767"/>
      <c r="V27" s="1767"/>
      <c r="W27" s="1767"/>
      <c r="X27" s="1767"/>
      <c r="Y27" s="1768">
        <f t="shared" si="0"/>
        <v>0</v>
      </c>
      <c r="Z27" s="1769"/>
      <c r="AA27" s="1767"/>
      <c r="AB27" s="1769"/>
      <c r="AC27" s="1768">
        <f>+Y27-AA27</f>
        <v>0</v>
      </c>
      <c r="AD27" s="1769"/>
      <c r="AE27" s="1769"/>
      <c r="AF27" s="1769"/>
      <c r="AG27" s="1769"/>
      <c r="AH27" s="1769"/>
      <c r="AI27" s="1769"/>
      <c r="AJ27" s="1767"/>
      <c r="AK27" s="1767"/>
      <c r="AL27" s="1768">
        <f t="shared" si="2"/>
        <v>0</v>
      </c>
      <c r="AM27" s="1769"/>
      <c r="AN27" s="1767"/>
    </row>
    <row r="28" spans="1:40" ht="28.5">
      <c r="A28" s="1763">
        <f t="shared" si="3"/>
        <v>23</v>
      </c>
      <c r="B28" s="1770" t="s">
        <v>4756</v>
      </c>
      <c r="C28" s="1771"/>
      <c r="D28" s="1766" t="s">
        <v>4757</v>
      </c>
      <c r="E28" s="1767"/>
      <c r="F28" s="1767"/>
      <c r="G28" s="1767"/>
      <c r="H28" s="1767"/>
      <c r="I28" s="1767"/>
      <c r="J28" s="1767"/>
      <c r="K28" s="1767"/>
      <c r="L28" s="1767"/>
      <c r="M28" s="1767"/>
      <c r="N28" s="1767"/>
      <c r="O28" s="1767"/>
      <c r="P28" s="1767"/>
      <c r="Q28" s="1767"/>
      <c r="R28" s="1767"/>
      <c r="S28" s="1767"/>
      <c r="T28" s="1767"/>
      <c r="U28" s="1767"/>
      <c r="V28" s="1767"/>
      <c r="W28" s="1767"/>
      <c r="X28" s="1767"/>
      <c r="Y28" s="1768">
        <f t="shared" si="0"/>
        <v>0</v>
      </c>
      <c r="Z28" s="1769"/>
      <c r="AA28" s="1767"/>
      <c r="AB28" s="1769"/>
      <c r="AC28" s="1768">
        <f t="shared" si="1"/>
        <v>0</v>
      </c>
      <c r="AD28" s="1769"/>
      <c r="AE28" s="1769"/>
      <c r="AF28" s="1769"/>
      <c r="AG28" s="1769"/>
      <c r="AH28" s="1769"/>
      <c r="AI28" s="1769"/>
      <c r="AJ28" s="1767"/>
      <c r="AK28" s="1767"/>
      <c r="AL28" s="1768">
        <f t="shared" si="2"/>
        <v>0</v>
      </c>
      <c r="AM28" s="1769"/>
      <c r="AN28" s="1767"/>
    </row>
    <row r="29" spans="1:40" ht="14.1" customHeight="1">
      <c r="A29" s="1763">
        <f t="shared" si="3"/>
        <v>24</v>
      </c>
      <c r="B29" s="1770"/>
      <c r="C29" s="1771"/>
      <c r="D29" s="1766" t="s">
        <v>4758</v>
      </c>
      <c r="E29" s="1767"/>
      <c r="F29" s="1767"/>
      <c r="G29" s="1767"/>
      <c r="H29" s="1767"/>
      <c r="I29" s="1767"/>
      <c r="J29" s="1767"/>
      <c r="K29" s="1767"/>
      <c r="L29" s="1767"/>
      <c r="M29" s="1767"/>
      <c r="N29" s="1767"/>
      <c r="O29" s="1767"/>
      <c r="P29" s="1767"/>
      <c r="Q29" s="1767"/>
      <c r="R29" s="1767"/>
      <c r="S29" s="1767"/>
      <c r="T29" s="1767"/>
      <c r="U29" s="1767"/>
      <c r="V29" s="1767"/>
      <c r="W29" s="1767"/>
      <c r="X29" s="1767"/>
      <c r="Y29" s="1768">
        <f t="shared" si="0"/>
        <v>0</v>
      </c>
      <c r="Z29" s="1769"/>
      <c r="AA29" s="1767"/>
      <c r="AB29" s="1769"/>
      <c r="AC29" s="1768">
        <f t="shared" si="1"/>
        <v>0</v>
      </c>
      <c r="AD29" s="1769"/>
      <c r="AE29" s="1769"/>
      <c r="AF29" s="1769"/>
      <c r="AG29" s="1769"/>
      <c r="AH29" s="1769"/>
      <c r="AI29" s="1769"/>
      <c r="AJ29" s="1767"/>
      <c r="AK29" s="1767"/>
      <c r="AL29" s="1768">
        <f t="shared" si="2"/>
        <v>0</v>
      </c>
      <c r="AM29" s="1769"/>
      <c r="AN29" s="1767"/>
    </row>
    <row r="30" spans="1:40" ht="14.1" customHeight="1">
      <c r="A30" s="1763">
        <f t="shared" si="3"/>
        <v>25</v>
      </c>
      <c r="B30" s="1770"/>
      <c r="C30" s="1773" t="s">
        <v>4759</v>
      </c>
      <c r="D30" s="1766" t="s">
        <v>3650</v>
      </c>
      <c r="E30" s="1768">
        <f>SUM(E26:E29)</f>
        <v>0</v>
      </c>
      <c r="F30" s="1768">
        <f t="shared" ref="F30:X30" si="9">SUM(F26:F29)</f>
        <v>0</v>
      </c>
      <c r="G30" s="1768">
        <f t="shared" si="9"/>
        <v>0</v>
      </c>
      <c r="H30" s="1768">
        <f t="shared" si="9"/>
        <v>0</v>
      </c>
      <c r="I30" s="1768">
        <f t="shared" si="9"/>
        <v>0</v>
      </c>
      <c r="J30" s="1768">
        <f t="shared" si="9"/>
        <v>0</v>
      </c>
      <c r="K30" s="1768">
        <f t="shared" si="9"/>
        <v>0</v>
      </c>
      <c r="L30" s="1768">
        <f t="shared" si="9"/>
        <v>0</v>
      </c>
      <c r="M30" s="1768">
        <f t="shared" si="9"/>
        <v>0</v>
      </c>
      <c r="N30" s="1768">
        <f t="shared" si="9"/>
        <v>0</v>
      </c>
      <c r="O30" s="1768">
        <f t="shared" si="9"/>
        <v>0</v>
      </c>
      <c r="P30" s="1768">
        <f t="shared" si="9"/>
        <v>0</v>
      </c>
      <c r="Q30" s="1768">
        <f t="shared" si="9"/>
        <v>0</v>
      </c>
      <c r="R30" s="1768">
        <f t="shared" si="9"/>
        <v>0</v>
      </c>
      <c r="S30" s="1768">
        <f t="shared" si="9"/>
        <v>0</v>
      </c>
      <c r="T30" s="1768">
        <f t="shared" si="9"/>
        <v>0</v>
      </c>
      <c r="U30" s="1768">
        <f t="shared" si="9"/>
        <v>0</v>
      </c>
      <c r="V30" s="1768">
        <f t="shared" si="9"/>
        <v>0</v>
      </c>
      <c r="W30" s="1768">
        <f t="shared" si="9"/>
        <v>0</v>
      </c>
      <c r="X30" s="1768">
        <f t="shared" si="9"/>
        <v>0</v>
      </c>
      <c r="Y30" s="1768">
        <f t="shared" si="0"/>
        <v>0</v>
      </c>
      <c r="Z30" s="1769"/>
      <c r="AA30" s="1767"/>
      <c r="AB30" s="1769"/>
      <c r="AC30" s="1768">
        <f t="shared" si="1"/>
        <v>0</v>
      </c>
      <c r="AD30" s="1769"/>
      <c r="AE30" s="1769"/>
      <c r="AF30" s="1769"/>
      <c r="AG30" s="1769"/>
      <c r="AH30" s="1769"/>
      <c r="AI30" s="1769"/>
      <c r="AJ30" s="1767"/>
      <c r="AK30" s="1767"/>
      <c r="AL30" s="1768">
        <f t="shared" si="2"/>
        <v>0</v>
      </c>
      <c r="AM30" s="1769"/>
      <c r="AN30" s="1767"/>
    </row>
    <row r="31" spans="1:40" ht="15" customHeight="1">
      <c r="A31" s="1763">
        <f t="shared" si="3"/>
        <v>26</v>
      </c>
      <c r="B31" s="1770"/>
      <c r="D31" s="1774" t="s">
        <v>4760</v>
      </c>
      <c r="E31" s="1767"/>
      <c r="F31" s="1767"/>
      <c r="G31" s="1767"/>
      <c r="H31" s="1767"/>
      <c r="I31" s="1767"/>
      <c r="J31" s="1767"/>
      <c r="K31" s="1767"/>
      <c r="L31" s="1767"/>
      <c r="M31" s="1767"/>
      <c r="N31" s="1767"/>
      <c r="O31" s="1767"/>
      <c r="P31" s="1767"/>
      <c r="Q31" s="1767"/>
      <c r="R31" s="1767"/>
      <c r="S31" s="1767"/>
      <c r="T31" s="1767"/>
      <c r="U31" s="1767"/>
      <c r="V31" s="1767"/>
      <c r="W31" s="1767"/>
      <c r="X31" s="1767"/>
      <c r="Y31" s="1768">
        <f t="shared" si="0"/>
        <v>0</v>
      </c>
      <c r="Z31" s="1769"/>
      <c r="AA31" s="1767"/>
      <c r="AB31" s="1769"/>
      <c r="AC31" s="1768">
        <f t="shared" si="1"/>
        <v>0</v>
      </c>
      <c r="AD31" s="1769"/>
      <c r="AE31" s="1769"/>
      <c r="AF31" s="1769"/>
      <c r="AG31" s="1769"/>
      <c r="AH31" s="1769"/>
      <c r="AI31" s="1769"/>
      <c r="AJ31" s="1767"/>
      <c r="AK31" s="1767"/>
      <c r="AL31" s="1768">
        <f t="shared" si="2"/>
        <v>0</v>
      </c>
      <c r="AM31" s="1769"/>
      <c r="AN31" s="1767"/>
    </row>
    <row r="32" spans="1:40" ht="14.1" customHeight="1">
      <c r="A32" s="1763">
        <f t="shared" si="3"/>
        <v>27</v>
      </c>
      <c r="B32" s="1770" t="s">
        <v>4783</v>
      </c>
      <c r="C32" s="1771" t="s">
        <v>4762</v>
      </c>
      <c r="D32" s="1775" t="s">
        <v>4763</v>
      </c>
      <c r="E32" s="1767"/>
      <c r="F32" s="1767"/>
      <c r="G32" s="1767"/>
      <c r="H32" s="1767"/>
      <c r="I32" s="1767"/>
      <c r="J32" s="1767"/>
      <c r="K32" s="1767"/>
      <c r="L32" s="1767"/>
      <c r="M32" s="1767"/>
      <c r="N32" s="1767"/>
      <c r="O32" s="1767"/>
      <c r="P32" s="1767"/>
      <c r="Q32" s="1767"/>
      <c r="R32" s="1767"/>
      <c r="S32" s="1767"/>
      <c r="T32" s="1767"/>
      <c r="U32" s="1767"/>
      <c r="V32" s="1767"/>
      <c r="W32" s="1767"/>
      <c r="X32" s="1767"/>
      <c r="Y32" s="1768">
        <f t="shared" si="0"/>
        <v>0</v>
      </c>
      <c r="Z32" s="1769"/>
      <c r="AA32" s="1767"/>
      <c r="AB32" s="1769"/>
      <c r="AC32" s="1768">
        <f t="shared" si="1"/>
        <v>0</v>
      </c>
      <c r="AD32" s="1769"/>
      <c r="AE32" s="1769"/>
      <c r="AF32" s="1769"/>
      <c r="AG32" s="1769"/>
      <c r="AH32" s="1769"/>
      <c r="AI32" s="1769"/>
      <c r="AJ32" s="1767"/>
      <c r="AK32" s="1767"/>
      <c r="AL32" s="1768">
        <f t="shared" si="2"/>
        <v>0</v>
      </c>
      <c r="AM32" s="1769"/>
      <c r="AN32" s="1767"/>
    </row>
    <row r="33" spans="1:40" ht="14.25">
      <c r="A33" s="1763">
        <f t="shared" si="3"/>
        <v>28</v>
      </c>
      <c r="B33" s="1770"/>
      <c r="C33" s="1771" t="s">
        <v>4764</v>
      </c>
      <c r="D33" s="1776" t="s">
        <v>4765</v>
      </c>
      <c r="E33" s="1767"/>
      <c r="F33" s="1767"/>
      <c r="G33" s="1767"/>
      <c r="H33" s="1767"/>
      <c r="I33" s="1767"/>
      <c r="J33" s="1767"/>
      <c r="K33" s="1767"/>
      <c r="L33" s="1767"/>
      <c r="M33" s="1767"/>
      <c r="N33" s="1767"/>
      <c r="O33" s="1767"/>
      <c r="P33" s="1767"/>
      <c r="Q33" s="1767"/>
      <c r="R33" s="1767"/>
      <c r="S33" s="1767"/>
      <c r="T33" s="1767"/>
      <c r="U33" s="1767"/>
      <c r="V33" s="1767"/>
      <c r="W33" s="1767"/>
      <c r="X33" s="1767"/>
      <c r="Y33" s="1768">
        <f t="shared" si="0"/>
        <v>0</v>
      </c>
      <c r="Z33" s="1769"/>
      <c r="AA33" s="1767"/>
      <c r="AB33" s="1769"/>
      <c r="AC33" s="1768">
        <f t="shared" si="1"/>
        <v>0</v>
      </c>
      <c r="AD33" s="1769"/>
      <c r="AE33" s="1769"/>
      <c r="AF33" s="1769"/>
      <c r="AG33" s="1769"/>
      <c r="AH33" s="1769"/>
      <c r="AI33" s="1769"/>
      <c r="AJ33" s="1767"/>
      <c r="AK33" s="1767"/>
      <c r="AL33" s="1768">
        <f t="shared" si="2"/>
        <v>0</v>
      </c>
      <c r="AM33" s="1769"/>
      <c r="AN33" s="1767"/>
    </row>
    <row r="34" spans="1:40" ht="14.1" customHeight="1">
      <c r="A34" s="1763">
        <f t="shared" si="3"/>
        <v>29</v>
      </c>
      <c r="B34" s="1770"/>
      <c r="C34" s="1771" t="s">
        <v>4766</v>
      </c>
      <c r="D34" s="1775" t="s">
        <v>4767</v>
      </c>
      <c r="E34" s="1767"/>
      <c r="F34" s="1767"/>
      <c r="G34" s="1767"/>
      <c r="H34" s="1767"/>
      <c r="I34" s="1767"/>
      <c r="J34" s="1767"/>
      <c r="K34" s="1767"/>
      <c r="L34" s="1767"/>
      <c r="M34" s="1767"/>
      <c r="N34" s="1767"/>
      <c r="O34" s="1767"/>
      <c r="P34" s="1767"/>
      <c r="Q34" s="1767"/>
      <c r="R34" s="1767"/>
      <c r="S34" s="1767"/>
      <c r="T34" s="1767"/>
      <c r="U34" s="1767"/>
      <c r="V34" s="1767"/>
      <c r="W34" s="1767"/>
      <c r="X34" s="1767"/>
      <c r="Y34" s="1768">
        <f t="shared" si="0"/>
        <v>0</v>
      </c>
      <c r="Z34" s="1769"/>
      <c r="AA34" s="1767"/>
      <c r="AB34" s="1769"/>
      <c r="AC34" s="1768">
        <f t="shared" si="1"/>
        <v>0</v>
      </c>
      <c r="AD34" s="1769"/>
      <c r="AE34" s="1769"/>
      <c r="AF34" s="1769"/>
      <c r="AG34" s="1769"/>
      <c r="AH34" s="1769"/>
      <c r="AI34" s="1769"/>
      <c r="AJ34" s="1767"/>
      <c r="AK34" s="1767"/>
      <c r="AL34" s="1768">
        <f t="shared" si="2"/>
        <v>0</v>
      </c>
      <c r="AM34" s="1769"/>
      <c r="AN34" s="1767"/>
    </row>
    <row r="35" spans="1:40" ht="14.1" customHeight="1">
      <c r="A35" s="1763">
        <f t="shared" si="3"/>
        <v>30</v>
      </c>
      <c r="B35" s="1770"/>
      <c r="C35" s="1771" t="s">
        <v>4768</v>
      </c>
      <c r="D35" s="1775" t="s">
        <v>4784</v>
      </c>
      <c r="E35" s="1767"/>
      <c r="F35" s="1767"/>
      <c r="G35" s="1767"/>
      <c r="H35" s="1767"/>
      <c r="I35" s="1767"/>
      <c r="J35" s="1767"/>
      <c r="K35" s="1767"/>
      <c r="L35" s="1767"/>
      <c r="M35" s="1767"/>
      <c r="N35" s="1767"/>
      <c r="O35" s="1767"/>
      <c r="P35" s="1767"/>
      <c r="Q35" s="1767"/>
      <c r="R35" s="1767"/>
      <c r="S35" s="1767"/>
      <c r="T35" s="1767"/>
      <c r="U35" s="1767"/>
      <c r="V35" s="1767"/>
      <c r="W35" s="1767"/>
      <c r="X35" s="1767"/>
      <c r="Y35" s="1768">
        <f t="shared" si="0"/>
        <v>0</v>
      </c>
      <c r="Z35" s="1769"/>
      <c r="AA35" s="1767"/>
      <c r="AB35" s="1769"/>
      <c r="AC35" s="1768">
        <f t="shared" si="1"/>
        <v>0</v>
      </c>
      <c r="AD35" s="1769"/>
      <c r="AE35" s="1769"/>
      <c r="AF35" s="1769"/>
      <c r="AG35" s="1769"/>
      <c r="AH35" s="1769"/>
      <c r="AI35" s="1769"/>
      <c r="AJ35" s="1767"/>
      <c r="AK35" s="1767"/>
      <c r="AL35" s="1768">
        <f t="shared" si="2"/>
        <v>0</v>
      </c>
      <c r="AM35" s="1769"/>
      <c r="AN35" s="1767"/>
    </row>
    <row r="36" spans="1:40" ht="14.1" customHeight="1">
      <c r="A36" s="1763">
        <f t="shared" si="3"/>
        <v>31</v>
      </c>
      <c r="B36" s="1770" t="s">
        <v>4770</v>
      </c>
      <c r="C36" s="1773"/>
      <c r="D36" s="1759" t="s">
        <v>4341</v>
      </c>
      <c r="E36" s="1768">
        <f>SUM(E31:E35)</f>
        <v>0</v>
      </c>
      <c r="F36" s="1768">
        <f t="shared" ref="F36:X36" si="10">SUM(F31:F35)</f>
        <v>0</v>
      </c>
      <c r="G36" s="1768">
        <f t="shared" si="10"/>
        <v>0</v>
      </c>
      <c r="H36" s="1768">
        <f t="shared" si="10"/>
        <v>0</v>
      </c>
      <c r="I36" s="1768">
        <f t="shared" si="10"/>
        <v>0</v>
      </c>
      <c r="J36" s="1768">
        <f t="shared" si="10"/>
        <v>0</v>
      </c>
      <c r="K36" s="1768">
        <f t="shared" si="10"/>
        <v>0</v>
      </c>
      <c r="L36" s="1768">
        <f t="shared" si="10"/>
        <v>0</v>
      </c>
      <c r="M36" s="1768">
        <f t="shared" si="10"/>
        <v>0</v>
      </c>
      <c r="N36" s="1768">
        <f t="shared" si="10"/>
        <v>0</v>
      </c>
      <c r="O36" s="1768">
        <f t="shared" si="10"/>
        <v>0</v>
      </c>
      <c r="P36" s="1768">
        <f t="shared" si="10"/>
        <v>0</v>
      </c>
      <c r="Q36" s="1768">
        <f t="shared" si="10"/>
        <v>0</v>
      </c>
      <c r="R36" s="1768">
        <f t="shared" si="10"/>
        <v>0</v>
      </c>
      <c r="S36" s="1768">
        <f t="shared" si="10"/>
        <v>0</v>
      </c>
      <c r="T36" s="1768">
        <f t="shared" si="10"/>
        <v>0</v>
      </c>
      <c r="U36" s="1768">
        <f t="shared" si="10"/>
        <v>0</v>
      </c>
      <c r="V36" s="1768">
        <f t="shared" si="10"/>
        <v>0</v>
      </c>
      <c r="W36" s="1768">
        <f t="shared" si="10"/>
        <v>0</v>
      </c>
      <c r="X36" s="1768">
        <f t="shared" si="10"/>
        <v>0</v>
      </c>
      <c r="Y36" s="1768">
        <f t="shared" si="0"/>
        <v>0</v>
      </c>
      <c r="Z36" s="1769"/>
      <c r="AA36" s="1767"/>
      <c r="AB36" s="1769"/>
      <c r="AC36" s="1768">
        <f t="shared" si="1"/>
        <v>0</v>
      </c>
      <c r="AD36" s="1769"/>
      <c r="AE36" s="1769"/>
      <c r="AF36" s="1769"/>
      <c r="AG36" s="1769"/>
      <c r="AH36" s="1769"/>
      <c r="AI36" s="1769"/>
      <c r="AJ36" s="1767"/>
      <c r="AK36" s="1767"/>
      <c r="AL36" s="1768">
        <f t="shared" si="2"/>
        <v>0</v>
      </c>
      <c r="AM36" s="1769"/>
      <c r="AN36" s="1767"/>
    </row>
    <row r="37" spans="1:40" ht="14.1" customHeight="1">
      <c r="A37" s="1763">
        <f t="shared" si="3"/>
        <v>32</v>
      </c>
      <c r="B37" s="1770"/>
      <c r="C37" s="1771" t="s">
        <v>4771</v>
      </c>
      <c r="D37" s="1775" t="s">
        <v>4772</v>
      </c>
      <c r="E37" s="1767"/>
      <c r="F37" s="1767"/>
      <c r="G37" s="1767"/>
      <c r="H37" s="1767"/>
      <c r="I37" s="1767"/>
      <c r="J37" s="1767"/>
      <c r="K37" s="1767"/>
      <c r="L37" s="1767"/>
      <c r="M37" s="1767"/>
      <c r="N37" s="1767"/>
      <c r="O37" s="1767"/>
      <c r="P37" s="1767"/>
      <c r="Q37" s="1767"/>
      <c r="R37" s="1767"/>
      <c r="S37" s="1767"/>
      <c r="T37" s="1767"/>
      <c r="U37" s="1767"/>
      <c r="V37" s="1767"/>
      <c r="W37" s="1767"/>
      <c r="X37" s="1767"/>
      <c r="Y37" s="1768">
        <f t="shared" si="0"/>
        <v>0</v>
      </c>
      <c r="Z37" s="1769"/>
      <c r="AA37" s="1767"/>
      <c r="AB37" s="1769"/>
      <c r="AC37" s="1768">
        <f t="shared" si="1"/>
        <v>0</v>
      </c>
      <c r="AD37" s="1769"/>
      <c r="AE37" s="1769"/>
      <c r="AF37" s="1769"/>
      <c r="AG37" s="1769"/>
      <c r="AH37" s="1769"/>
      <c r="AI37" s="1769"/>
      <c r="AJ37" s="1767"/>
      <c r="AK37" s="1767"/>
      <c r="AL37" s="1768">
        <f t="shared" si="2"/>
        <v>0</v>
      </c>
      <c r="AM37" s="1769"/>
      <c r="AN37" s="1767"/>
    </row>
    <row r="38" spans="1:40" ht="14.1" customHeight="1">
      <c r="A38" s="1763">
        <f t="shared" si="3"/>
        <v>33</v>
      </c>
      <c r="B38" s="1770"/>
      <c r="C38" s="1771" t="s">
        <v>4773</v>
      </c>
      <c r="D38" s="1775" t="s">
        <v>4774</v>
      </c>
      <c r="E38" s="1767"/>
      <c r="F38" s="1767"/>
      <c r="G38" s="1767"/>
      <c r="H38" s="1767"/>
      <c r="I38" s="1767"/>
      <c r="J38" s="1767"/>
      <c r="K38" s="1767"/>
      <c r="L38" s="1767"/>
      <c r="M38" s="1767"/>
      <c r="N38" s="1767"/>
      <c r="O38" s="1767"/>
      <c r="P38" s="1767"/>
      <c r="Q38" s="1767"/>
      <c r="R38" s="1767"/>
      <c r="S38" s="1767"/>
      <c r="T38" s="1767"/>
      <c r="U38" s="1767"/>
      <c r="V38" s="1767"/>
      <c r="W38" s="1767"/>
      <c r="X38" s="1767"/>
      <c r="Y38" s="1768">
        <f t="shared" si="0"/>
        <v>0</v>
      </c>
      <c r="Z38" s="1769"/>
      <c r="AA38" s="1767"/>
      <c r="AB38" s="1769"/>
      <c r="AC38" s="1768">
        <f t="shared" si="1"/>
        <v>0</v>
      </c>
      <c r="AD38" s="1769"/>
      <c r="AE38" s="1769"/>
      <c r="AF38" s="1769"/>
      <c r="AG38" s="1769"/>
      <c r="AH38" s="1769"/>
      <c r="AI38" s="1769"/>
      <c r="AJ38" s="1767"/>
      <c r="AK38" s="1767"/>
      <c r="AL38" s="1768">
        <f t="shared" si="2"/>
        <v>0</v>
      </c>
      <c r="AM38" s="1769"/>
      <c r="AN38" s="1767"/>
    </row>
    <row r="39" spans="1:40" ht="14.1" customHeight="1">
      <c r="A39" s="1763">
        <f t="shared" si="3"/>
        <v>34</v>
      </c>
      <c r="B39" s="1770"/>
      <c r="C39" s="1771" t="s">
        <v>4775</v>
      </c>
      <c r="D39" s="1775" t="s">
        <v>4758</v>
      </c>
      <c r="E39" s="1767"/>
      <c r="F39" s="1767"/>
      <c r="G39" s="1767"/>
      <c r="H39" s="1767"/>
      <c r="I39" s="1767"/>
      <c r="J39" s="1767"/>
      <c r="K39" s="1767"/>
      <c r="L39" s="1767"/>
      <c r="M39" s="1767"/>
      <c r="N39" s="1767"/>
      <c r="O39" s="1767"/>
      <c r="P39" s="1767"/>
      <c r="Q39" s="1767"/>
      <c r="R39" s="1767"/>
      <c r="S39" s="1767"/>
      <c r="T39" s="1767"/>
      <c r="U39" s="1767"/>
      <c r="V39" s="1767"/>
      <c r="W39" s="1767"/>
      <c r="X39" s="1767"/>
      <c r="Y39" s="1768">
        <f t="shared" si="0"/>
        <v>0</v>
      </c>
      <c r="Z39" s="1769"/>
      <c r="AA39" s="1767"/>
      <c r="AB39" s="1769"/>
      <c r="AC39" s="1768">
        <f t="shared" si="1"/>
        <v>0</v>
      </c>
      <c r="AD39" s="1769"/>
      <c r="AE39" s="1769"/>
      <c r="AF39" s="1769"/>
      <c r="AG39" s="1769"/>
      <c r="AH39" s="1769"/>
      <c r="AI39" s="1769"/>
      <c r="AJ39" s="1767"/>
      <c r="AK39" s="1767"/>
      <c r="AL39" s="1768">
        <f t="shared" si="2"/>
        <v>0</v>
      </c>
      <c r="AM39" s="1769"/>
      <c r="AN39" s="1767"/>
    </row>
    <row r="40" spans="1:40" ht="14.1" customHeight="1">
      <c r="A40" s="1763">
        <f t="shared" si="3"/>
        <v>35</v>
      </c>
      <c r="B40" s="1770" t="s">
        <v>4776</v>
      </c>
      <c r="C40" s="1773"/>
      <c r="D40" s="1771" t="s">
        <v>4341</v>
      </c>
      <c r="E40" s="1768">
        <f>SUM(E37:E39)</f>
        <v>0</v>
      </c>
      <c r="F40" s="1768">
        <f t="shared" ref="F40:X40" si="11">SUM(F37:F39)</f>
        <v>0</v>
      </c>
      <c r="G40" s="1768">
        <f t="shared" si="11"/>
        <v>0</v>
      </c>
      <c r="H40" s="1768">
        <f t="shared" si="11"/>
        <v>0</v>
      </c>
      <c r="I40" s="1768">
        <f t="shared" si="11"/>
        <v>0</v>
      </c>
      <c r="J40" s="1768">
        <f t="shared" si="11"/>
        <v>0</v>
      </c>
      <c r="K40" s="1768">
        <f t="shared" si="11"/>
        <v>0</v>
      </c>
      <c r="L40" s="1768">
        <f t="shared" si="11"/>
        <v>0</v>
      </c>
      <c r="M40" s="1768">
        <f t="shared" si="11"/>
        <v>0</v>
      </c>
      <c r="N40" s="1768">
        <f t="shared" si="11"/>
        <v>0</v>
      </c>
      <c r="O40" s="1768">
        <f t="shared" si="11"/>
        <v>0</v>
      </c>
      <c r="P40" s="1768">
        <f t="shared" si="11"/>
        <v>0</v>
      </c>
      <c r="Q40" s="1768">
        <f t="shared" si="11"/>
        <v>0</v>
      </c>
      <c r="R40" s="1768">
        <f t="shared" si="11"/>
        <v>0</v>
      </c>
      <c r="S40" s="1768">
        <f t="shared" si="11"/>
        <v>0</v>
      </c>
      <c r="T40" s="1768">
        <f t="shared" si="11"/>
        <v>0</v>
      </c>
      <c r="U40" s="1768">
        <f t="shared" si="11"/>
        <v>0</v>
      </c>
      <c r="V40" s="1768">
        <f t="shared" si="11"/>
        <v>0</v>
      </c>
      <c r="W40" s="1768">
        <f t="shared" si="11"/>
        <v>0</v>
      </c>
      <c r="X40" s="1768">
        <f t="shared" si="11"/>
        <v>0</v>
      </c>
      <c r="Y40" s="1768">
        <f t="shared" si="0"/>
        <v>0</v>
      </c>
      <c r="Z40" s="1769"/>
      <c r="AA40" s="1767"/>
      <c r="AB40" s="1769"/>
      <c r="AC40" s="1768">
        <f t="shared" si="1"/>
        <v>0</v>
      </c>
      <c r="AD40" s="1769"/>
      <c r="AE40" s="1769"/>
      <c r="AF40" s="1769"/>
      <c r="AG40" s="1769"/>
      <c r="AH40" s="1769"/>
      <c r="AI40" s="1769"/>
      <c r="AJ40" s="1767"/>
      <c r="AK40" s="1767"/>
      <c r="AL40" s="1768">
        <f t="shared" si="2"/>
        <v>0</v>
      </c>
      <c r="AM40" s="1769"/>
      <c r="AN40" s="1767"/>
    </row>
    <row r="41" spans="1:40" ht="14.1" customHeight="1">
      <c r="A41" s="1763">
        <f t="shared" si="3"/>
        <v>36</v>
      </c>
      <c r="B41" s="1770"/>
      <c r="C41" s="1771" t="s">
        <v>4777</v>
      </c>
      <c r="D41" s="1778" t="s">
        <v>4778</v>
      </c>
      <c r="E41" s="1767"/>
      <c r="F41" s="1767"/>
      <c r="G41" s="1767"/>
      <c r="H41" s="1767"/>
      <c r="I41" s="1767"/>
      <c r="J41" s="1767"/>
      <c r="K41" s="1767"/>
      <c r="L41" s="1767"/>
      <c r="M41" s="1767"/>
      <c r="N41" s="1767"/>
      <c r="O41" s="1767"/>
      <c r="P41" s="1767"/>
      <c r="Q41" s="1767"/>
      <c r="R41" s="1767"/>
      <c r="S41" s="1767"/>
      <c r="T41" s="1767"/>
      <c r="U41" s="1767"/>
      <c r="V41" s="1767"/>
      <c r="W41" s="1767"/>
      <c r="X41" s="1767"/>
      <c r="Y41" s="1768">
        <f t="shared" si="0"/>
        <v>0</v>
      </c>
      <c r="Z41" s="1769"/>
      <c r="AA41" s="1767"/>
      <c r="AB41" s="1769"/>
      <c r="AC41" s="1768">
        <f t="shared" si="1"/>
        <v>0</v>
      </c>
      <c r="AD41" s="1769"/>
      <c r="AE41" s="1769"/>
      <c r="AF41" s="1769"/>
      <c r="AG41" s="1769"/>
      <c r="AH41" s="1769"/>
      <c r="AI41" s="1769"/>
      <c r="AJ41" s="1767"/>
      <c r="AK41" s="1767"/>
      <c r="AL41" s="1768">
        <f t="shared" si="2"/>
        <v>0</v>
      </c>
      <c r="AM41" s="1769"/>
      <c r="AN41" s="1767"/>
    </row>
    <row r="42" spans="1:40" ht="14.1" customHeight="1">
      <c r="A42" s="1763">
        <f t="shared" si="3"/>
        <v>37</v>
      </c>
      <c r="B42" s="1770"/>
      <c r="C42" s="1771"/>
      <c r="D42" s="1779" t="s">
        <v>4785</v>
      </c>
      <c r="E42" s="1767"/>
      <c r="F42" s="1767"/>
      <c r="G42" s="1767"/>
      <c r="H42" s="1767"/>
      <c r="I42" s="1767"/>
      <c r="J42" s="1767"/>
      <c r="K42" s="1767"/>
      <c r="L42" s="1767"/>
      <c r="M42" s="1767"/>
      <c r="N42" s="1767"/>
      <c r="O42" s="1767"/>
      <c r="P42" s="1767"/>
      <c r="Q42" s="1767"/>
      <c r="R42" s="1767"/>
      <c r="S42" s="1767"/>
      <c r="T42" s="1767"/>
      <c r="U42" s="1767"/>
      <c r="V42" s="1767"/>
      <c r="W42" s="1767"/>
      <c r="X42" s="1767"/>
      <c r="Y42" s="1768">
        <f t="shared" si="0"/>
        <v>0</v>
      </c>
      <c r="Z42" s="1769"/>
      <c r="AA42" s="1767"/>
      <c r="AB42" s="1769"/>
      <c r="AC42" s="1768">
        <f t="shared" si="1"/>
        <v>0</v>
      </c>
      <c r="AD42" s="1769"/>
      <c r="AE42" s="1769"/>
      <c r="AF42" s="1769"/>
      <c r="AG42" s="1769"/>
      <c r="AH42" s="1769"/>
      <c r="AI42" s="1769"/>
      <c r="AJ42" s="1767"/>
      <c r="AK42" s="1767"/>
      <c r="AL42" s="1768">
        <f t="shared" si="2"/>
        <v>0</v>
      </c>
      <c r="AM42" s="1769"/>
      <c r="AN42" s="1767"/>
    </row>
    <row r="43" spans="1:40" ht="14.1" customHeight="1">
      <c r="A43" s="1763">
        <f t="shared" si="3"/>
        <v>38</v>
      </c>
      <c r="B43" s="1770"/>
      <c r="C43" s="1773" t="s">
        <v>4780</v>
      </c>
      <c r="D43" s="1779" t="s">
        <v>3650</v>
      </c>
      <c r="E43" s="1768">
        <f>SUM(E41:E42)</f>
        <v>0</v>
      </c>
      <c r="F43" s="1768">
        <f t="shared" ref="F43:X43" si="12">SUM(F41:F42)</f>
        <v>0</v>
      </c>
      <c r="G43" s="1768">
        <f t="shared" si="12"/>
        <v>0</v>
      </c>
      <c r="H43" s="1768">
        <f t="shared" si="12"/>
        <v>0</v>
      </c>
      <c r="I43" s="1768">
        <f t="shared" si="12"/>
        <v>0</v>
      </c>
      <c r="J43" s="1768">
        <f t="shared" si="12"/>
        <v>0</v>
      </c>
      <c r="K43" s="1768">
        <f t="shared" si="12"/>
        <v>0</v>
      </c>
      <c r="L43" s="1768">
        <f t="shared" si="12"/>
        <v>0</v>
      </c>
      <c r="M43" s="1768">
        <f t="shared" si="12"/>
        <v>0</v>
      </c>
      <c r="N43" s="1768">
        <f t="shared" si="12"/>
        <v>0</v>
      </c>
      <c r="O43" s="1768">
        <f t="shared" si="12"/>
        <v>0</v>
      </c>
      <c r="P43" s="1768">
        <f t="shared" si="12"/>
        <v>0</v>
      </c>
      <c r="Q43" s="1768">
        <f t="shared" si="12"/>
        <v>0</v>
      </c>
      <c r="R43" s="1768">
        <f t="shared" si="12"/>
        <v>0</v>
      </c>
      <c r="S43" s="1768">
        <f t="shared" si="12"/>
        <v>0</v>
      </c>
      <c r="T43" s="1768">
        <f t="shared" si="12"/>
        <v>0</v>
      </c>
      <c r="U43" s="1768">
        <f t="shared" si="12"/>
        <v>0</v>
      </c>
      <c r="V43" s="1768">
        <f t="shared" si="12"/>
        <v>0</v>
      </c>
      <c r="W43" s="1768">
        <f t="shared" si="12"/>
        <v>0</v>
      </c>
      <c r="X43" s="1768">
        <f t="shared" si="12"/>
        <v>0</v>
      </c>
      <c r="Y43" s="1768">
        <f t="shared" si="0"/>
        <v>0</v>
      </c>
      <c r="Z43" s="1769"/>
      <c r="AA43" s="1767"/>
      <c r="AB43" s="1769"/>
      <c r="AC43" s="1768">
        <f t="shared" si="1"/>
        <v>0</v>
      </c>
      <c r="AD43" s="1769"/>
      <c r="AE43" s="1769"/>
      <c r="AF43" s="1769"/>
      <c r="AG43" s="1769"/>
      <c r="AH43" s="1769"/>
      <c r="AI43" s="1769"/>
      <c r="AJ43" s="1767"/>
      <c r="AK43" s="1767"/>
      <c r="AL43" s="1768">
        <f t="shared" si="2"/>
        <v>0</v>
      </c>
      <c r="AM43" s="1769"/>
      <c r="AN43" s="1767"/>
    </row>
    <row r="44" spans="1:40" ht="14.1" customHeight="1">
      <c r="A44" s="1763">
        <f t="shared" si="3"/>
        <v>39</v>
      </c>
      <c r="B44" s="1770"/>
      <c r="C44" s="2829" t="s">
        <v>4781</v>
      </c>
      <c r="D44" s="2830"/>
      <c r="E44" s="1767"/>
      <c r="F44" s="1767"/>
      <c r="G44" s="1767"/>
      <c r="H44" s="1767"/>
      <c r="I44" s="1767"/>
      <c r="J44" s="1767"/>
      <c r="K44" s="1767"/>
      <c r="L44" s="1767"/>
      <c r="M44" s="1767"/>
      <c r="N44" s="1767"/>
      <c r="O44" s="1767"/>
      <c r="P44" s="1767"/>
      <c r="Q44" s="1767"/>
      <c r="R44" s="1767"/>
      <c r="S44" s="1767"/>
      <c r="T44" s="1767"/>
      <c r="U44" s="1767"/>
      <c r="V44" s="1767"/>
      <c r="W44" s="1767"/>
      <c r="X44" s="1767"/>
      <c r="Y44" s="1768">
        <f t="shared" si="0"/>
        <v>0</v>
      </c>
      <c r="Z44" s="1769"/>
      <c r="AA44" s="1767"/>
      <c r="AB44" s="1769"/>
      <c r="AC44" s="1768">
        <f t="shared" si="1"/>
        <v>0</v>
      </c>
      <c r="AD44" s="1769"/>
      <c r="AE44" s="1769"/>
      <c r="AF44" s="1769"/>
      <c r="AG44" s="1769"/>
      <c r="AH44" s="1769"/>
      <c r="AI44" s="1769"/>
      <c r="AJ44" s="1767"/>
      <c r="AK44" s="1767"/>
      <c r="AL44" s="1768">
        <f t="shared" si="2"/>
        <v>0</v>
      </c>
      <c r="AM44" s="1769"/>
      <c r="AN44" s="1767"/>
    </row>
    <row r="45" spans="1:40" ht="14.1" customHeight="1">
      <c r="A45" s="1763">
        <f t="shared" si="3"/>
        <v>40</v>
      </c>
      <c r="B45" s="1770"/>
      <c r="C45" s="2829" t="s">
        <v>4786</v>
      </c>
      <c r="D45" s="2830"/>
      <c r="E45" s="1768">
        <f>+E30+E36+E40+E43+E44</f>
        <v>0</v>
      </c>
      <c r="F45" s="1768">
        <f t="shared" ref="F45:X45" si="13">+F30+F36+F40+F43+F44</f>
        <v>0</v>
      </c>
      <c r="G45" s="1768">
        <f t="shared" si="13"/>
        <v>0</v>
      </c>
      <c r="H45" s="1768">
        <f t="shared" si="13"/>
        <v>0</v>
      </c>
      <c r="I45" s="1768">
        <f t="shared" si="13"/>
        <v>0</v>
      </c>
      <c r="J45" s="1768">
        <f t="shared" si="13"/>
        <v>0</v>
      </c>
      <c r="K45" s="1768">
        <f t="shared" si="13"/>
        <v>0</v>
      </c>
      <c r="L45" s="1768">
        <f t="shared" si="13"/>
        <v>0</v>
      </c>
      <c r="M45" s="1768">
        <f t="shared" si="13"/>
        <v>0</v>
      </c>
      <c r="N45" s="1768">
        <f t="shared" si="13"/>
        <v>0</v>
      </c>
      <c r="O45" s="1768">
        <f t="shared" si="13"/>
        <v>0</v>
      </c>
      <c r="P45" s="1768">
        <f t="shared" si="13"/>
        <v>0</v>
      </c>
      <c r="Q45" s="1768">
        <f t="shared" si="13"/>
        <v>0</v>
      </c>
      <c r="R45" s="1768">
        <f t="shared" si="13"/>
        <v>0</v>
      </c>
      <c r="S45" s="1768">
        <f t="shared" si="13"/>
        <v>0</v>
      </c>
      <c r="T45" s="1768">
        <f t="shared" si="13"/>
        <v>0</v>
      </c>
      <c r="U45" s="1768">
        <f t="shared" si="13"/>
        <v>0</v>
      </c>
      <c r="V45" s="1768">
        <f t="shared" si="13"/>
        <v>0</v>
      </c>
      <c r="W45" s="1768">
        <f t="shared" si="13"/>
        <v>0</v>
      </c>
      <c r="X45" s="1768">
        <f t="shared" si="13"/>
        <v>0</v>
      </c>
      <c r="Y45" s="1768">
        <f t="shared" si="0"/>
        <v>0</v>
      </c>
      <c r="Z45" s="1769"/>
      <c r="AA45" s="1767"/>
      <c r="AB45" s="1769"/>
      <c r="AC45" s="1768">
        <f t="shared" si="1"/>
        <v>0</v>
      </c>
      <c r="AD45" s="1769"/>
      <c r="AE45" s="1769"/>
      <c r="AF45" s="1769"/>
      <c r="AG45" s="1769"/>
      <c r="AH45" s="1769"/>
      <c r="AI45" s="1769"/>
      <c r="AJ45" s="1767"/>
      <c r="AK45" s="1767"/>
      <c r="AL45" s="1768">
        <f t="shared" si="2"/>
        <v>0</v>
      </c>
      <c r="AM45" s="1769"/>
      <c r="AN45" s="1767"/>
    </row>
    <row r="46" spans="1:40" ht="14.1" customHeight="1">
      <c r="A46" s="1763">
        <f t="shared" si="3"/>
        <v>41</v>
      </c>
      <c r="B46" s="2829" t="s">
        <v>4787</v>
      </c>
      <c r="C46" s="2833"/>
      <c r="D46" s="2830"/>
      <c r="E46" s="1768">
        <f>+E25+E45</f>
        <v>0</v>
      </c>
      <c r="F46" s="1768">
        <f t="shared" ref="F46:X46" si="14">+F25+F45</f>
        <v>0</v>
      </c>
      <c r="G46" s="1768">
        <f t="shared" si="14"/>
        <v>0</v>
      </c>
      <c r="H46" s="1768">
        <f t="shared" si="14"/>
        <v>0</v>
      </c>
      <c r="I46" s="1768">
        <f t="shared" si="14"/>
        <v>0</v>
      </c>
      <c r="J46" s="1768">
        <f t="shared" si="14"/>
        <v>0</v>
      </c>
      <c r="K46" s="1768">
        <f t="shared" si="14"/>
        <v>0</v>
      </c>
      <c r="L46" s="1768">
        <f t="shared" si="14"/>
        <v>0</v>
      </c>
      <c r="M46" s="1768">
        <f t="shared" si="14"/>
        <v>0</v>
      </c>
      <c r="N46" s="1768">
        <f t="shared" si="14"/>
        <v>0</v>
      </c>
      <c r="O46" s="1768">
        <f t="shared" si="14"/>
        <v>0</v>
      </c>
      <c r="P46" s="1768">
        <f t="shared" si="14"/>
        <v>0</v>
      </c>
      <c r="Q46" s="1768">
        <f t="shared" si="14"/>
        <v>0</v>
      </c>
      <c r="R46" s="1768">
        <f t="shared" si="14"/>
        <v>0</v>
      </c>
      <c r="S46" s="1768">
        <f t="shared" si="14"/>
        <v>0</v>
      </c>
      <c r="T46" s="1768">
        <f t="shared" si="14"/>
        <v>0</v>
      </c>
      <c r="U46" s="1768">
        <f t="shared" si="14"/>
        <v>0</v>
      </c>
      <c r="V46" s="1768">
        <f t="shared" si="14"/>
        <v>0</v>
      </c>
      <c r="W46" s="1768">
        <f t="shared" si="14"/>
        <v>0</v>
      </c>
      <c r="X46" s="1768">
        <f t="shared" si="14"/>
        <v>0</v>
      </c>
      <c r="Y46" s="1768">
        <f t="shared" si="0"/>
        <v>0</v>
      </c>
      <c r="Z46" s="1769"/>
      <c r="AA46" s="1767"/>
      <c r="AB46" s="1769"/>
      <c r="AC46" s="1768">
        <f t="shared" si="1"/>
        <v>0</v>
      </c>
      <c r="AD46" s="1769"/>
      <c r="AE46" s="1769"/>
      <c r="AF46" s="1769"/>
      <c r="AG46" s="1769"/>
      <c r="AH46" s="1769"/>
      <c r="AI46" s="1769"/>
      <c r="AJ46" s="1767"/>
      <c r="AK46" s="1767"/>
      <c r="AL46" s="1768">
        <f t="shared" si="2"/>
        <v>0</v>
      </c>
      <c r="AM46" s="1769"/>
      <c r="AN46" s="1767"/>
    </row>
    <row r="47" spans="1:40" ht="14.1" customHeight="1">
      <c r="A47" s="1763">
        <f t="shared" si="3"/>
        <v>42</v>
      </c>
      <c r="B47" s="1780" t="s">
        <v>4788</v>
      </c>
      <c r="C47" s="1765" t="s">
        <v>4771</v>
      </c>
      <c r="D47" s="1775" t="s">
        <v>4789</v>
      </c>
      <c r="E47" s="1767"/>
      <c r="F47" s="1767"/>
      <c r="G47" s="1767"/>
      <c r="H47" s="1767"/>
      <c r="I47" s="1767"/>
      <c r="J47" s="1767"/>
      <c r="K47" s="1767"/>
      <c r="L47" s="1767"/>
      <c r="M47" s="1767"/>
      <c r="N47" s="1767"/>
      <c r="O47" s="1767"/>
      <c r="P47" s="1767"/>
      <c r="Q47" s="1767"/>
      <c r="R47" s="1767"/>
      <c r="S47" s="1767"/>
      <c r="T47" s="1767"/>
      <c r="U47" s="1767"/>
      <c r="V47" s="1767"/>
      <c r="W47" s="1767"/>
      <c r="X47" s="1767"/>
      <c r="Y47" s="1768">
        <f t="shared" si="0"/>
        <v>0</v>
      </c>
      <c r="Z47" s="1769"/>
      <c r="AA47" s="1767"/>
      <c r="AB47" s="1769"/>
      <c r="AC47" s="1768">
        <f t="shared" si="1"/>
        <v>0</v>
      </c>
      <c r="AD47" s="1769"/>
      <c r="AE47" s="1769"/>
      <c r="AF47" s="1769"/>
      <c r="AG47" s="1769"/>
      <c r="AH47" s="1769"/>
      <c r="AI47" s="1769"/>
      <c r="AJ47" s="1767"/>
      <c r="AK47" s="1767"/>
      <c r="AL47" s="1768">
        <f t="shared" si="2"/>
        <v>0</v>
      </c>
      <c r="AM47" s="1769"/>
      <c r="AN47" s="1767"/>
    </row>
    <row r="48" spans="1:40" ht="14.1" customHeight="1">
      <c r="A48" s="1763">
        <f t="shared" si="3"/>
        <v>43</v>
      </c>
      <c r="B48" s="1770"/>
      <c r="C48" s="1771" t="s">
        <v>4773</v>
      </c>
      <c r="D48" s="1775" t="s">
        <v>4790</v>
      </c>
      <c r="E48" s="1767"/>
      <c r="F48" s="1767"/>
      <c r="G48" s="1767"/>
      <c r="H48" s="1767"/>
      <c r="I48" s="1767"/>
      <c r="J48" s="1767"/>
      <c r="K48" s="1767"/>
      <c r="L48" s="1767"/>
      <c r="M48" s="1767"/>
      <c r="N48" s="1767"/>
      <c r="O48" s="1767"/>
      <c r="P48" s="1767"/>
      <c r="Q48" s="1767"/>
      <c r="R48" s="1767"/>
      <c r="S48" s="1767"/>
      <c r="T48" s="1767"/>
      <c r="U48" s="1767"/>
      <c r="V48" s="1767"/>
      <c r="W48" s="1767"/>
      <c r="X48" s="1767"/>
      <c r="Y48" s="1768">
        <f t="shared" si="0"/>
        <v>0</v>
      </c>
      <c r="Z48" s="1769"/>
      <c r="AA48" s="1767"/>
      <c r="AB48" s="1769"/>
      <c r="AC48" s="1768">
        <f t="shared" si="1"/>
        <v>0</v>
      </c>
      <c r="AD48" s="1769"/>
      <c r="AE48" s="1769"/>
      <c r="AF48" s="1769"/>
      <c r="AG48" s="1769"/>
      <c r="AH48" s="1769"/>
      <c r="AI48" s="1769"/>
      <c r="AJ48" s="1767"/>
      <c r="AK48" s="1767"/>
      <c r="AL48" s="1768">
        <f t="shared" si="2"/>
        <v>0</v>
      </c>
      <c r="AM48" s="1769"/>
      <c r="AN48" s="1767"/>
    </row>
    <row r="49" spans="1:40" ht="14.1" customHeight="1">
      <c r="A49" s="1763">
        <f t="shared" si="3"/>
        <v>44</v>
      </c>
      <c r="B49" s="1770" t="s">
        <v>4791</v>
      </c>
      <c r="C49" s="1771" t="s">
        <v>4775</v>
      </c>
      <c r="D49" s="1775" t="s">
        <v>4758</v>
      </c>
      <c r="E49" s="1767"/>
      <c r="F49" s="1767"/>
      <c r="G49" s="1767"/>
      <c r="H49" s="1767"/>
      <c r="I49" s="1767"/>
      <c r="J49" s="1767"/>
      <c r="K49" s="1767"/>
      <c r="L49" s="1767"/>
      <c r="M49" s="1767"/>
      <c r="N49" s="1767"/>
      <c r="O49" s="1767"/>
      <c r="P49" s="1767"/>
      <c r="Q49" s="1767"/>
      <c r="R49" s="1767"/>
      <c r="S49" s="1767"/>
      <c r="T49" s="1767"/>
      <c r="U49" s="1767"/>
      <c r="V49" s="1767"/>
      <c r="W49" s="1767"/>
      <c r="X49" s="1767"/>
      <c r="Y49" s="1768">
        <f t="shared" si="0"/>
        <v>0</v>
      </c>
      <c r="Z49" s="1769"/>
      <c r="AA49" s="1767"/>
      <c r="AB49" s="1769"/>
      <c r="AC49" s="1768">
        <f t="shared" si="1"/>
        <v>0</v>
      </c>
      <c r="AD49" s="1769"/>
      <c r="AE49" s="1769"/>
      <c r="AF49" s="1769"/>
      <c r="AG49" s="1769"/>
      <c r="AH49" s="1769"/>
      <c r="AI49" s="1769"/>
      <c r="AJ49" s="1767"/>
      <c r="AK49" s="1767"/>
      <c r="AL49" s="1768">
        <f t="shared" si="2"/>
        <v>0</v>
      </c>
      <c r="AM49" s="1769"/>
      <c r="AN49" s="1767"/>
    </row>
    <row r="50" spans="1:40" ht="14.1" customHeight="1">
      <c r="A50" s="1763">
        <f t="shared" si="3"/>
        <v>45</v>
      </c>
      <c r="B50" s="1781"/>
      <c r="C50" s="1773"/>
      <c r="D50" s="1776" t="s">
        <v>4341</v>
      </c>
      <c r="E50" s="1768">
        <f>SUM(E47:E49)</f>
        <v>0</v>
      </c>
      <c r="F50" s="1768">
        <f t="shared" ref="F50:X50" si="15">SUM(F47:F49)</f>
        <v>0</v>
      </c>
      <c r="G50" s="1768">
        <f t="shared" si="15"/>
        <v>0</v>
      </c>
      <c r="H50" s="1768">
        <f t="shared" si="15"/>
        <v>0</v>
      </c>
      <c r="I50" s="1768">
        <f t="shared" si="15"/>
        <v>0</v>
      </c>
      <c r="J50" s="1768">
        <f t="shared" si="15"/>
        <v>0</v>
      </c>
      <c r="K50" s="1768">
        <f t="shared" si="15"/>
        <v>0</v>
      </c>
      <c r="L50" s="1768">
        <f t="shared" si="15"/>
        <v>0</v>
      </c>
      <c r="M50" s="1768">
        <f t="shared" si="15"/>
        <v>0</v>
      </c>
      <c r="N50" s="1768">
        <f t="shared" si="15"/>
        <v>0</v>
      </c>
      <c r="O50" s="1768">
        <f t="shared" si="15"/>
        <v>0</v>
      </c>
      <c r="P50" s="1768">
        <f t="shared" si="15"/>
        <v>0</v>
      </c>
      <c r="Q50" s="1768">
        <f t="shared" si="15"/>
        <v>0</v>
      </c>
      <c r="R50" s="1768">
        <f t="shared" si="15"/>
        <v>0</v>
      </c>
      <c r="S50" s="1768">
        <f t="shared" si="15"/>
        <v>0</v>
      </c>
      <c r="T50" s="1768">
        <f t="shared" si="15"/>
        <v>0</v>
      </c>
      <c r="U50" s="1768">
        <f t="shared" si="15"/>
        <v>0</v>
      </c>
      <c r="V50" s="1768">
        <f t="shared" si="15"/>
        <v>0</v>
      </c>
      <c r="W50" s="1768">
        <f t="shared" si="15"/>
        <v>0</v>
      </c>
      <c r="X50" s="1768">
        <f t="shared" si="15"/>
        <v>0</v>
      </c>
      <c r="Y50" s="1768">
        <f t="shared" si="0"/>
        <v>0</v>
      </c>
      <c r="Z50" s="1769"/>
      <c r="AA50" s="1767"/>
      <c r="AB50" s="1769"/>
      <c r="AC50" s="1768">
        <f t="shared" si="1"/>
        <v>0</v>
      </c>
      <c r="AD50" s="1769"/>
      <c r="AE50" s="1769"/>
      <c r="AF50" s="1769"/>
      <c r="AG50" s="1769"/>
      <c r="AH50" s="1769"/>
      <c r="AI50" s="1769"/>
      <c r="AJ50" s="1767"/>
      <c r="AK50" s="1767"/>
      <c r="AL50" s="1768">
        <f t="shared" si="2"/>
        <v>0</v>
      </c>
      <c r="AM50" s="1769"/>
      <c r="AN50" s="1767"/>
    </row>
    <row r="51" spans="1:40" ht="14.1" customHeight="1">
      <c r="A51" s="1763">
        <f t="shared" si="3"/>
        <v>46</v>
      </c>
      <c r="B51" s="2829" t="s">
        <v>4792</v>
      </c>
      <c r="C51" s="2833"/>
      <c r="D51" s="2830"/>
      <c r="E51" s="1768">
        <f>+E46+E50</f>
        <v>0</v>
      </c>
      <c r="F51" s="1768">
        <f t="shared" ref="F51:X51" si="16">+F46+F50</f>
        <v>0</v>
      </c>
      <c r="G51" s="1768">
        <f t="shared" si="16"/>
        <v>0</v>
      </c>
      <c r="H51" s="1768">
        <f t="shared" si="16"/>
        <v>0</v>
      </c>
      <c r="I51" s="1768">
        <f t="shared" si="16"/>
        <v>0</v>
      </c>
      <c r="J51" s="1768">
        <f t="shared" si="16"/>
        <v>0</v>
      </c>
      <c r="K51" s="1768">
        <f t="shared" si="16"/>
        <v>0</v>
      </c>
      <c r="L51" s="1768">
        <f t="shared" si="16"/>
        <v>0</v>
      </c>
      <c r="M51" s="1768">
        <f t="shared" si="16"/>
        <v>0</v>
      </c>
      <c r="N51" s="1768">
        <f t="shared" si="16"/>
        <v>0</v>
      </c>
      <c r="O51" s="1768">
        <f t="shared" si="16"/>
        <v>0</v>
      </c>
      <c r="P51" s="1768">
        <f t="shared" si="16"/>
        <v>0</v>
      </c>
      <c r="Q51" s="1768">
        <f t="shared" si="16"/>
        <v>0</v>
      </c>
      <c r="R51" s="1768">
        <f t="shared" si="16"/>
        <v>0</v>
      </c>
      <c r="S51" s="1768">
        <f t="shared" si="16"/>
        <v>0</v>
      </c>
      <c r="T51" s="1768">
        <f t="shared" si="16"/>
        <v>0</v>
      </c>
      <c r="U51" s="1768">
        <f t="shared" si="16"/>
        <v>0</v>
      </c>
      <c r="V51" s="1768">
        <f t="shared" si="16"/>
        <v>0</v>
      </c>
      <c r="W51" s="1768">
        <f t="shared" si="16"/>
        <v>0</v>
      </c>
      <c r="X51" s="1768">
        <f t="shared" si="16"/>
        <v>0</v>
      </c>
      <c r="Y51" s="1768">
        <f t="shared" si="0"/>
        <v>0</v>
      </c>
      <c r="Z51" s="1769"/>
      <c r="AA51" s="1767"/>
      <c r="AB51" s="1769"/>
      <c r="AC51" s="1768">
        <f t="shared" si="1"/>
        <v>0</v>
      </c>
      <c r="AD51" s="1769"/>
      <c r="AE51" s="1769"/>
      <c r="AF51" s="1769"/>
      <c r="AG51" s="1769"/>
      <c r="AH51" s="1769"/>
      <c r="AI51" s="1769"/>
      <c r="AJ51" s="1767"/>
      <c r="AK51" s="1767"/>
      <c r="AL51" s="1768">
        <f t="shared" si="2"/>
        <v>0</v>
      </c>
      <c r="AM51" s="1769"/>
      <c r="AN51" s="1767"/>
    </row>
    <row r="52" spans="1:40" s="1782" customFormat="1" ht="14.25">
      <c r="A52" s="2849" t="s">
        <v>4165</v>
      </c>
      <c r="B52" s="2849"/>
    </row>
    <row r="53" spans="1:40" s="1783" customFormat="1" ht="14.25">
      <c r="A53" s="1783">
        <v>1</v>
      </c>
      <c r="B53" s="1784" t="s">
        <v>4793</v>
      </c>
      <c r="C53" s="1784"/>
      <c r="D53" s="1784"/>
      <c r="E53" s="1784"/>
      <c r="F53" s="1784"/>
      <c r="G53" s="1784"/>
      <c r="H53" s="1784"/>
      <c r="I53" s="1784"/>
      <c r="J53" s="1784"/>
    </row>
    <row r="54" spans="1:40" s="1782" customFormat="1" ht="14.25">
      <c r="A54" s="1783">
        <v>2</v>
      </c>
      <c r="B54" s="1785" t="s">
        <v>4794</v>
      </c>
      <c r="C54" s="1784"/>
      <c r="D54" s="1784"/>
      <c r="E54" s="1784"/>
      <c r="F54" s="1784"/>
      <c r="G54" s="1784"/>
      <c r="H54" s="1784"/>
      <c r="I54" s="1784"/>
      <c r="J54" s="1784"/>
      <c r="K54" s="1784"/>
      <c r="L54" s="1784"/>
      <c r="M54" s="1784"/>
      <c r="N54" s="1784"/>
      <c r="O54" s="1784"/>
      <c r="P54" s="1784"/>
      <c r="Q54" s="1784"/>
      <c r="R54" s="1784"/>
      <c r="S54" s="1784"/>
      <c r="T54" s="1784"/>
      <c r="U54" s="1784"/>
      <c r="V54" s="1784"/>
      <c r="W54" s="1784"/>
      <c r="X54" s="1784"/>
      <c r="Y54" s="1784"/>
      <c r="Z54" s="1784"/>
      <c r="AA54" s="1784"/>
      <c r="AB54" s="1784"/>
      <c r="AC54" s="1784"/>
      <c r="AD54" s="1784"/>
      <c r="AE54" s="1784"/>
      <c r="AF54" s="1784"/>
      <c r="AG54" s="1785"/>
      <c r="AH54" s="1785"/>
    </row>
    <row r="55" spans="1:40" s="1783" customFormat="1" ht="14.25">
      <c r="A55" s="1783">
        <v>3</v>
      </c>
      <c r="B55" s="1786" t="s">
        <v>4795</v>
      </c>
      <c r="C55" s="1784"/>
      <c r="D55" s="1784"/>
      <c r="E55" s="1784"/>
      <c r="F55" s="1784"/>
      <c r="G55" s="1784"/>
      <c r="H55" s="1784"/>
      <c r="I55" s="1784"/>
      <c r="J55" s="1784"/>
      <c r="K55" s="1784"/>
      <c r="L55" s="1784"/>
      <c r="M55" s="1784"/>
      <c r="N55" s="1784"/>
      <c r="O55" s="1784"/>
      <c r="P55" s="1784"/>
      <c r="Q55" s="1784"/>
      <c r="R55" s="1784"/>
      <c r="S55" s="1784"/>
      <c r="T55" s="1784"/>
      <c r="U55" s="1784"/>
      <c r="V55" s="1784"/>
    </row>
    <row r="56" spans="1:40" s="1783" customFormat="1" ht="14.25">
      <c r="A56" s="1783">
        <v>4</v>
      </c>
      <c r="B56" s="1787" t="s">
        <v>4796</v>
      </c>
      <c r="C56" s="1785"/>
      <c r="D56" s="1785"/>
      <c r="E56" s="1785"/>
      <c r="F56" s="1785"/>
      <c r="G56" s="1785"/>
      <c r="H56" s="1785"/>
      <c r="I56" s="1785"/>
      <c r="J56" s="1785"/>
      <c r="K56" s="1785"/>
      <c r="L56" s="1785"/>
      <c r="M56" s="1785"/>
      <c r="N56" s="1785"/>
      <c r="O56" s="1785"/>
      <c r="P56" s="1785"/>
      <c r="Q56" s="1785"/>
      <c r="R56" s="1785"/>
      <c r="S56" s="1785"/>
      <c r="T56" s="1785"/>
      <c r="U56" s="1785"/>
      <c r="V56" s="1785"/>
      <c r="W56" s="1785"/>
      <c r="X56" s="1785"/>
      <c r="Y56" s="1785"/>
      <c r="Z56" s="1785"/>
      <c r="AA56" s="1785"/>
      <c r="AB56" s="1785"/>
      <c r="AC56" s="1785"/>
      <c r="AD56" s="1785"/>
      <c r="AE56" s="1785"/>
      <c r="AF56" s="1785"/>
      <c r="AG56" s="1785"/>
      <c r="AH56" s="1785"/>
    </row>
    <row r="57" spans="1:40" s="1783" customFormat="1" ht="14.25">
      <c r="B57" s="1787" t="s">
        <v>4797</v>
      </c>
      <c r="C57" s="1785"/>
      <c r="D57" s="1785"/>
      <c r="E57" s="1785"/>
      <c r="F57" s="1785"/>
      <c r="G57" s="1785"/>
      <c r="H57" s="1785"/>
      <c r="I57" s="1785"/>
      <c r="J57" s="1785"/>
      <c r="K57" s="1785"/>
      <c r="L57" s="1785"/>
      <c r="M57" s="1785"/>
      <c r="N57" s="1785"/>
      <c r="O57" s="1785"/>
      <c r="P57" s="1785"/>
      <c r="Q57" s="1785"/>
      <c r="R57" s="1785"/>
      <c r="S57" s="1785"/>
      <c r="T57" s="1785"/>
      <c r="U57" s="1785"/>
      <c r="V57" s="1785"/>
      <c r="W57" s="1785"/>
      <c r="X57" s="1785"/>
      <c r="Y57" s="1785"/>
      <c r="Z57" s="1785"/>
      <c r="AA57" s="1785"/>
      <c r="AB57" s="1785"/>
      <c r="AC57" s="1785"/>
      <c r="AD57" s="1785"/>
      <c r="AE57" s="1785"/>
      <c r="AF57" s="1785"/>
      <c r="AG57" s="1785"/>
      <c r="AH57" s="1785"/>
    </row>
    <row r="58" spans="1:40" s="1783" customFormat="1" ht="14.25">
      <c r="B58" s="1786" t="s">
        <v>4798</v>
      </c>
      <c r="C58" s="1784"/>
      <c r="D58" s="1784"/>
      <c r="E58" s="1784"/>
      <c r="F58" s="1784"/>
      <c r="G58" s="1784"/>
      <c r="H58" s="1784"/>
      <c r="I58" s="1784"/>
      <c r="J58" s="1784"/>
      <c r="K58" s="1784"/>
      <c r="L58" s="1784"/>
      <c r="M58" s="1784"/>
      <c r="N58" s="1784"/>
      <c r="O58" s="1784"/>
      <c r="P58" s="1784"/>
      <c r="Q58" s="1784"/>
      <c r="R58" s="1784"/>
      <c r="S58" s="1784"/>
      <c r="T58" s="1784"/>
      <c r="U58" s="1784"/>
      <c r="V58" s="1784"/>
      <c r="W58" s="1784"/>
      <c r="X58" s="1784"/>
      <c r="Y58" s="1784"/>
      <c r="Z58" s="1784"/>
      <c r="AA58" s="1784"/>
      <c r="AB58" s="1784"/>
      <c r="AC58" s="1784"/>
      <c r="AD58" s="1784"/>
      <c r="AE58" s="1784"/>
      <c r="AF58" s="1784"/>
      <c r="AG58" s="1784"/>
      <c r="AH58" s="1784"/>
    </row>
    <row r="59" spans="1:40" s="1783" customFormat="1" ht="14.25">
      <c r="B59" s="1786" t="s">
        <v>4799</v>
      </c>
      <c r="C59" s="1784"/>
      <c r="D59" s="1784"/>
      <c r="E59" s="1784"/>
      <c r="F59" s="1784"/>
      <c r="G59" s="1784"/>
      <c r="H59" s="1784"/>
      <c r="I59" s="1784"/>
      <c r="J59" s="1784"/>
      <c r="K59" s="1784"/>
      <c r="L59" s="1784"/>
      <c r="M59" s="1784"/>
      <c r="N59" s="1784"/>
      <c r="O59" s="1784"/>
      <c r="P59" s="1784"/>
      <c r="Q59" s="1784"/>
      <c r="R59" s="1784"/>
      <c r="S59" s="1784"/>
      <c r="T59" s="1784"/>
      <c r="U59" s="1784"/>
      <c r="V59" s="1784"/>
      <c r="W59" s="1784"/>
      <c r="X59" s="1784"/>
      <c r="Y59" s="1784"/>
      <c r="Z59" s="1784"/>
      <c r="AA59" s="1784"/>
      <c r="AB59" s="1784"/>
      <c r="AC59" s="1784"/>
      <c r="AD59" s="1784"/>
      <c r="AE59" s="1784"/>
      <c r="AF59" s="1784"/>
      <c r="AG59" s="1784"/>
      <c r="AH59" s="1784"/>
    </row>
    <row r="60" spans="1:40" s="1783" customFormat="1" ht="14.25">
      <c r="B60" s="1786" t="s">
        <v>4800</v>
      </c>
      <c r="C60" s="1784"/>
      <c r="D60" s="1784"/>
      <c r="E60" s="1784"/>
      <c r="F60" s="1784"/>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c r="AD60" s="1784"/>
      <c r="AE60" s="1784"/>
      <c r="AF60" s="1784"/>
      <c r="AG60" s="1784"/>
      <c r="AH60" s="1784"/>
    </row>
    <row r="61" spans="1:40" s="1782" customFormat="1" ht="14.25">
      <c r="A61" s="1783">
        <v>5</v>
      </c>
      <c r="B61" s="1786" t="s">
        <v>4801</v>
      </c>
      <c r="C61" s="1788"/>
      <c r="D61" s="1788"/>
      <c r="E61" s="1788"/>
      <c r="F61" s="1788"/>
      <c r="G61" s="1788"/>
      <c r="H61" s="1788"/>
      <c r="I61" s="1788"/>
      <c r="J61" s="1788"/>
      <c r="K61" s="1788"/>
      <c r="L61" s="1788"/>
      <c r="M61" s="1788"/>
      <c r="N61" s="1788"/>
      <c r="O61" s="1788"/>
      <c r="P61" s="1788"/>
      <c r="Q61" s="1788"/>
      <c r="R61" s="1788"/>
      <c r="S61" s="1788"/>
      <c r="T61" s="1788"/>
      <c r="U61" s="1788"/>
      <c r="V61" s="1788"/>
      <c r="W61" s="1789"/>
      <c r="X61" s="1789"/>
      <c r="Y61" s="1789"/>
      <c r="Z61" s="1789"/>
      <c r="AA61" s="1789"/>
      <c r="AB61" s="1789"/>
      <c r="AC61" s="1789"/>
      <c r="AD61" s="1789"/>
      <c r="AE61" s="1789"/>
      <c r="AF61" s="1789"/>
      <c r="AG61" s="1789"/>
      <c r="AH61" s="1789"/>
    </row>
    <row r="62" spans="1:40" s="1782" customFormat="1" ht="15.75" customHeight="1">
      <c r="A62" s="1783"/>
      <c r="B62" s="1786"/>
      <c r="C62" s="1786"/>
      <c r="D62" s="1790"/>
      <c r="E62" s="1790"/>
      <c r="F62" s="1790"/>
      <c r="G62" s="1790"/>
      <c r="H62" s="1790"/>
      <c r="I62" s="1790"/>
      <c r="J62" s="1790"/>
      <c r="K62" s="1790"/>
      <c r="L62" s="1790"/>
      <c r="M62" s="1790"/>
      <c r="N62" s="1790"/>
      <c r="O62" s="1790"/>
      <c r="P62" s="1790"/>
      <c r="Q62" s="1790"/>
      <c r="R62" s="1790"/>
      <c r="S62" s="1790"/>
      <c r="T62" s="1790"/>
      <c r="U62" s="1790"/>
      <c r="V62" s="1790"/>
      <c r="W62" s="1790"/>
      <c r="X62" s="1790"/>
      <c r="Y62" s="1790"/>
      <c r="Z62" s="1790"/>
      <c r="AA62" s="1790"/>
      <c r="AB62" s="1790"/>
      <c r="AC62" s="1790"/>
      <c r="AD62" s="1790"/>
      <c r="AE62" s="1790"/>
      <c r="AF62" s="1790"/>
      <c r="AG62" s="1790"/>
      <c r="AH62" s="1790"/>
      <c r="AI62" s="1790"/>
      <c r="AJ62" s="1790"/>
      <c r="AK62" s="1790"/>
      <c r="AL62" s="1790"/>
      <c r="AM62" s="1790"/>
      <c r="AN62" s="1790"/>
    </row>
    <row r="63" spans="1:40" s="1782" customFormat="1" ht="15.75" customHeight="1">
      <c r="A63" s="1783"/>
      <c r="B63" s="1786"/>
      <c r="C63" s="1788"/>
      <c r="D63" s="1790"/>
      <c r="E63" s="1790"/>
      <c r="F63" s="1790"/>
      <c r="G63" s="1790"/>
      <c r="H63" s="1790"/>
      <c r="I63" s="1790"/>
      <c r="J63" s="1790"/>
      <c r="K63" s="1790"/>
      <c r="L63" s="1790"/>
      <c r="M63" s="1790"/>
      <c r="N63" s="1790"/>
      <c r="O63" s="1790"/>
      <c r="P63" s="1790"/>
      <c r="Q63" s="1790"/>
      <c r="R63" s="1790"/>
      <c r="S63" s="1790"/>
      <c r="T63" s="1790"/>
      <c r="U63" s="1790"/>
      <c r="V63" s="1790"/>
      <c r="W63" s="1790"/>
      <c r="X63" s="1790"/>
      <c r="Y63" s="1790"/>
      <c r="Z63" s="1790"/>
      <c r="AA63" s="1790"/>
      <c r="AB63" s="1790"/>
      <c r="AC63" s="1790"/>
      <c r="AD63" s="1790"/>
      <c r="AE63" s="1790"/>
      <c r="AF63" s="1790"/>
      <c r="AG63" s="1790"/>
      <c r="AH63" s="1790"/>
      <c r="AI63" s="1790"/>
      <c r="AJ63" s="1790"/>
      <c r="AK63" s="1790"/>
      <c r="AL63" s="1790"/>
      <c r="AM63" s="1790"/>
      <c r="AN63" s="1790"/>
    </row>
    <row r="64" spans="1:40" s="1782" customFormat="1">
      <c r="A64" s="1789"/>
      <c r="B64" s="1786"/>
      <c r="C64" s="1788"/>
      <c r="D64" s="1788"/>
      <c r="E64" s="1788"/>
      <c r="F64" s="1788"/>
      <c r="G64" s="1788"/>
      <c r="H64" s="1788"/>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row>
    <row r="65" spans="1:34" s="1782" customFormat="1">
      <c r="A65" s="1789"/>
      <c r="B65" s="1786"/>
      <c r="C65" s="1788"/>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row>
    <row r="66" spans="1:34" s="1782" customFormat="1">
      <c r="A66" s="1789"/>
      <c r="B66" s="1786"/>
      <c r="C66" s="1788"/>
      <c r="D66" s="1788"/>
      <c r="E66" s="1788"/>
      <c r="F66" s="1788"/>
      <c r="G66" s="1788"/>
      <c r="H66" s="1788"/>
      <c r="I66" s="1788"/>
      <c r="J66" s="1788"/>
      <c r="K66" s="1788"/>
      <c r="L66" s="1788"/>
      <c r="M66" s="1788"/>
      <c r="N66" s="1788"/>
      <c r="O66" s="1789"/>
      <c r="P66" s="1789"/>
      <c r="Q66" s="1789"/>
      <c r="R66" s="1789"/>
      <c r="S66" s="1789"/>
      <c r="T66" s="1789"/>
      <c r="U66" s="1789"/>
      <c r="V66" s="1789"/>
      <c r="W66" s="1789"/>
      <c r="X66" s="1789"/>
      <c r="Y66" s="1789"/>
      <c r="Z66" s="1789"/>
      <c r="AA66" s="1789"/>
      <c r="AB66" s="1789"/>
      <c r="AC66" s="1789"/>
      <c r="AD66" s="1789"/>
      <c r="AE66" s="1789"/>
      <c r="AF66" s="1789"/>
      <c r="AG66" s="1789"/>
      <c r="AH66" s="1789"/>
    </row>
    <row r="67" spans="1:34" s="1782" customFormat="1">
      <c r="A67" s="1789"/>
      <c r="B67" s="1786"/>
    </row>
    <row r="68" spans="1:34" s="1782" customFormat="1">
      <c r="A68" s="1789"/>
      <c r="B68" s="1791"/>
    </row>
    <row r="69" spans="1:34" s="1782" customFormat="1"/>
    <row r="70" spans="1:34" s="1782" customFormat="1"/>
    <row r="71" spans="1:34" s="1782" customFormat="1"/>
    <row r="72" spans="1:34" s="1782" customFormat="1"/>
    <row r="73" spans="1:34" s="1782" customFormat="1"/>
    <row r="74" spans="1:34" s="1782" customFormat="1"/>
    <row r="75" spans="1:34" s="1782" customFormat="1"/>
    <row r="76" spans="1:34" s="1782" customFormat="1"/>
    <row r="77" spans="1:34" s="1782" customFormat="1"/>
    <row r="78" spans="1:34" s="1782" customFormat="1"/>
    <row r="79" spans="1:34" s="1782" customFormat="1"/>
    <row r="80" spans="1:34" s="1782" customFormat="1"/>
    <row r="81" s="1782" customFormat="1"/>
    <row r="82" s="1782" customFormat="1"/>
    <row r="83" s="1782" customFormat="1"/>
    <row r="84" s="1782" customFormat="1"/>
    <row r="85" s="1782" customFormat="1"/>
    <row r="86" s="1782" customFormat="1"/>
    <row r="87" s="1782" customFormat="1"/>
    <row r="88" s="1782" customFormat="1"/>
    <row r="89" s="1782" customFormat="1"/>
    <row r="90" s="1782" customFormat="1"/>
    <row r="91" s="1782" customFormat="1"/>
    <row r="92" s="1782" customFormat="1"/>
    <row r="93" s="1782" customFormat="1"/>
    <row r="94" s="1782" customFormat="1"/>
    <row r="95" s="1782" customFormat="1"/>
    <row r="96" s="1782" customFormat="1"/>
    <row r="97" s="1782" customFormat="1"/>
    <row r="98" s="1782" customFormat="1"/>
    <row r="99" s="1782" customFormat="1"/>
    <row r="100" s="1782" customFormat="1"/>
    <row r="101" s="1782" customFormat="1"/>
    <row r="102" s="1782" customFormat="1"/>
    <row r="103" s="1782" customFormat="1"/>
    <row r="104" s="1782" customFormat="1"/>
    <row r="105" s="1782" customFormat="1"/>
    <row r="106" s="1782" customFormat="1"/>
    <row r="107" s="1782" customFormat="1"/>
    <row r="108" s="1782" customFormat="1"/>
    <row r="109" s="1782" customFormat="1"/>
    <row r="110" s="1782" customFormat="1"/>
    <row r="111" s="1782" customFormat="1"/>
    <row r="112" s="1782" customFormat="1"/>
    <row r="113" s="1782" customFormat="1"/>
    <row r="114" s="1782" customFormat="1"/>
    <row r="115" s="1782" customFormat="1"/>
    <row r="116" s="1782" customFormat="1"/>
    <row r="117" s="1782" customFormat="1"/>
    <row r="118" s="1782" customFormat="1"/>
    <row r="119" s="1782" customFormat="1"/>
    <row r="120" s="1782" customFormat="1"/>
    <row r="121" s="1782" customFormat="1"/>
    <row r="122" s="1782" customFormat="1"/>
    <row r="123" s="1782" customFormat="1"/>
    <row r="124" s="1782" customFormat="1"/>
    <row r="125" s="1782" customFormat="1"/>
    <row r="126" s="1782" customFormat="1"/>
    <row r="127" s="1782" customFormat="1"/>
    <row r="128" s="1782" customFormat="1"/>
    <row r="129" s="1782" customFormat="1"/>
    <row r="130" s="1782" customFormat="1"/>
    <row r="131" s="1782" customFormat="1"/>
    <row r="132" s="1782" customFormat="1"/>
    <row r="133" s="1782" customFormat="1"/>
    <row r="134" s="1782" customFormat="1"/>
    <row r="135" s="1782" customFormat="1"/>
    <row r="136" s="1782" customFormat="1"/>
    <row r="137" s="1782" customFormat="1"/>
    <row r="138" s="1782" customFormat="1"/>
    <row r="139" s="1782" customFormat="1"/>
    <row r="140" s="1782" customFormat="1"/>
    <row r="141" s="1782" customFormat="1"/>
    <row r="142" s="1782" customFormat="1"/>
    <row r="143" s="1782" customFormat="1"/>
    <row r="144" s="1782" customFormat="1"/>
    <row r="145" s="1782" customFormat="1"/>
    <row r="146" s="1782" customFormat="1"/>
    <row r="147" s="1782" customFormat="1"/>
    <row r="148" s="1782" customFormat="1"/>
    <row r="149" s="1782" customFormat="1"/>
    <row r="150" s="1782" customFormat="1"/>
    <row r="151" s="1782" customFormat="1"/>
    <row r="152" s="1782" customFormat="1"/>
    <row r="153" s="1782" customFormat="1"/>
    <row r="154" s="1782" customFormat="1"/>
    <row r="155" s="1782" customFormat="1"/>
    <row r="156" s="1782" customFormat="1"/>
    <row r="157" s="1782" customFormat="1"/>
    <row r="158" s="1782" customFormat="1"/>
    <row r="159" s="1782" customFormat="1"/>
    <row r="160" s="1782" customFormat="1"/>
    <row r="161" s="1782" customFormat="1"/>
    <row r="162" s="1782" customFormat="1"/>
    <row r="163" s="1782" customFormat="1"/>
    <row r="164" s="1782" customFormat="1"/>
    <row r="165" s="1782" customFormat="1"/>
    <row r="166" s="1782" customFormat="1"/>
    <row r="167" s="1782" customFormat="1"/>
    <row r="168" s="1782" customFormat="1"/>
    <row r="169" s="1782" customFormat="1"/>
    <row r="170" s="1782" customFormat="1"/>
    <row r="171" s="1782" customFormat="1"/>
    <row r="172" s="1782" customFormat="1"/>
    <row r="173" s="1782" customFormat="1"/>
    <row r="174" s="1782" customFormat="1"/>
    <row r="175" s="1782" customFormat="1"/>
    <row r="176" s="1782" customFormat="1"/>
    <row r="177" s="1782" customFormat="1"/>
    <row r="178" s="1782" customFormat="1"/>
    <row r="179" s="1782" customFormat="1"/>
    <row r="180" s="1782" customFormat="1"/>
    <row r="181" s="1782" customFormat="1"/>
    <row r="182" s="1782" customFormat="1"/>
    <row r="183" s="1782" customFormat="1"/>
    <row r="184" s="1782" customFormat="1"/>
    <row r="185" s="1782" customFormat="1"/>
    <row r="186" s="1782" customFormat="1"/>
    <row r="187" s="1782" customFormat="1"/>
    <row r="188" s="1782" customFormat="1"/>
    <row r="189" s="1782" customFormat="1"/>
    <row r="190" s="1782" customFormat="1"/>
    <row r="191" s="1782" customFormat="1"/>
    <row r="192" s="1782" customFormat="1"/>
    <row r="193" s="1782" customFormat="1"/>
    <row r="194" s="1782" customFormat="1"/>
    <row r="195" s="1782" customFormat="1"/>
    <row r="196" s="1782" customFormat="1"/>
    <row r="197" s="1782" customFormat="1"/>
    <row r="198" s="1782" customFormat="1"/>
    <row r="199" s="1782" customFormat="1"/>
    <row r="200" s="1782" customFormat="1"/>
    <row r="201" s="1782" customFormat="1"/>
    <row r="202" s="1782" customFormat="1"/>
    <row r="203" s="1782" customFormat="1"/>
    <row r="204" s="1782" customFormat="1"/>
    <row r="205" s="1782" customFormat="1"/>
    <row r="206" s="1782" customFormat="1"/>
    <row r="207" s="1782" customFormat="1"/>
    <row r="208" s="1782" customFormat="1"/>
    <row r="209" s="1782" customFormat="1"/>
    <row r="210" s="1782" customFormat="1"/>
    <row r="211" s="1782" customFormat="1"/>
    <row r="212" s="1782" customFormat="1"/>
    <row r="213" s="1782" customFormat="1"/>
    <row r="214" s="1782" customFormat="1"/>
    <row r="215" s="1782" customFormat="1"/>
    <row r="216" s="1782" customFormat="1"/>
    <row r="217" s="1782" customFormat="1"/>
    <row r="218" s="1782" customFormat="1"/>
    <row r="219" s="1782" customFormat="1"/>
    <row r="220" s="1782" customFormat="1"/>
    <row r="221" s="1782" customFormat="1"/>
    <row r="222" s="1782" customFormat="1"/>
    <row r="223" s="1782" customFormat="1"/>
    <row r="224" s="1782" customFormat="1"/>
    <row r="225" s="1782" customFormat="1"/>
    <row r="226" s="1782" customFormat="1"/>
    <row r="227" s="1782" customFormat="1"/>
    <row r="228" s="1782" customFormat="1"/>
    <row r="229" s="1782" customFormat="1"/>
    <row r="230" s="1782" customFormat="1"/>
    <row r="231" s="1782" customFormat="1"/>
    <row r="232" s="1782" customFormat="1"/>
    <row r="233" s="1782" customFormat="1"/>
    <row r="234" s="1782" customFormat="1"/>
    <row r="235" s="1782" customFormat="1"/>
    <row r="236" s="1782" customFormat="1"/>
    <row r="237" s="1782" customFormat="1"/>
    <row r="238" s="1782" customFormat="1"/>
    <row r="239" s="1782" customFormat="1"/>
    <row r="240" s="1782" customFormat="1"/>
    <row r="241" s="1782" customFormat="1"/>
    <row r="242" s="1782" customFormat="1"/>
    <row r="243" s="1782" customFormat="1"/>
    <row r="244" s="1782" customFormat="1"/>
    <row r="245" s="1782" customFormat="1"/>
    <row r="246" s="1782" customFormat="1"/>
    <row r="247" s="1782"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2"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heetViews>
  <sheetFormatPr defaultColWidth="15.625" defaultRowHeight="15.75"/>
  <cols>
    <col min="1" max="1" width="5.625" style="20" customWidth="1"/>
    <col min="2" max="2" width="15.25" style="20" customWidth="1"/>
    <col min="3" max="3" width="18.5" style="20" customWidth="1"/>
    <col min="4" max="8" width="15.625" style="20"/>
    <col min="9" max="9" width="12.125" style="20" customWidth="1"/>
    <col min="10" max="16384" width="15.625" style="20"/>
  </cols>
  <sheetData>
    <row r="1" spans="1:14" ht="16.5">
      <c r="A1" s="2186" t="str">
        <f>+封面!A3&amp;" "&amp;封面!A2</f>
        <v xml:space="preserve"> 中央再保險股份有限公司 年度檢查報表</v>
      </c>
    </row>
    <row r="2" spans="1:14" ht="17.25" thickBot="1">
      <c r="A2" s="770" t="s">
        <v>4038</v>
      </c>
      <c r="B2" s="771"/>
      <c r="C2" s="771"/>
      <c r="D2" s="37"/>
      <c r="E2" s="37"/>
      <c r="F2" s="37"/>
      <c r="G2" s="37"/>
      <c r="H2" s="37"/>
      <c r="I2" s="772"/>
      <c r="J2" s="37"/>
      <c r="K2" s="37"/>
      <c r="L2" s="37"/>
      <c r="M2" s="771"/>
      <c r="N2" s="38" t="s">
        <v>4039</v>
      </c>
    </row>
    <row r="3" spans="1:14" ht="16.5" customHeight="1">
      <c r="A3" s="3256" t="s">
        <v>3491</v>
      </c>
      <c r="B3" s="3259" t="s">
        <v>3492</v>
      </c>
      <c r="C3" s="773" t="s">
        <v>4040</v>
      </c>
      <c r="D3" s="3267" t="s">
        <v>4041</v>
      </c>
      <c r="E3" s="3267"/>
      <c r="F3" s="3267" t="s">
        <v>4042</v>
      </c>
      <c r="G3" s="3267" t="s">
        <v>4043</v>
      </c>
      <c r="H3" s="3267"/>
      <c r="I3" s="3270" t="s">
        <v>3778</v>
      </c>
      <c r="J3" s="3267" t="s">
        <v>4044</v>
      </c>
      <c r="K3" s="3267"/>
      <c r="L3" s="3267" t="s">
        <v>4045</v>
      </c>
      <c r="M3" s="3267" t="s">
        <v>4046</v>
      </c>
      <c r="N3" s="3269"/>
    </row>
    <row r="4" spans="1:14" ht="33">
      <c r="A4" s="3257"/>
      <c r="B4" s="3260"/>
      <c r="C4" s="774" t="s">
        <v>174</v>
      </c>
      <c r="D4" s="774" t="s">
        <v>4047</v>
      </c>
      <c r="E4" s="775" t="s">
        <v>4048</v>
      </c>
      <c r="F4" s="3268"/>
      <c r="G4" s="774" t="s">
        <v>4049</v>
      </c>
      <c r="H4" s="775" t="s">
        <v>4050</v>
      </c>
      <c r="I4" s="3271"/>
      <c r="J4" s="774" t="s">
        <v>4047</v>
      </c>
      <c r="K4" s="775" t="s">
        <v>4048</v>
      </c>
      <c r="L4" s="3268"/>
      <c r="M4" s="774" t="s">
        <v>4049</v>
      </c>
      <c r="N4" s="776" t="s">
        <v>4050</v>
      </c>
    </row>
    <row r="5" spans="1:14" ht="16.5" customHeight="1" thickBot="1">
      <c r="A5" s="3258"/>
      <c r="B5" s="777" t="s">
        <v>175</v>
      </c>
      <c r="C5" s="777" t="s">
        <v>176</v>
      </c>
      <c r="D5" s="777" t="s">
        <v>177</v>
      </c>
      <c r="E5" s="777" t="s">
        <v>178</v>
      </c>
      <c r="F5" s="777" t="s">
        <v>70</v>
      </c>
      <c r="G5" s="777" t="s">
        <v>71</v>
      </c>
      <c r="H5" s="777" t="s">
        <v>72</v>
      </c>
      <c r="I5" s="777" t="s">
        <v>73</v>
      </c>
      <c r="J5" s="777" t="s">
        <v>74</v>
      </c>
      <c r="K5" s="777" t="s">
        <v>75</v>
      </c>
      <c r="L5" s="777" t="s">
        <v>225</v>
      </c>
      <c r="M5" s="777" t="s">
        <v>226</v>
      </c>
      <c r="N5" s="778" t="s">
        <v>274</v>
      </c>
    </row>
    <row r="6" spans="1:14">
      <c r="A6" s="779">
        <v>1</v>
      </c>
      <c r="B6" s="3264" t="s">
        <v>4051</v>
      </c>
      <c r="C6" s="780" t="s">
        <v>44</v>
      </c>
      <c r="D6" s="781"/>
      <c r="E6" s="781"/>
      <c r="F6" s="781"/>
      <c r="G6" s="781"/>
      <c r="H6" s="781"/>
      <c r="I6" s="782">
        <v>0</v>
      </c>
      <c r="J6" s="783">
        <f t="shared" ref="J6:N26" si="0">ROUND(D6*$I6,0)</f>
        <v>0</v>
      </c>
      <c r="K6" s="783">
        <f t="shared" si="0"/>
        <v>0</v>
      </c>
      <c r="L6" s="783">
        <f t="shared" si="0"/>
        <v>0</v>
      </c>
      <c r="M6" s="783">
        <f t="shared" si="0"/>
        <v>0</v>
      </c>
      <c r="N6" s="784">
        <f t="shared" si="0"/>
        <v>0</v>
      </c>
    </row>
    <row r="7" spans="1:14">
      <c r="A7" s="785">
        <f t="shared" ref="A7:A25" si="1">A6+1</f>
        <v>2</v>
      </c>
      <c r="B7" s="3265"/>
      <c r="C7" s="786" t="s">
        <v>45</v>
      </c>
      <c r="D7" s="787"/>
      <c r="E7" s="787"/>
      <c r="F7" s="787"/>
      <c r="G7" s="787"/>
      <c r="H7" s="787"/>
      <c r="I7" s="788">
        <v>0</v>
      </c>
      <c r="J7" s="787">
        <f t="shared" si="0"/>
        <v>0</v>
      </c>
      <c r="K7" s="787">
        <f t="shared" si="0"/>
        <v>0</v>
      </c>
      <c r="L7" s="787">
        <f t="shared" si="0"/>
        <v>0</v>
      </c>
      <c r="M7" s="338">
        <f t="shared" si="0"/>
        <v>0</v>
      </c>
      <c r="N7" s="789">
        <f t="shared" si="0"/>
        <v>0</v>
      </c>
    </row>
    <row r="8" spans="1:14">
      <c r="A8" s="785">
        <f t="shared" si="1"/>
        <v>3</v>
      </c>
      <c r="B8" s="3265"/>
      <c r="C8" s="786" t="s">
        <v>46</v>
      </c>
      <c r="D8" s="787"/>
      <c r="E8" s="787"/>
      <c r="F8" s="787"/>
      <c r="G8" s="787"/>
      <c r="H8" s="787"/>
      <c r="I8" s="788">
        <v>0</v>
      </c>
      <c r="J8" s="787">
        <f t="shared" si="0"/>
        <v>0</v>
      </c>
      <c r="K8" s="787">
        <f t="shared" si="0"/>
        <v>0</v>
      </c>
      <c r="L8" s="787">
        <f t="shared" si="0"/>
        <v>0</v>
      </c>
      <c r="M8" s="338">
        <f t="shared" si="0"/>
        <v>0</v>
      </c>
      <c r="N8" s="789">
        <f t="shared" si="0"/>
        <v>0</v>
      </c>
    </row>
    <row r="9" spans="1:14">
      <c r="A9" s="785">
        <f t="shared" si="1"/>
        <v>4</v>
      </c>
      <c r="B9" s="3265"/>
      <c r="C9" s="786" t="s">
        <v>47</v>
      </c>
      <c r="D9" s="787"/>
      <c r="E9" s="787"/>
      <c r="F9" s="787"/>
      <c r="G9" s="787"/>
      <c r="H9" s="787"/>
      <c r="I9" s="788">
        <v>0</v>
      </c>
      <c r="J9" s="787">
        <f t="shared" si="0"/>
        <v>0</v>
      </c>
      <c r="K9" s="787">
        <f t="shared" si="0"/>
        <v>0</v>
      </c>
      <c r="L9" s="787">
        <f t="shared" si="0"/>
        <v>0</v>
      </c>
      <c r="M9" s="338">
        <f t="shared" si="0"/>
        <v>0</v>
      </c>
      <c r="N9" s="789">
        <f t="shared" si="0"/>
        <v>0</v>
      </c>
    </row>
    <row r="10" spans="1:14">
      <c r="A10" s="785">
        <f t="shared" si="1"/>
        <v>5</v>
      </c>
      <c r="B10" s="3265"/>
      <c r="C10" s="786" t="s">
        <v>48</v>
      </c>
      <c r="D10" s="787"/>
      <c r="E10" s="787"/>
      <c r="F10" s="787"/>
      <c r="G10" s="787"/>
      <c r="H10" s="787"/>
      <c r="I10" s="790">
        <v>3.0999999999999999E-3</v>
      </c>
      <c r="J10" s="787">
        <f t="shared" si="0"/>
        <v>0</v>
      </c>
      <c r="K10" s="787">
        <f t="shared" si="0"/>
        <v>0</v>
      </c>
      <c r="L10" s="787">
        <f t="shared" si="0"/>
        <v>0</v>
      </c>
      <c r="M10" s="338">
        <f t="shared" si="0"/>
        <v>0</v>
      </c>
      <c r="N10" s="789">
        <f t="shared" si="0"/>
        <v>0</v>
      </c>
    </row>
    <row r="11" spans="1:14">
      <c r="A11" s="785">
        <f t="shared" si="1"/>
        <v>6</v>
      </c>
      <c r="B11" s="3265"/>
      <c r="C11" s="786" t="s">
        <v>49</v>
      </c>
      <c r="D11" s="787"/>
      <c r="E11" s="787"/>
      <c r="F11" s="787"/>
      <c r="G11" s="787"/>
      <c r="H11" s="787"/>
      <c r="I11" s="790">
        <v>6.1999999999999998E-3</v>
      </c>
      <c r="J11" s="787">
        <f t="shared" si="0"/>
        <v>0</v>
      </c>
      <c r="K11" s="787">
        <f t="shared" si="0"/>
        <v>0</v>
      </c>
      <c r="L11" s="787">
        <f t="shared" si="0"/>
        <v>0</v>
      </c>
      <c r="M11" s="338">
        <f t="shared" si="0"/>
        <v>0</v>
      </c>
      <c r="N11" s="789">
        <f t="shared" si="0"/>
        <v>0</v>
      </c>
    </row>
    <row r="12" spans="1:14">
      <c r="A12" s="785">
        <f t="shared" si="1"/>
        <v>7</v>
      </c>
      <c r="B12" s="3265"/>
      <c r="C12" s="786" t="s">
        <v>50</v>
      </c>
      <c r="D12" s="787"/>
      <c r="E12" s="787"/>
      <c r="F12" s="787"/>
      <c r="G12" s="787"/>
      <c r="H12" s="787"/>
      <c r="I12" s="790">
        <v>7.3999999999999995E-3</v>
      </c>
      <c r="J12" s="787">
        <f t="shared" si="0"/>
        <v>0</v>
      </c>
      <c r="K12" s="787">
        <f t="shared" si="0"/>
        <v>0</v>
      </c>
      <c r="L12" s="787">
        <f t="shared" si="0"/>
        <v>0</v>
      </c>
      <c r="M12" s="338">
        <f t="shared" si="0"/>
        <v>0</v>
      </c>
      <c r="N12" s="789">
        <f t="shared" si="0"/>
        <v>0</v>
      </c>
    </row>
    <row r="13" spans="1:14">
      <c r="A13" s="785">
        <f t="shared" si="1"/>
        <v>8</v>
      </c>
      <c r="B13" s="3265"/>
      <c r="C13" s="786" t="s">
        <v>51</v>
      </c>
      <c r="D13" s="787"/>
      <c r="E13" s="787"/>
      <c r="F13" s="787"/>
      <c r="G13" s="787"/>
      <c r="H13" s="787"/>
      <c r="I13" s="790">
        <v>8.6E-3</v>
      </c>
      <c r="J13" s="787">
        <f t="shared" si="0"/>
        <v>0</v>
      </c>
      <c r="K13" s="787">
        <f t="shared" si="0"/>
        <v>0</v>
      </c>
      <c r="L13" s="787">
        <f t="shared" si="0"/>
        <v>0</v>
      </c>
      <c r="M13" s="338">
        <f t="shared" si="0"/>
        <v>0</v>
      </c>
      <c r="N13" s="789">
        <f t="shared" si="0"/>
        <v>0</v>
      </c>
    </row>
    <row r="14" spans="1:14">
      <c r="A14" s="785">
        <f t="shared" si="1"/>
        <v>9</v>
      </c>
      <c r="B14" s="3265"/>
      <c r="C14" s="786" t="s">
        <v>52</v>
      </c>
      <c r="D14" s="787"/>
      <c r="E14" s="787"/>
      <c r="F14" s="787"/>
      <c r="G14" s="787"/>
      <c r="H14" s="787"/>
      <c r="I14" s="790">
        <v>9.7999999999999997E-3</v>
      </c>
      <c r="J14" s="787">
        <f t="shared" si="0"/>
        <v>0</v>
      </c>
      <c r="K14" s="787">
        <f t="shared" si="0"/>
        <v>0</v>
      </c>
      <c r="L14" s="787">
        <f t="shared" si="0"/>
        <v>0</v>
      </c>
      <c r="M14" s="338">
        <f t="shared" si="0"/>
        <v>0</v>
      </c>
      <c r="N14" s="789">
        <f t="shared" si="0"/>
        <v>0</v>
      </c>
    </row>
    <row r="15" spans="1:14">
      <c r="A15" s="785">
        <f t="shared" si="1"/>
        <v>10</v>
      </c>
      <c r="B15" s="3265"/>
      <c r="C15" s="786" t="s">
        <v>53</v>
      </c>
      <c r="D15" s="787"/>
      <c r="E15" s="787"/>
      <c r="F15" s="787"/>
      <c r="G15" s="787"/>
      <c r="H15" s="787"/>
      <c r="I15" s="790">
        <v>1.8033333333333332E-2</v>
      </c>
      <c r="J15" s="787">
        <f t="shared" si="0"/>
        <v>0</v>
      </c>
      <c r="K15" s="787">
        <f t="shared" si="0"/>
        <v>0</v>
      </c>
      <c r="L15" s="787">
        <f t="shared" si="0"/>
        <v>0</v>
      </c>
      <c r="M15" s="338">
        <f t="shared" si="0"/>
        <v>0</v>
      </c>
      <c r="N15" s="789">
        <f t="shared" si="0"/>
        <v>0</v>
      </c>
    </row>
    <row r="16" spans="1:14">
      <c r="A16" s="785">
        <f t="shared" si="1"/>
        <v>11</v>
      </c>
      <c r="B16" s="3265"/>
      <c r="C16" s="786" t="s">
        <v>54</v>
      </c>
      <c r="D16" s="787"/>
      <c r="E16" s="787"/>
      <c r="F16" s="787"/>
      <c r="G16" s="787"/>
      <c r="H16" s="787"/>
      <c r="I16" s="790">
        <v>2.6266666666666667E-2</v>
      </c>
      <c r="J16" s="787">
        <f t="shared" si="0"/>
        <v>0</v>
      </c>
      <c r="K16" s="787">
        <f t="shared" si="0"/>
        <v>0</v>
      </c>
      <c r="L16" s="787">
        <f t="shared" si="0"/>
        <v>0</v>
      </c>
      <c r="M16" s="338">
        <f t="shared" si="0"/>
        <v>0</v>
      </c>
      <c r="N16" s="789">
        <f t="shared" si="0"/>
        <v>0</v>
      </c>
    </row>
    <row r="17" spans="1:14">
      <c r="A17" s="785">
        <f t="shared" si="1"/>
        <v>12</v>
      </c>
      <c r="B17" s="3265"/>
      <c r="C17" s="786" t="s">
        <v>55</v>
      </c>
      <c r="D17" s="787"/>
      <c r="E17" s="787"/>
      <c r="F17" s="787"/>
      <c r="G17" s="787"/>
      <c r="H17" s="787"/>
      <c r="I17" s="790">
        <v>3.4500000000000003E-2</v>
      </c>
      <c r="J17" s="787">
        <f t="shared" si="0"/>
        <v>0</v>
      </c>
      <c r="K17" s="787">
        <f t="shared" si="0"/>
        <v>0</v>
      </c>
      <c r="L17" s="787">
        <f t="shared" si="0"/>
        <v>0</v>
      </c>
      <c r="M17" s="338">
        <f t="shared" si="0"/>
        <v>0</v>
      </c>
      <c r="N17" s="789">
        <f t="shared" si="0"/>
        <v>0</v>
      </c>
    </row>
    <row r="18" spans="1:14">
      <c r="A18" s="785">
        <f t="shared" si="1"/>
        <v>13</v>
      </c>
      <c r="B18" s="3265"/>
      <c r="C18" s="786" t="s">
        <v>550</v>
      </c>
      <c r="D18" s="787"/>
      <c r="E18" s="787"/>
      <c r="F18" s="787"/>
      <c r="G18" s="787"/>
      <c r="H18" s="787"/>
      <c r="I18" s="790">
        <v>4.8000000000000001E-2</v>
      </c>
      <c r="J18" s="787">
        <f t="shared" si="0"/>
        <v>0</v>
      </c>
      <c r="K18" s="787">
        <f t="shared" si="0"/>
        <v>0</v>
      </c>
      <c r="L18" s="787">
        <f t="shared" si="0"/>
        <v>0</v>
      </c>
      <c r="M18" s="338">
        <f t="shared" si="0"/>
        <v>0</v>
      </c>
      <c r="N18" s="789">
        <f t="shared" si="0"/>
        <v>0</v>
      </c>
    </row>
    <row r="19" spans="1:14">
      <c r="A19" s="785">
        <f t="shared" si="1"/>
        <v>14</v>
      </c>
      <c r="B19" s="3265"/>
      <c r="C19" s="786" t="s">
        <v>56</v>
      </c>
      <c r="D19" s="787"/>
      <c r="E19" s="787"/>
      <c r="F19" s="787"/>
      <c r="G19" s="787"/>
      <c r="H19" s="787"/>
      <c r="I19" s="790">
        <v>6.1499999999999999E-2</v>
      </c>
      <c r="J19" s="787">
        <f t="shared" si="0"/>
        <v>0</v>
      </c>
      <c r="K19" s="787">
        <f t="shared" si="0"/>
        <v>0</v>
      </c>
      <c r="L19" s="787">
        <f t="shared" si="0"/>
        <v>0</v>
      </c>
      <c r="M19" s="338">
        <f t="shared" si="0"/>
        <v>0</v>
      </c>
      <c r="N19" s="789">
        <f t="shared" si="0"/>
        <v>0</v>
      </c>
    </row>
    <row r="20" spans="1:14">
      <c r="A20" s="785">
        <f t="shared" si="1"/>
        <v>15</v>
      </c>
      <c r="B20" s="3265"/>
      <c r="C20" s="786" t="s">
        <v>57</v>
      </c>
      <c r="D20" s="787"/>
      <c r="E20" s="787"/>
      <c r="F20" s="787"/>
      <c r="G20" s="787"/>
      <c r="H20" s="787"/>
      <c r="I20" s="790">
        <v>7.4999999999999997E-2</v>
      </c>
      <c r="J20" s="787">
        <f t="shared" si="0"/>
        <v>0</v>
      </c>
      <c r="K20" s="787">
        <f t="shared" si="0"/>
        <v>0</v>
      </c>
      <c r="L20" s="787">
        <f t="shared" si="0"/>
        <v>0</v>
      </c>
      <c r="M20" s="338">
        <f t="shared" si="0"/>
        <v>0</v>
      </c>
      <c r="N20" s="789">
        <f t="shared" si="0"/>
        <v>0</v>
      </c>
    </row>
    <row r="21" spans="1:14">
      <c r="A21" s="785">
        <f t="shared" si="1"/>
        <v>16</v>
      </c>
      <c r="B21" s="3265"/>
      <c r="C21" s="786" t="s">
        <v>58</v>
      </c>
      <c r="D21" s="787"/>
      <c r="E21" s="787"/>
      <c r="F21" s="787"/>
      <c r="G21" s="787"/>
      <c r="H21" s="787"/>
      <c r="I21" s="790">
        <v>0.1075</v>
      </c>
      <c r="J21" s="787">
        <f t="shared" si="0"/>
        <v>0</v>
      </c>
      <c r="K21" s="787">
        <f t="shared" si="0"/>
        <v>0</v>
      </c>
      <c r="L21" s="787">
        <f t="shared" si="0"/>
        <v>0</v>
      </c>
      <c r="M21" s="338">
        <f t="shared" si="0"/>
        <v>0</v>
      </c>
      <c r="N21" s="789">
        <f t="shared" si="0"/>
        <v>0</v>
      </c>
    </row>
    <row r="22" spans="1:14">
      <c r="A22" s="785">
        <f t="shared" si="1"/>
        <v>17</v>
      </c>
      <c r="B22" s="3265"/>
      <c r="C22" s="786" t="s">
        <v>59</v>
      </c>
      <c r="D22" s="787"/>
      <c r="E22" s="787"/>
      <c r="F22" s="787"/>
      <c r="G22" s="787"/>
      <c r="H22" s="787"/>
      <c r="I22" s="790">
        <v>0.14000000000000001</v>
      </c>
      <c r="J22" s="787">
        <f t="shared" si="0"/>
        <v>0</v>
      </c>
      <c r="K22" s="787">
        <f t="shared" si="0"/>
        <v>0</v>
      </c>
      <c r="L22" s="787">
        <f t="shared" si="0"/>
        <v>0</v>
      </c>
      <c r="M22" s="338">
        <f t="shared" si="0"/>
        <v>0</v>
      </c>
      <c r="N22" s="789">
        <f t="shared" si="0"/>
        <v>0</v>
      </c>
    </row>
    <row r="23" spans="1:14">
      <c r="A23" s="785">
        <f t="shared" si="1"/>
        <v>18</v>
      </c>
      <c r="B23" s="3265"/>
      <c r="C23" s="786" t="s">
        <v>60</v>
      </c>
      <c r="D23" s="787"/>
      <c r="E23" s="787"/>
      <c r="F23" s="787"/>
      <c r="G23" s="787"/>
      <c r="H23" s="787"/>
      <c r="I23" s="790">
        <v>0.17249999999999999</v>
      </c>
      <c r="J23" s="787">
        <f t="shared" si="0"/>
        <v>0</v>
      </c>
      <c r="K23" s="787">
        <f t="shared" si="0"/>
        <v>0</v>
      </c>
      <c r="L23" s="787">
        <f t="shared" si="0"/>
        <v>0</v>
      </c>
      <c r="M23" s="338">
        <f t="shared" si="0"/>
        <v>0</v>
      </c>
      <c r="N23" s="789">
        <f t="shared" si="0"/>
        <v>0</v>
      </c>
    </row>
    <row r="24" spans="1:14">
      <c r="A24" s="785">
        <f t="shared" si="1"/>
        <v>19</v>
      </c>
      <c r="B24" s="3265"/>
      <c r="C24" s="786" t="s">
        <v>61</v>
      </c>
      <c r="D24" s="787"/>
      <c r="E24" s="787"/>
      <c r="F24" s="787"/>
      <c r="G24" s="787"/>
      <c r="H24" s="787"/>
      <c r="I24" s="790">
        <v>0.2112</v>
      </c>
      <c r="J24" s="787">
        <f t="shared" si="0"/>
        <v>0</v>
      </c>
      <c r="K24" s="787">
        <f t="shared" si="0"/>
        <v>0</v>
      </c>
      <c r="L24" s="787">
        <f t="shared" si="0"/>
        <v>0</v>
      </c>
      <c r="M24" s="338">
        <f t="shared" si="0"/>
        <v>0</v>
      </c>
      <c r="N24" s="789">
        <f t="shared" si="0"/>
        <v>0</v>
      </c>
    </row>
    <row r="25" spans="1:14">
      <c r="A25" s="785">
        <f t="shared" si="1"/>
        <v>20</v>
      </c>
      <c r="B25" s="3265"/>
      <c r="C25" s="786" t="s">
        <v>62</v>
      </c>
      <c r="D25" s="787"/>
      <c r="E25" s="787"/>
      <c r="F25" s="787"/>
      <c r="G25" s="787"/>
      <c r="H25" s="787"/>
      <c r="I25" s="790">
        <v>0.25</v>
      </c>
      <c r="J25" s="787">
        <f t="shared" si="0"/>
        <v>0</v>
      </c>
      <c r="K25" s="787">
        <f t="shared" si="0"/>
        <v>0</v>
      </c>
      <c r="L25" s="787">
        <f t="shared" si="0"/>
        <v>0</v>
      </c>
      <c r="M25" s="338">
        <f t="shared" si="0"/>
        <v>0</v>
      </c>
      <c r="N25" s="789">
        <f t="shared" si="0"/>
        <v>0</v>
      </c>
    </row>
    <row r="26" spans="1:14">
      <c r="A26" s="785">
        <v>21</v>
      </c>
      <c r="B26" s="3266"/>
      <c r="C26" s="791" t="s">
        <v>551</v>
      </c>
      <c r="D26" s="792"/>
      <c r="E26" s="792"/>
      <c r="F26" s="792"/>
      <c r="G26" s="792"/>
      <c r="H26" s="792"/>
      <c r="I26" s="793">
        <v>0.28870000000000001</v>
      </c>
      <c r="J26" s="792">
        <f t="shared" si="0"/>
        <v>0</v>
      </c>
      <c r="K26" s="792">
        <f t="shared" si="0"/>
        <v>0</v>
      </c>
      <c r="L26" s="792">
        <f t="shared" si="0"/>
        <v>0</v>
      </c>
      <c r="M26" s="794">
        <f t="shared" si="0"/>
        <v>0</v>
      </c>
      <c r="N26" s="795">
        <f t="shared" si="0"/>
        <v>0</v>
      </c>
    </row>
    <row r="27" spans="1:14">
      <c r="A27" s="796">
        <f t="shared" ref="A27:A50" si="2">A26+1</f>
        <v>22</v>
      </c>
      <c r="B27" s="3261" t="s">
        <v>4052</v>
      </c>
      <c r="C27" s="3261"/>
      <c r="D27" s="797">
        <f>SUM(D6:D26)</f>
        <v>0</v>
      </c>
      <c r="E27" s="797">
        <f>SUM(E6:E26)</f>
        <v>0</v>
      </c>
      <c r="F27" s="797">
        <f>SUM(F6:F26)</f>
        <v>0</v>
      </c>
      <c r="G27" s="797">
        <f>SUM(G6:G26)</f>
        <v>0</v>
      </c>
      <c r="H27" s="797">
        <f>SUM(H6:H26)</f>
        <v>0</v>
      </c>
      <c r="I27" s="798"/>
      <c r="J27" s="797">
        <f>SUM(J6:J26)</f>
        <v>0</v>
      </c>
      <c r="K27" s="797">
        <f>SUM(K6:K26)</f>
        <v>0</v>
      </c>
      <c r="L27" s="797">
        <f>SUM(L6:L26)</f>
        <v>0</v>
      </c>
      <c r="M27" s="797">
        <f>SUM(M6:M26)</f>
        <v>0</v>
      </c>
      <c r="N27" s="799">
        <f>SUM(N6:N26)</f>
        <v>0</v>
      </c>
    </row>
    <row r="28" spans="1:14">
      <c r="A28" s="800">
        <f t="shared" si="2"/>
        <v>23</v>
      </c>
      <c r="B28" s="3264" t="s">
        <v>4053</v>
      </c>
      <c r="C28" s="780" t="s">
        <v>44</v>
      </c>
      <c r="D28" s="781"/>
      <c r="E28" s="781"/>
      <c r="F28" s="781"/>
      <c r="G28" s="781"/>
      <c r="H28" s="781"/>
      <c r="I28" s="782">
        <v>0</v>
      </c>
      <c r="J28" s="801">
        <f t="shared" ref="J28:N48" si="3">ROUND(D28*$I28,0)</f>
        <v>0</v>
      </c>
      <c r="K28" s="801">
        <f t="shared" si="3"/>
        <v>0</v>
      </c>
      <c r="L28" s="801">
        <f t="shared" si="3"/>
        <v>0</v>
      </c>
      <c r="M28" s="783">
        <f t="shared" si="3"/>
        <v>0</v>
      </c>
      <c r="N28" s="784">
        <f t="shared" si="3"/>
        <v>0</v>
      </c>
    </row>
    <row r="29" spans="1:14">
      <c r="A29" s="800">
        <f t="shared" si="2"/>
        <v>24</v>
      </c>
      <c r="B29" s="3265"/>
      <c r="C29" s="786" t="s">
        <v>45</v>
      </c>
      <c r="D29" s="787"/>
      <c r="E29" s="787"/>
      <c r="F29" s="787"/>
      <c r="G29" s="787"/>
      <c r="H29" s="787"/>
      <c r="I29" s="788">
        <v>0</v>
      </c>
      <c r="J29" s="787">
        <f t="shared" si="3"/>
        <v>0</v>
      </c>
      <c r="K29" s="787">
        <f t="shared" si="3"/>
        <v>0</v>
      </c>
      <c r="L29" s="787">
        <f t="shared" si="3"/>
        <v>0</v>
      </c>
      <c r="M29" s="338">
        <f t="shared" si="3"/>
        <v>0</v>
      </c>
      <c r="N29" s="789">
        <f t="shared" si="3"/>
        <v>0</v>
      </c>
    </row>
    <row r="30" spans="1:14">
      <c r="A30" s="800">
        <f t="shared" si="2"/>
        <v>25</v>
      </c>
      <c r="B30" s="3265"/>
      <c r="C30" s="786" t="s">
        <v>46</v>
      </c>
      <c r="D30" s="787"/>
      <c r="E30" s="787"/>
      <c r="F30" s="787"/>
      <c r="G30" s="787"/>
      <c r="H30" s="787"/>
      <c r="I30" s="788">
        <v>0</v>
      </c>
      <c r="J30" s="787">
        <f t="shared" si="3"/>
        <v>0</v>
      </c>
      <c r="K30" s="787">
        <f t="shared" si="3"/>
        <v>0</v>
      </c>
      <c r="L30" s="787">
        <f t="shared" si="3"/>
        <v>0</v>
      </c>
      <c r="M30" s="338">
        <f t="shared" si="3"/>
        <v>0</v>
      </c>
      <c r="N30" s="789">
        <f t="shared" si="3"/>
        <v>0</v>
      </c>
    </row>
    <row r="31" spans="1:14">
      <c r="A31" s="800">
        <f t="shared" si="2"/>
        <v>26</v>
      </c>
      <c r="B31" s="3265"/>
      <c r="C31" s="786" t="s">
        <v>47</v>
      </c>
      <c r="D31" s="787"/>
      <c r="E31" s="787"/>
      <c r="F31" s="787"/>
      <c r="G31" s="787"/>
      <c r="H31" s="787"/>
      <c r="I31" s="790">
        <v>3.0999999999999999E-3</v>
      </c>
      <c r="J31" s="787">
        <f t="shared" si="3"/>
        <v>0</v>
      </c>
      <c r="K31" s="787">
        <f t="shared" si="3"/>
        <v>0</v>
      </c>
      <c r="L31" s="787">
        <f t="shared" si="3"/>
        <v>0</v>
      </c>
      <c r="M31" s="338">
        <f t="shared" si="3"/>
        <v>0</v>
      </c>
      <c r="N31" s="789">
        <f t="shared" si="3"/>
        <v>0</v>
      </c>
    </row>
    <row r="32" spans="1:14">
      <c r="A32" s="800">
        <f t="shared" si="2"/>
        <v>27</v>
      </c>
      <c r="B32" s="3265"/>
      <c r="C32" s="786" t="s">
        <v>48</v>
      </c>
      <c r="D32" s="787"/>
      <c r="E32" s="787"/>
      <c r="F32" s="787"/>
      <c r="G32" s="787"/>
      <c r="H32" s="787"/>
      <c r="I32" s="790">
        <v>6.1999999999999998E-3</v>
      </c>
      <c r="J32" s="787">
        <f t="shared" si="3"/>
        <v>0</v>
      </c>
      <c r="K32" s="787">
        <f t="shared" si="3"/>
        <v>0</v>
      </c>
      <c r="L32" s="787">
        <f t="shared" si="3"/>
        <v>0</v>
      </c>
      <c r="M32" s="338">
        <f t="shared" si="3"/>
        <v>0</v>
      </c>
      <c r="N32" s="789">
        <f t="shared" si="3"/>
        <v>0</v>
      </c>
    </row>
    <row r="33" spans="1:14">
      <c r="A33" s="800">
        <f t="shared" si="2"/>
        <v>28</v>
      </c>
      <c r="B33" s="3265"/>
      <c r="C33" s="786" t="s">
        <v>49</v>
      </c>
      <c r="D33" s="787"/>
      <c r="E33" s="787"/>
      <c r="F33" s="787"/>
      <c r="G33" s="787"/>
      <c r="H33" s="787"/>
      <c r="I33" s="790">
        <v>7.3999999999999995E-3</v>
      </c>
      <c r="J33" s="787">
        <f t="shared" si="3"/>
        <v>0</v>
      </c>
      <c r="K33" s="787">
        <f t="shared" si="3"/>
        <v>0</v>
      </c>
      <c r="L33" s="787">
        <f t="shared" si="3"/>
        <v>0</v>
      </c>
      <c r="M33" s="338">
        <f t="shared" si="3"/>
        <v>0</v>
      </c>
      <c r="N33" s="789">
        <f t="shared" si="3"/>
        <v>0</v>
      </c>
    </row>
    <row r="34" spans="1:14">
      <c r="A34" s="800">
        <f t="shared" si="2"/>
        <v>29</v>
      </c>
      <c r="B34" s="3265"/>
      <c r="C34" s="786" t="s">
        <v>50</v>
      </c>
      <c r="D34" s="787"/>
      <c r="E34" s="787"/>
      <c r="F34" s="787"/>
      <c r="G34" s="787"/>
      <c r="H34" s="787"/>
      <c r="I34" s="790">
        <v>8.6E-3</v>
      </c>
      <c r="J34" s="787">
        <f t="shared" si="3"/>
        <v>0</v>
      </c>
      <c r="K34" s="787">
        <f t="shared" si="3"/>
        <v>0</v>
      </c>
      <c r="L34" s="787">
        <f t="shared" si="3"/>
        <v>0</v>
      </c>
      <c r="M34" s="338">
        <f t="shared" si="3"/>
        <v>0</v>
      </c>
      <c r="N34" s="789">
        <f t="shared" si="3"/>
        <v>0</v>
      </c>
    </row>
    <row r="35" spans="1:14">
      <c r="A35" s="800">
        <f t="shared" si="2"/>
        <v>30</v>
      </c>
      <c r="B35" s="3265"/>
      <c r="C35" s="786" t="s">
        <v>51</v>
      </c>
      <c r="D35" s="787"/>
      <c r="E35" s="787"/>
      <c r="F35" s="787"/>
      <c r="G35" s="787"/>
      <c r="H35" s="787"/>
      <c r="I35" s="790">
        <v>9.7999999999999997E-3</v>
      </c>
      <c r="J35" s="787">
        <f t="shared" si="3"/>
        <v>0</v>
      </c>
      <c r="K35" s="787">
        <f t="shared" si="3"/>
        <v>0</v>
      </c>
      <c r="L35" s="787">
        <f t="shared" si="3"/>
        <v>0</v>
      </c>
      <c r="M35" s="338">
        <f t="shared" si="3"/>
        <v>0</v>
      </c>
      <c r="N35" s="789">
        <f t="shared" si="3"/>
        <v>0</v>
      </c>
    </row>
    <row r="36" spans="1:14">
      <c r="A36" s="800">
        <f t="shared" si="2"/>
        <v>31</v>
      </c>
      <c r="B36" s="3265"/>
      <c r="C36" s="786" t="s">
        <v>52</v>
      </c>
      <c r="D36" s="787"/>
      <c r="E36" s="787"/>
      <c r="F36" s="787"/>
      <c r="G36" s="787"/>
      <c r="H36" s="787"/>
      <c r="I36" s="790">
        <v>1.8033333333333332E-2</v>
      </c>
      <c r="J36" s="787">
        <f t="shared" si="3"/>
        <v>0</v>
      </c>
      <c r="K36" s="787">
        <f t="shared" si="3"/>
        <v>0</v>
      </c>
      <c r="L36" s="787">
        <f t="shared" si="3"/>
        <v>0</v>
      </c>
      <c r="M36" s="338">
        <f t="shared" si="3"/>
        <v>0</v>
      </c>
      <c r="N36" s="789">
        <f t="shared" si="3"/>
        <v>0</v>
      </c>
    </row>
    <row r="37" spans="1:14">
      <c r="A37" s="800">
        <f t="shared" si="2"/>
        <v>32</v>
      </c>
      <c r="B37" s="3265"/>
      <c r="C37" s="786" t="s">
        <v>53</v>
      </c>
      <c r="D37" s="787"/>
      <c r="E37" s="787"/>
      <c r="F37" s="787"/>
      <c r="G37" s="787"/>
      <c r="H37" s="787"/>
      <c r="I37" s="790">
        <v>2.6266666666666667E-2</v>
      </c>
      <c r="J37" s="787">
        <f t="shared" si="3"/>
        <v>0</v>
      </c>
      <c r="K37" s="787">
        <f t="shared" si="3"/>
        <v>0</v>
      </c>
      <c r="L37" s="787">
        <f t="shared" si="3"/>
        <v>0</v>
      </c>
      <c r="M37" s="338">
        <f t="shared" si="3"/>
        <v>0</v>
      </c>
      <c r="N37" s="789">
        <f t="shared" si="3"/>
        <v>0</v>
      </c>
    </row>
    <row r="38" spans="1:14">
      <c r="A38" s="800">
        <f t="shared" si="2"/>
        <v>33</v>
      </c>
      <c r="B38" s="3265"/>
      <c r="C38" s="786" t="s">
        <v>54</v>
      </c>
      <c r="D38" s="787"/>
      <c r="E38" s="787"/>
      <c r="F38" s="787"/>
      <c r="G38" s="787"/>
      <c r="H38" s="787"/>
      <c r="I38" s="790">
        <v>3.4500000000000003E-2</v>
      </c>
      <c r="J38" s="787">
        <f t="shared" si="3"/>
        <v>0</v>
      </c>
      <c r="K38" s="787">
        <f t="shared" si="3"/>
        <v>0</v>
      </c>
      <c r="L38" s="787">
        <f t="shared" si="3"/>
        <v>0</v>
      </c>
      <c r="M38" s="338">
        <f t="shared" si="3"/>
        <v>0</v>
      </c>
      <c r="N38" s="789">
        <f t="shared" si="3"/>
        <v>0</v>
      </c>
    </row>
    <row r="39" spans="1:14">
      <c r="A39" s="800">
        <f t="shared" si="2"/>
        <v>34</v>
      </c>
      <c r="B39" s="3265"/>
      <c r="C39" s="786" t="s">
        <v>55</v>
      </c>
      <c r="D39" s="787"/>
      <c r="E39" s="787"/>
      <c r="F39" s="787"/>
      <c r="G39" s="787"/>
      <c r="H39" s="787"/>
      <c r="I39" s="790">
        <v>4.8000000000000001E-2</v>
      </c>
      <c r="J39" s="787">
        <f t="shared" si="3"/>
        <v>0</v>
      </c>
      <c r="K39" s="787">
        <f t="shared" si="3"/>
        <v>0</v>
      </c>
      <c r="L39" s="787">
        <f t="shared" si="3"/>
        <v>0</v>
      </c>
      <c r="M39" s="338">
        <f t="shared" si="3"/>
        <v>0</v>
      </c>
      <c r="N39" s="789">
        <f t="shared" si="3"/>
        <v>0</v>
      </c>
    </row>
    <row r="40" spans="1:14">
      <c r="A40" s="800">
        <f t="shared" si="2"/>
        <v>35</v>
      </c>
      <c r="B40" s="3265"/>
      <c r="C40" s="786" t="s">
        <v>550</v>
      </c>
      <c r="D40" s="787"/>
      <c r="E40" s="787"/>
      <c r="F40" s="787"/>
      <c r="G40" s="787"/>
      <c r="H40" s="787"/>
      <c r="I40" s="790">
        <v>6.1499999999999999E-2</v>
      </c>
      <c r="J40" s="787">
        <f t="shared" si="3"/>
        <v>0</v>
      </c>
      <c r="K40" s="787">
        <f t="shared" si="3"/>
        <v>0</v>
      </c>
      <c r="L40" s="787">
        <f t="shared" si="3"/>
        <v>0</v>
      </c>
      <c r="M40" s="338">
        <f t="shared" si="3"/>
        <v>0</v>
      </c>
      <c r="N40" s="789">
        <f t="shared" si="3"/>
        <v>0</v>
      </c>
    </row>
    <row r="41" spans="1:14">
      <c r="A41" s="800">
        <f t="shared" si="2"/>
        <v>36</v>
      </c>
      <c r="B41" s="3265"/>
      <c r="C41" s="786" t="s">
        <v>56</v>
      </c>
      <c r="D41" s="787"/>
      <c r="E41" s="787"/>
      <c r="F41" s="787"/>
      <c r="G41" s="787"/>
      <c r="H41" s="787"/>
      <c r="I41" s="790">
        <v>7.4999999999999997E-2</v>
      </c>
      <c r="J41" s="787">
        <f t="shared" si="3"/>
        <v>0</v>
      </c>
      <c r="K41" s="787">
        <f t="shared" si="3"/>
        <v>0</v>
      </c>
      <c r="L41" s="787">
        <f t="shared" si="3"/>
        <v>0</v>
      </c>
      <c r="M41" s="338">
        <f t="shared" si="3"/>
        <v>0</v>
      </c>
      <c r="N41" s="789">
        <f t="shared" si="3"/>
        <v>0</v>
      </c>
    </row>
    <row r="42" spans="1:14">
      <c r="A42" s="800">
        <f t="shared" si="2"/>
        <v>37</v>
      </c>
      <c r="B42" s="3265"/>
      <c r="C42" s="786" t="s">
        <v>57</v>
      </c>
      <c r="D42" s="787"/>
      <c r="E42" s="787"/>
      <c r="F42" s="787"/>
      <c r="G42" s="787"/>
      <c r="H42" s="787"/>
      <c r="I42" s="790">
        <v>0.1075</v>
      </c>
      <c r="J42" s="787">
        <f t="shared" si="3"/>
        <v>0</v>
      </c>
      <c r="K42" s="787">
        <f t="shared" si="3"/>
        <v>0</v>
      </c>
      <c r="L42" s="787">
        <f t="shared" si="3"/>
        <v>0</v>
      </c>
      <c r="M42" s="338">
        <f t="shared" si="3"/>
        <v>0</v>
      </c>
      <c r="N42" s="789">
        <f t="shared" si="3"/>
        <v>0</v>
      </c>
    </row>
    <row r="43" spans="1:14">
      <c r="A43" s="800">
        <f t="shared" si="2"/>
        <v>38</v>
      </c>
      <c r="B43" s="3265"/>
      <c r="C43" s="786" t="s">
        <v>58</v>
      </c>
      <c r="D43" s="787"/>
      <c r="E43" s="787"/>
      <c r="F43" s="787"/>
      <c r="G43" s="787"/>
      <c r="H43" s="787"/>
      <c r="I43" s="790">
        <v>0.14000000000000001</v>
      </c>
      <c r="J43" s="787">
        <f t="shared" si="3"/>
        <v>0</v>
      </c>
      <c r="K43" s="787">
        <f t="shared" si="3"/>
        <v>0</v>
      </c>
      <c r="L43" s="787">
        <f t="shared" si="3"/>
        <v>0</v>
      </c>
      <c r="M43" s="338">
        <f t="shared" si="3"/>
        <v>0</v>
      </c>
      <c r="N43" s="789">
        <f t="shared" si="3"/>
        <v>0</v>
      </c>
    </row>
    <row r="44" spans="1:14">
      <c r="A44" s="800">
        <f t="shared" si="2"/>
        <v>39</v>
      </c>
      <c r="B44" s="3265"/>
      <c r="C44" s="786" t="s">
        <v>59</v>
      </c>
      <c r="D44" s="787"/>
      <c r="E44" s="787"/>
      <c r="F44" s="787"/>
      <c r="G44" s="787"/>
      <c r="H44" s="787"/>
      <c r="I44" s="790">
        <v>0.17249999999999999</v>
      </c>
      <c r="J44" s="787">
        <f t="shared" si="3"/>
        <v>0</v>
      </c>
      <c r="K44" s="787">
        <f t="shared" si="3"/>
        <v>0</v>
      </c>
      <c r="L44" s="787">
        <f t="shared" si="3"/>
        <v>0</v>
      </c>
      <c r="M44" s="338">
        <f t="shared" si="3"/>
        <v>0</v>
      </c>
      <c r="N44" s="789">
        <f t="shared" si="3"/>
        <v>0</v>
      </c>
    </row>
    <row r="45" spans="1:14">
      <c r="A45" s="800">
        <f t="shared" si="2"/>
        <v>40</v>
      </c>
      <c r="B45" s="3265"/>
      <c r="C45" s="786" t="s">
        <v>60</v>
      </c>
      <c r="D45" s="787"/>
      <c r="E45" s="787"/>
      <c r="F45" s="787"/>
      <c r="G45" s="787"/>
      <c r="H45" s="787"/>
      <c r="I45" s="790">
        <v>0.2112</v>
      </c>
      <c r="J45" s="787">
        <f t="shared" si="3"/>
        <v>0</v>
      </c>
      <c r="K45" s="787">
        <f t="shared" si="3"/>
        <v>0</v>
      </c>
      <c r="L45" s="787">
        <f t="shared" si="3"/>
        <v>0</v>
      </c>
      <c r="M45" s="338">
        <f t="shared" si="3"/>
        <v>0</v>
      </c>
      <c r="N45" s="789">
        <f t="shared" si="3"/>
        <v>0</v>
      </c>
    </row>
    <row r="46" spans="1:14">
      <c r="A46" s="800">
        <f t="shared" si="2"/>
        <v>41</v>
      </c>
      <c r="B46" s="3265"/>
      <c r="C46" s="786" t="s">
        <v>61</v>
      </c>
      <c r="D46" s="787"/>
      <c r="E46" s="787"/>
      <c r="F46" s="787"/>
      <c r="G46" s="787"/>
      <c r="H46" s="787"/>
      <c r="I46" s="790">
        <v>0.25</v>
      </c>
      <c r="J46" s="787">
        <f t="shared" si="3"/>
        <v>0</v>
      </c>
      <c r="K46" s="787">
        <f t="shared" si="3"/>
        <v>0</v>
      </c>
      <c r="L46" s="787">
        <f t="shared" si="3"/>
        <v>0</v>
      </c>
      <c r="M46" s="338">
        <f t="shared" si="3"/>
        <v>0</v>
      </c>
      <c r="N46" s="789">
        <f t="shared" si="3"/>
        <v>0</v>
      </c>
    </row>
    <row r="47" spans="1:14">
      <c r="A47" s="800">
        <f t="shared" si="2"/>
        <v>42</v>
      </c>
      <c r="B47" s="3265"/>
      <c r="C47" s="786" t="s">
        <v>62</v>
      </c>
      <c r="D47" s="787"/>
      <c r="E47" s="787"/>
      <c r="F47" s="787"/>
      <c r="G47" s="787"/>
      <c r="H47" s="787"/>
      <c r="I47" s="790">
        <v>0.28870000000000001</v>
      </c>
      <c r="J47" s="787">
        <f t="shared" si="3"/>
        <v>0</v>
      </c>
      <c r="K47" s="787">
        <f t="shared" si="3"/>
        <v>0</v>
      </c>
      <c r="L47" s="787">
        <f t="shared" si="3"/>
        <v>0</v>
      </c>
      <c r="M47" s="338">
        <f t="shared" si="3"/>
        <v>0</v>
      </c>
      <c r="N47" s="789">
        <f t="shared" si="3"/>
        <v>0</v>
      </c>
    </row>
    <row r="48" spans="1:14">
      <c r="A48" s="800">
        <f t="shared" si="2"/>
        <v>43</v>
      </c>
      <c r="B48" s="3266"/>
      <c r="C48" s="791" t="s">
        <v>63</v>
      </c>
      <c r="D48" s="792"/>
      <c r="E48" s="792"/>
      <c r="F48" s="792"/>
      <c r="G48" s="792"/>
      <c r="H48" s="792"/>
      <c r="I48" s="793">
        <v>0.3</v>
      </c>
      <c r="J48" s="792">
        <f t="shared" si="3"/>
        <v>0</v>
      </c>
      <c r="K48" s="792">
        <f t="shared" si="3"/>
        <v>0</v>
      </c>
      <c r="L48" s="792">
        <f t="shared" si="3"/>
        <v>0</v>
      </c>
      <c r="M48" s="794">
        <f t="shared" si="3"/>
        <v>0</v>
      </c>
      <c r="N48" s="795">
        <f t="shared" si="3"/>
        <v>0</v>
      </c>
    </row>
    <row r="49" spans="1:14">
      <c r="A49" s="800">
        <f t="shared" si="2"/>
        <v>44</v>
      </c>
      <c r="B49" s="3262" t="s">
        <v>4054</v>
      </c>
      <c r="C49" s="3262"/>
      <c r="D49" s="802">
        <f>SUM(D28:D48)</f>
        <v>0</v>
      </c>
      <c r="E49" s="802">
        <f>SUM(E28:E48)</f>
        <v>0</v>
      </c>
      <c r="F49" s="802">
        <f>SUM(F28:F48)</f>
        <v>0</v>
      </c>
      <c r="G49" s="802">
        <f>SUM(G28:G48)</f>
        <v>0</v>
      </c>
      <c r="H49" s="802">
        <f>SUM(H28:H48)</f>
        <v>0</v>
      </c>
      <c r="I49" s="803"/>
      <c r="J49" s="802">
        <f>SUM(J28:J48)</f>
        <v>0</v>
      </c>
      <c r="K49" s="802">
        <f>SUM(K28:K48)</f>
        <v>0</v>
      </c>
      <c r="L49" s="802">
        <f>SUM(L28:L48)</f>
        <v>0</v>
      </c>
      <c r="M49" s="802">
        <f>SUM(M28:M48)</f>
        <v>0</v>
      </c>
      <c r="N49" s="804">
        <f>SUM(N28:N48)</f>
        <v>0</v>
      </c>
    </row>
    <row r="50" spans="1:14" ht="16.5" thickBot="1">
      <c r="A50" s="805">
        <f t="shared" si="2"/>
        <v>45</v>
      </c>
      <c r="B50" s="3263" t="s">
        <v>4055</v>
      </c>
      <c r="C50" s="3263"/>
      <c r="D50" s="806">
        <f>D49+D27</f>
        <v>0</v>
      </c>
      <c r="E50" s="806">
        <f>E49+E27</f>
        <v>0</v>
      </c>
      <c r="F50" s="806">
        <f>F49+F27</f>
        <v>0</v>
      </c>
      <c r="G50" s="806">
        <f>G49+G27</f>
        <v>0</v>
      </c>
      <c r="H50" s="806">
        <f>H49+H27</f>
        <v>0</v>
      </c>
      <c r="I50" s="807"/>
      <c r="J50" s="807"/>
      <c r="K50" s="807"/>
      <c r="L50" s="807"/>
      <c r="M50" s="807"/>
      <c r="N50" s="808"/>
    </row>
    <row r="52" spans="1:14" ht="16.5">
      <c r="A52" s="809" t="s">
        <v>4056</v>
      </c>
      <c r="B52" s="68" t="s">
        <v>4057</v>
      </c>
    </row>
    <row r="53" spans="1:14" ht="16.5">
      <c r="A53" s="809" t="s">
        <v>4058</v>
      </c>
      <c r="B53" s="68" t="s">
        <v>4059</v>
      </c>
    </row>
    <row r="54" spans="1:14" ht="16.5">
      <c r="A54" s="809" t="s">
        <v>4060</v>
      </c>
      <c r="B54" s="68" t="s">
        <v>4061</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30"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7"/>
  <sheetViews>
    <sheetView view="pageBreakPreview" zoomScaleNormal="100" zoomScaleSheetLayoutView="100" workbookViewId="0"/>
  </sheetViews>
  <sheetFormatPr defaultColWidth="9" defaultRowHeight="14.25"/>
  <cols>
    <col min="1" max="1" width="31.75" style="36" customWidth="1"/>
    <col min="2" max="2" width="68.375" style="36" customWidth="1"/>
    <col min="3" max="3" width="12.25" style="36" customWidth="1"/>
    <col min="4" max="4" width="12.125" style="36" customWidth="1"/>
    <col min="5" max="5" width="10.5" style="36" customWidth="1"/>
    <col min="6" max="6" width="16.125" style="36" customWidth="1"/>
    <col min="7" max="16384" width="9" style="36"/>
  </cols>
  <sheetData>
    <row r="1" spans="1:6" ht="16.5">
      <c r="A1" s="2186" t="str">
        <f>+封面!A3&amp;" "&amp;封面!A2</f>
        <v xml:space="preserve"> 中央再保險股份有限公司 年度檢查報表</v>
      </c>
      <c r="B1" s="2365"/>
      <c r="C1" s="2366"/>
      <c r="D1" s="2366"/>
      <c r="E1" s="2366"/>
      <c r="F1" s="2366"/>
    </row>
    <row r="2" spans="1:6" ht="15" thickBot="1">
      <c r="A2" s="2365" t="s">
        <v>5778</v>
      </c>
      <c r="B2" s="2365"/>
      <c r="C2" s="2366"/>
      <c r="D2" s="2366"/>
      <c r="E2" s="2366"/>
      <c r="F2" s="2367" t="s">
        <v>3707</v>
      </c>
    </row>
    <row r="3" spans="1:6" ht="42.75">
      <c r="A3" s="2368" t="s">
        <v>5779</v>
      </c>
      <c r="B3" s="2369" t="s">
        <v>5780</v>
      </c>
      <c r="C3" s="2370" t="s">
        <v>5781</v>
      </c>
      <c r="D3" s="2371" t="s">
        <v>5782</v>
      </c>
      <c r="E3" s="2372" t="s">
        <v>3806</v>
      </c>
      <c r="F3" s="2373" t="s">
        <v>3757</v>
      </c>
    </row>
    <row r="4" spans="1:6">
      <c r="A4" s="2374" t="s">
        <v>5783</v>
      </c>
      <c r="B4" s="2375" t="s">
        <v>5784</v>
      </c>
      <c r="C4" s="2376">
        <f>表03!H13</f>
        <v>0</v>
      </c>
      <c r="D4" s="2377"/>
      <c r="E4" s="2378">
        <v>7.4999999999999997E-2</v>
      </c>
      <c r="F4" s="2379">
        <f>ROUND(C4*E4,0)</f>
        <v>0</v>
      </c>
    </row>
    <row r="5" spans="1:6">
      <c r="A5" s="2374" t="s">
        <v>5785</v>
      </c>
      <c r="B5" s="2375" t="s">
        <v>5786</v>
      </c>
      <c r="C5" s="2376">
        <f>表03!H15</f>
        <v>0</v>
      </c>
      <c r="D5" s="2377"/>
      <c r="E5" s="2378">
        <v>0.01</v>
      </c>
      <c r="F5" s="2379">
        <f>ROUND(C5*E5,0)</f>
        <v>0</v>
      </c>
    </row>
    <row r="6" spans="1:6">
      <c r="A6" s="2374" t="s">
        <v>5787</v>
      </c>
      <c r="B6" s="2375" t="s">
        <v>5788</v>
      </c>
      <c r="C6" s="2376">
        <f>表03!H8</f>
        <v>0</v>
      </c>
      <c r="D6" s="2377"/>
      <c r="E6" s="2378">
        <v>3.7499999999999999E-2</v>
      </c>
      <c r="F6" s="2379">
        <f>ROUND(C6*E6,0)</f>
        <v>0</v>
      </c>
    </row>
    <row r="7" spans="1:6">
      <c r="A7" s="2374" t="s">
        <v>5789</v>
      </c>
      <c r="B7" s="2375"/>
      <c r="C7" s="2376">
        <f>SUM(C8:C10)</f>
        <v>0</v>
      </c>
      <c r="D7" s="2377"/>
      <c r="E7" s="2378"/>
      <c r="F7" s="2379">
        <f>SUM(F8:F10)</f>
        <v>0</v>
      </c>
    </row>
    <row r="8" spans="1:6">
      <c r="A8" s="2380" t="s">
        <v>5790</v>
      </c>
      <c r="B8" s="2375" t="s">
        <v>5791</v>
      </c>
      <c r="C8" s="2381">
        <f>表03!H12+表03!H14</f>
        <v>0</v>
      </c>
      <c r="D8" s="2377"/>
      <c r="E8" s="2378">
        <v>0.52500000000000002</v>
      </c>
      <c r="F8" s="2379">
        <f>ROUND(C8*E8,0)</f>
        <v>0</v>
      </c>
    </row>
    <row r="9" spans="1:6" ht="28.5" customHeight="1">
      <c r="A9" s="2380" t="s">
        <v>6109</v>
      </c>
      <c r="B9" s="2385" t="s">
        <v>6110</v>
      </c>
      <c r="C9" s="2381">
        <f>表03!H65+表03!H67-'表19-4'!AH27</f>
        <v>0</v>
      </c>
      <c r="D9" s="2377"/>
      <c r="E9" s="2378">
        <v>0.375</v>
      </c>
      <c r="F9" s="2379">
        <f>ROUND(C9*E9,0)</f>
        <v>0</v>
      </c>
    </row>
    <row r="10" spans="1:6">
      <c r="A10" s="2380" t="s">
        <v>5792</v>
      </c>
      <c r="B10" s="2375" t="s">
        <v>5793</v>
      </c>
      <c r="C10" s="2381">
        <f>表03!H16+表03!H18</f>
        <v>0</v>
      </c>
      <c r="D10" s="2377"/>
      <c r="E10" s="2382">
        <v>0.45</v>
      </c>
      <c r="F10" s="2383">
        <f>ROUND(C10*E10,0)</f>
        <v>0</v>
      </c>
    </row>
    <row r="11" spans="1:6">
      <c r="A11" s="2384" t="s">
        <v>5794</v>
      </c>
      <c r="B11" s="2385" t="s">
        <v>5795</v>
      </c>
      <c r="C11" s="2381">
        <f>表03!H17+表03!H19</f>
        <v>0</v>
      </c>
      <c r="D11" s="2386"/>
      <c r="E11" s="2382">
        <v>3.7499999999999999E-2</v>
      </c>
      <c r="F11" s="2383">
        <f>ROUND(C11*E11,0)</f>
        <v>0</v>
      </c>
    </row>
    <row r="12" spans="1:6" ht="58.9" customHeight="1">
      <c r="A12" s="2384" t="s">
        <v>5796</v>
      </c>
      <c r="B12" s="2385" t="s">
        <v>5797</v>
      </c>
      <c r="C12" s="2381">
        <f>'表30-4-1'!C13+'表30-4-2'!C13</f>
        <v>0</v>
      </c>
      <c r="D12" s="2386"/>
      <c r="E12" s="2387"/>
      <c r="F12" s="2383">
        <f>'表30-4-1'!E13+'表30-4-2'!E13</f>
        <v>0</v>
      </c>
    </row>
    <row r="13" spans="1:6">
      <c r="A13" s="2384" t="s">
        <v>5798</v>
      </c>
      <c r="B13" s="2385" t="s">
        <v>5799</v>
      </c>
      <c r="C13" s="2381">
        <f>'表30-5-3'!B13</f>
        <v>0</v>
      </c>
      <c r="D13" s="2386"/>
      <c r="E13" s="2387"/>
      <c r="F13" s="2383">
        <f>'表30-5-3'!D13</f>
        <v>0</v>
      </c>
    </row>
    <row r="14" spans="1:6" ht="15" thickBot="1">
      <c r="A14" s="2388" t="s">
        <v>5800</v>
      </c>
      <c r="B14" s="2389"/>
      <c r="C14" s="2390">
        <f>SUM(C4:C6,C8:C13)</f>
        <v>0</v>
      </c>
      <c r="D14" s="2391"/>
      <c r="E14" s="2392"/>
      <c r="F14" s="2393">
        <f>SUM(F4:F6,F8:F13)</f>
        <v>0</v>
      </c>
    </row>
    <row r="15" spans="1:6">
      <c r="A15" s="424" t="s">
        <v>5801</v>
      </c>
      <c r="B15" s="424"/>
      <c r="C15" s="424"/>
      <c r="D15" s="424"/>
      <c r="E15" s="424"/>
      <c r="F15" s="424"/>
    </row>
    <row r="16" spans="1:6">
      <c r="A16" s="424" t="s">
        <v>6111</v>
      </c>
      <c r="B16" s="424"/>
      <c r="C16" s="424"/>
      <c r="D16" s="424"/>
      <c r="E16" s="424"/>
      <c r="F16" s="424"/>
    </row>
    <row r="17" spans="1:6">
      <c r="A17" s="424" t="s">
        <v>6112</v>
      </c>
      <c r="B17" s="424"/>
      <c r="C17" s="424"/>
      <c r="D17" s="424"/>
      <c r="E17" s="424"/>
      <c r="F17" s="424"/>
    </row>
  </sheetData>
  <phoneticPr fontId="30"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dimension ref="A1:E31"/>
  <sheetViews>
    <sheetView view="pageBreakPreview" zoomScaleNormal="100" zoomScaleSheetLayoutView="100" workbookViewId="0"/>
  </sheetViews>
  <sheetFormatPr defaultColWidth="9" defaultRowHeight="15.75"/>
  <cols>
    <col min="1" max="1" width="9" style="35"/>
    <col min="2" max="2" width="18.5" style="35" customWidth="1"/>
    <col min="3" max="4" width="18.375" style="35" customWidth="1"/>
    <col min="5" max="5" width="17.125" style="35" bestFit="1" customWidth="1"/>
    <col min="6" max="16384" width="9" style="35"/>
  </cols>
  <sheetData>
    <row r="1" spans="1:5" ht="16.5">
      <c r="A1" s="2186" t="str">
        <f>+封面!A3&amp;" "&amp;封面!A2</f>
        <v xml:space="preserve"> 中央再保險股份有限公司 年度檢查報表</v>
      </c>
      <c r="B1" s="742"/>
      <c r="C1" s="742"/>
      <c r="D1" s="742"/>
      <c r="E1" s="742"/>
    </row>
    <row r="2" spans="1:5" ht="30.75" customHeight="1" thickBot="1">
      <c r="A2" s="3281" t="s">
        <v>1217</v>
      </c>
      <c r="B2" s="3281"/>
      <c r="C2" s="3281"/>
      <c r="D2" s="3281"/>
      <c r="E2" s="743" t="s">
        <v>848</v>
      </c>
    </row>
    <row r="3" spans="1:5" ht="21.75" customHeight="1">
      <c r="A3" s="3272" t="s">
        <v>849</v>
      </c>
      <c r="B3" s="744" t="s">
        <v>850</v>
      </c>
      <c r="C3" s="3275" t="s">
        <v>851</v>
      </c>
      <c r="D3" s="3277" t="s">
        <v>852</v>
      </c>
      <c r="E3" s="3279" t="s">
        <v>853</v>
      </c>
    </row>
    <row r="4" spans="1:5" ht="21.75" customHeight="1">
      <c r="A4" s="3273"/>
      <c r="B4" s="745" t="s">
        <v>854</v>
      </c>
      <c r="C4" s="3276"/>
      <c r="D4" s="3278"/>
      <c r="E4" s="3280"/>
    </row>
    <row r="5" spans="1:5" ht="16.5" thickBot="1">
      <c r="A5" s="3274"/>
      <c r="B5" s="746" t="s">
        <v>855</v>
      </c>
      <c r="C5" s="746" t="s">
        <v>856</v>
      </c>
      <c r="D5" s="746" t="s">
        <v>857</v>
      </c>
      <c r="E5" s="747" t="s">
        <v>858</v>
      </c>
    </row>
    <row r="6" spans="1:5">
      <c r="A6" s="748">
        <v>1</v>
      </c>
      <c r="B6" s="749" t="s">
        <v>44</v>
      </c>
      <c r="C6" s="750"/>
      <c r="D6" s="751">
        <v>2.5499999999999998E-2</v>
      </c>
      <c r="E6" s="752">
        <f t="shared" ref="E6:E12" si="0">ROUND(C6*D6,0)</f>
        <v>0</v>
      </c>
    </row>
    <row r="7" spans="1:5">
      <c r="A7" s="753">
        <v>2</v>
      </c>
      <c r="B7" s="754" t="s">
        <v>859</v>
      </c>
      <c r="C7" s="755"/>
      <c r="D7" s="756">
        <v>2.6599999999999999E-2</v>
      </c>
      <c r="E7" s="757">
        <f t="shared" si="0"/>
        <v>0</v>
      </c>
    </row>
    <row r="8" spans="1:5">
      <c r="A8" s="753">
        <v>3</v>
      </c>
      <c r="B8" s="754" t="s">
        <v>358</v>
      </c>
      <c r="C8" s="755"/>
      <c r="D8" s="756">
        <v>2.7799999999999998E-2</v>
      </c>
      <c r="E8" s="757">
        <f t="shared" si="0"/>
        <v>0</v>
      </c>
    </row>
    <row r="9" spans="1:5">
      <c r="A9" s="753">
        <v>4</v>
      </c>
      <c r="B9" s="754" t="s">
        <v>860</v>
      </c>
      <c r="C9" s="755"/>
      <c r="D9" s="756">
        <v>3.4099999999999998E-2</v>
      </c>
      <c r="E9" s="757">
        <f t="shared" si="0"/>
        <v>0</v>
      </c>
    </row>
    <row r="10" spans="1:5">
      <c r="A10" s="753">
        <v>5</v>
      </c>
      <c r="B10" s="754" t="s">
        <v>861</v>
      </c>
      <c r="C10" s="755"/>
      <c r="D10" s="758">
        <v>6.7100000000000007E-2</v>
      </c>
      <c r="E10" s="757">
        <f t="shared" si="0"/>
        <v>0</v>
      </c>
    </row>
    <row r="11" spans="1:5">
      <c r="A11" s="753">
        <v>6</v>
      </c>
      <c r="B11" s="754" t="s">
        <v>359</v>
      </c>
      <c r="C11" s="755"/>
      <c r="D11" s="758">
        <v>0.14219999999999999</v>
      </c>
      <c r="E11" s="757">
        <f t="shared" si="0"/>
        <v>0</v>
      </c>
    </row>
    <row r="12" spans="1:5">
      <c r="A12" s="753">
        <v>7</v>
      </c>
      <c r="B12" s="754" t="s">
        <v>862</v>
      </c>
      <c r="C12" s="755"/>
      <c r="D12" s="758">
        <v>0.32369999999999999</v>
      </c>
      <c r="E12" s="757">
        <f t="shared" si="0"/>
        <v>0</v>
      </c>
    </row>
    <row r="13" spans="1:5" ht="16.5" thickBot="1">
      <c r="A13" s="759">
        <v>8</v>
      </c>
      <c r="B13" s="760" t="s">
        <v>863</v>
      </c>
      <c r="C13" s="761">
        <f>SUM(C6:C12)</f>
        <v>0</v>
      </c>
      <c r="D13" s="762"/>
      <c r="E13" s="763">
        <f>SUM(E6:E12)</f>
        <v>0</v>
      </c>
    </row>
    <row r="16" spans="1:5" ht="16.5">
      <c r="A16" s="764" t="s">
        <v>864</v>
      </c>
      <c r="B16" s="764"/>
      <c r="C16" s="742"/>
      <c r="D16" s="742"/>
      <c r="E16" s="742"/>
    </row>
    <row r="17" spans="1:5" ht="16.5">
      <c r="A17" s="2607">
        <v>1</v>
      </c>
      <c r="B17" s="2608" t="s">
        <v>6335</v>
      </c>
      <c r="C17" s="742"/>
      <c r="D17" s="742"/>
      <c r="E17" s="742"/>
    </row>
    <row r="18" spans="1:5" ht="16.5">
      <c r="A18" s="2607"/>
      <c r="B18" s="764" t="s">
        <v>5701</v>
      </c>
      <c r="C18" s="742"/>
      <c r="D18" s="742"/>
      <c r="E18" s="742"/>
    </row>
    <row r="19" spans="1:5">
      <c r="A19" s="765">
        <v>2</v>
      </c>
      <c r="B19" s="764" t="s">
        <v>865</v>
      </c>
    </row>
    <row r="20" spans="1:5">
      <c r="A20" s="765"/>
      <c r="B20" s="764" t="s">
        <v>866</v>
      </c>
    </row>
    <row r="21" spans="1:5">
      <c r="A21" s="765">
        <v>3</v>
      </c>
      <c r="B21" s="764" t="s">
        <v>867</v>
      </c>
    </row>
    <row r="22" spans="1:5">
      <c r="B22" s="764" t="s">
        <v>868</v>
      </c>
    </row>
    <row r="23" spans="1:5">
      <c r="A23" s="765">
        <v>4</v>
      </c>
      <c r="B23" s="764" t="s">
        <v>869</v>
      </c>
    </row>
    <row r="25" spans="1:5">
      <c r="B25" s="766" t="s">
        <v>887</v>
      </c>
      <c r="C25" s="766" t="s">
        <v>65</v>
      </c>
    </row>
    <row r="26" spans="1:5">
      <c r="B26" s="767" t="s">
        <v>870</v>
      </c>
      <c r="C26" s="768">
        <f>D9</f>
        <v>3.4099999999999998E-2</v>
      </c>
    </row>
    <row r="27" spans="1:5" ht="28.5">
      <c r="B27" s="767" t="s">
        <v>871</v>
      </c>
      <c r="C27" s="769">
        <f>D10</f>
        <v>6.7100000000000007E-2</v>
      </c>
    </row>
    <row r="28" spans="1:5">
      <c r="B28" s="767" t="s">
        <v>872</v>
      </c>
      <c r="C28" s="769">
        <f>D11</f>
        <v>0.14219999999999999</v>
      </c>
    </row>
    <row r="29" spans="1:5">
      <c r="B29" s="767" t="s">
        <v>873</v>
      </c>
      <c r="C29" s="769">
        <f>D12</f>
        <v>0.32369999999999999</v>
      </c>
    </row>
    <row r="31" spans="1:5">
      <c r="A31" s="2607">
        <v>5</v>
      </c>
      <c r="B31" s="2609" t="s">
        <v>6336</v>
      </c>
    </row>
  </sheetData>
  <mergeCells count="5">
    <mergeCell ref="A3:A5"/>
    <mergeCell ref="C3:C4"/>
    <mergeCell ref="D3:D4"/>
    <mergeCell ref="E3:E4"/>
    <mergeCell ref="A2:D2"/>
  </mergeCells>
  <phoneticPr fontId="30" type="noConversion"/>
  <pageMargins left="0.70866141732283472" right="0.70866141732283472" top="0.74803149606299213" bottom="0.74803149606299213" header="0.31496062992125984" footer="0.31496062992125984"/>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31"/>
  <sheetViews>
    <sheetView view="pageBreakPreview" zoomScaleNormal="100" zoomScaleSheetLayoutView="100" workbookViewId="0"/>
  </sheetViews>
  <sheetFormatPr defaultColWidth="9" defaultRowHeight="15.75"/>
  <cols>
    <col min="1" max="1" width="9" style="35"/>
    <col min="2" max="2" width="18.5" style="35" customWidth="1"/>
    <col min="3" max="4" width="18.375" style="35" customWidth="1"/>
    <col min="5" max="5" width="17.125" style="35" bestFit="1" customWidth="1"/>
    <col min="6" max="16384" width="9" style="35"/>
  </cols>
  <sheetData>
    <row r="1" spans="1:5" ht="16.5">
      <c r="A1" s="2186" t="str">
        <f>+封面!A3&amp;" "&amp;封面!A2</f>
        <v xml:space="preserve"> 中央再保險股份有限公司 年度檢查報表</v>
      </c>
      <c r="B1" s="742"/>
      <c r="C1" s="742"/>
      <c r="D1" s="742"/>
      <c r="E1" s="742"/>
    </row>
    <row r="2" spans="1:5" ht="36" customHeight="1" thickBot="1">
      <c r="A2" s="3281" t="s">
        <v>1213</v>
      </c>
      <c r="B2" s="3281"/>
      <c r="C2" s="3281"/>
      <c r="D2" s="3281"/>
      <c r="E2" s="743" t="s">
        <v>1182</v>
      </c>
    </row>
    <row r="3" spans="1:5" ht="21.75" customHeight="1">
      <c r="A3" s="3272" t="s">
        <v>181</v>
      </c>
      <c r="B3" s="744" t="s">
        <v>173</v>
      </c>
      <c r="C3" s="3275" t="s">
        <v>1183</v>
      </c>
      <c r="D3" s="3277" t="s">
        <v>1184</v>
      </c>
      <c r="E3" s="3279" t="s">
        <v>1185</v>
      </c>
    </row>
    <row r="4" spans="1:5" ht="21.75" customHeight="1">
      <c r="A4" s="3273"/>
      <c r="B4" s="745" t="s">
        <v>1186</v>
      </c>
      <c r="C4" s="3276"/>
      <c r="D4" s="3278"/>
      <c r="E4" s="3280"/>
    </row>
    <row r="5" spans="1:5" ht="16.5" thickBot="1">
      <c r="A5" s="3274"/>
      <c r="B5" s="746" t="s">
        <v>175</v>
      </c>
      <c r="C5" s="746" t="s">
        <v>183</v>
      </c>
      <c r="D5" s="746" t="s">
        <v>319</v>
      </c>
      <c r="E5" s="747" t="s">
        <v>1187</v>
      </c>
    </row>
    <row r="6" spans="1:5">
      <c r="A6" s="748">
        <v>1</v>
      </c>
      <c r="B6" s="749" t="s">
        <v>44</v>
      </c>
      <c r="C6" s="750"/>
      <c r="D6" s="751">
        <v>4.0000000000000001E-3</v>
      </c>
      <c r="E6" s="752">
        <f t="shared" ref="E6:E12" si="0">ROUND(C6*D6,0)</f>
        <v>0</v>
      </c>
    </row>
    <row r="7" spans="1:5">
      <c r="A7" s="753">
        <v>2</v>
      </c>
      <c r="B7" s="754" t="s">
        <v>859</v>
      </c>
      <c r="C7" s="755"/>
      <c r="D7" s="756">
        <v>5.1000000000000004E-3</v>
      </c>
      <c r="E7" s="757">
        <f t="shared" si="0"/>
        <v>0</v>
      </c>
    </row>
    <row r="8" spans="1:5">
      <c r="A8" s="753">
        <v>3</v>
      </c>
      <c r="B8" s="754" t="s">
        <v>358</v>
      </c>
      <c r="C8" s="755"/>
      <c r="D8" s="756">
        <v>6.3E-3</v>
      </c>
      <c r="E8" s="757">
        <f t="shared" si="0"/>
        <v>0</v>
      </c>
    </row>
    <row r="9" spans="1:5">
      <c r="A9" s="753">
        <v>4</v>
      </c>
      <c r="B9" s="754" t="s">
        <v>860</v>
      </c>
      <c r="C9" s="755"/>
      <c r="D9" s="756">
        <v>1.2500000000000001E-2</v>
      </c>
      <c r="E9" s="757">
        <f t="shared" si="0"/>
        <v>0</v>
      </c>
    </row>
    <row r="10" spans="1:5">
      <c r="A10" s="753">
        <v>5</v>
      </c>
      <c r="B10" s="754" t="s">
        <v>861</v>
      </c>
      <c r="C10" s="755"/>
      <c r="D10" s="758">
        <v>4.5499999999999999E-2</v>
      </c>
      <c r="E10" s="757">
        <f t="shared" si="0"/>
        <v>0</v>
      </c>
    </row>
    <row r="11" spans="1:5">
      <c r="A11" s="753">
        <v>6</v>
      </c>
      <c r="B11" s="754" t="s">
        <v>359</v>
      </c>
      <c r="C11" s="755"/>
      <c r="D11" s="758">
        <v>0.1207</v>
      </c>
      <c r="E11" s="757">
        <f t="shared" si="0"/>
        <v>0</v>
      </c>
    </row>
    <row r="12" spans="1:5">
      <c r="A12" s="753">
        <v>7</v>
      </c>
      <c r="B12" s="754" t="s">
        <v>862</v>
      </c>
      <c r="C12" s="755"/>
      <c r="D12" s="758">
        <v>0.30209999999999998</v>
      </c>
      <c r="E12" s="757">
        <f t="shared" si="0"/>
        <v>0</v>
      </c>
    </row>
    <row r="13" spans="1:5" ht="16.5" thickBot="1">
      <c r="A13" s="759">
        <v>8</v>
      </c>
      <c r="B13" s="760" t="s">
        <v>1188</v>
      </c>
      <c r="C13" s="761">
        <f>SUM(C6:C12)</f>
        <v>0</v>
      </c>
      <c r="D13" s="762"/>
      <c r="E13" s="763">
        <f>SUM(E6:E12)</f>
        <v>0</v>
      </c>
    </row>
    <row r="16" spans="1:5" ht="16.5">
      <c r="A16" s="764" t="s">
        <v>1189</v>
      </c>
      <c r="B16" s="764"/>
      <c r="C16" s="742"/>
      <c r="D16" s="742"/>
      <c r="E16" s="742"/>
    </row>
    <row r="17" spans="1:5" ht="16.5">
      <c r="A17" s="2607">
        <v>1</v>
      </c>
      <c r="B17" s="2608" t="s">
        <v>6335</v>
      </c>
      <c r="C17" s="742"/>
      <c r="D17" s="742"/>
      <c r="E17" s="742"/>
    </row>
    <row r="18" spans="1:5" ht="16.5">
      <c r="A18" s="2607"/>
      <c r="B18" s="764" t="s">
        <v>5701</v>
      </c>
      <c r="C18" s="742"/>
      <c r="D18" s="742"/>
      <c r="E18" s="742"/>
    </row>
    <row r="19" spans="1:5">
      <c r="A19" s="765">
        <v>2</v>
      </c>
      <c r="B19" s="764" t="s">
        <v>1190</v>
      </c>
    </row>
    <row r="20" spans="1:5">
      <c r="A20" s="765"/>
      <c r="B20" s="764" t="s">
        <v>1191</v>
      </c>
    </row>
    <row r="21" spans="1:5">
      <c r="A21" s="765">
        <v>3</v>
      </c>
      <c r="B21" s="764" t="s">
        <v>1192</v>
      </c>
    </row>
    <row r="22" spans="1:5">
      <c r="B22" s="764" t="s">
        <v>1193</v>
      </c>
    </row>
    <row r="23" spans="1:5">
      <c r="A23" s="765">
        <v>4</v>
      </c>
      <c r="B23" s="764" t="s">
        <v>1194</v>
      </c>
    </row>
    <row r="25" spans="1:5">
      <c r="B25" s="766" t="s">
        <v>887</v>
      </c>
      <c r="C25" s="766" t="s">
        <v>65</v>
      </c>
    </row>
    <row r="26" spans="1:5">
      <c r="B26" s="767" t="s">
        <v>870</v>
      </c>
      <c r="C26" s="768">
        <f>D9</f>
        <v>1.2500000000000001E-2</v>
      </c>
    </row>
    <row r="27" spans="1:5" ht="28.5">
      <c r="B27" s="767" t="s">
        <v>871</v>
      </c>
      <c r="C27" s="769">
        <f>D10</f>
        <v>4.5499999999999999E-2</v>
      </c>
    </row>
    <row r="28" spans="1:5">
      <c r="B28" s="767" t="s">
        <v>872</v>
      </c>
      <c r="C28" s="769">
        <f>D11</f>
        <v>0.1207</v>
      </c>
    </row>
    <row r="29" spans="1:5">
      <c r="B29" s="767" t="s">
        <v>873</v>
      </c>
      <c r="C29" s="769">
        <f>D12</f>
        <v>0.30209999999999998</v>
      </c>
    </row>
    <row r="31" spans="1:5">
      <c r="A31" s="2607">
        <v>5</v>
      </c>
      <c r="B31" s="2609" t="s">
        <v>6336</v>
      </c>
    </row>
  </sheetData>
  <mergeCells count="5">
    <mergeCell ref="A2:D2"/>
    <mergeCell ref="A3:A5"/>
    <mergeCell ref="C3:C4"/>
    <mergeCell ref="D3:D4"/>
    <mergeCell ref="E3:E4"/>
  </mergeCells>
  <phoneticPr fontId="30" type="noConversion"/>
  <pageMargins left="0.7" right="0.7" top="0.75" bottom="0.75" header="0.3" footer="0.3"/>
  <pageSetup paperSize="9" scale="80"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heetViews>
  <sheetFormatPr defaultColWidth="8.875" defaultRowHeight="16.5"/>
  <cols>
    <col min="1" max="1" width="41" style="34" customWidth="1"/>
    <col min="2" max="2" width="53.25" style="34" customWidth="1"/>
    <col min="3" max="4" width="16" style="33" customWidth="1"/>
    <col min="5" max="5" width="11.5" style="33" customWidth="1"/>
    <col min="6" max="6" width="16" style="33" customWidth="1"/>
    <col min="7" max="7" width="8.875" style="34" customWidth="1"/>
    <col min="8" max="11" width="8.875" style="716" customWidth="1"/>
    <col min="12" max="13" width="8.875" style="34" customWidth="1"/>
    <col min="14" max="19" width="8.875" style="716" customWidth="1"/>
    <col min="20" max="16384" width="8.875" style="34"/>
  </cols>
  <sheetData>
    <row r="1" spans="1:19">
      <c r="A1" s="2186" t="str">
        <f>+封面!A3&amp;" "&amp;封面!A2</f>
        <v xml:space="preserve"> 中央再保險股份有限公司 年度檢查報表</v>
      </c>
      <c r="C1" s="34"/>
      <c r="D1" s="34"/>
      <c r="E1" s="34"/>
      <c r="F1" s="34"/>
      <c r="H1" s="34"/>
      <c r="I1" s="34"/>
      <c r="J1" s="34"/>
      <c r="K1" s="34"/>
      <c r="N1" s="34"/>
      <c r="O1" s="34"/>
      <c r="P1" s="34"/>
      <c r="Q1" s="34"/>
      <c r="R1" s="34"/>
      <c r="S1" s="34"/>
    </row>
    <row r="2" spans="1:19" s="30" customFormat="1" ht="15" thickBot="1">
      <c r="A2" s="522" t="s">
        <v>3803</v>
      </c>
      <c r="B2" s="522"/>
      <c r="C2" s="677"/>
      <c r="D2" s="677"/>
      <c r="E2" s="677"/>
      <c r="F2" s="678" t="s">
        <v>3804</v>
      </c>
    </row>
    <row r="3" spans="1:19" s="550" customFormat="1" ht="30">
      <c r="A3" s="679" t="s">
        <v>3754</v>
      </c>
      <c r="B3" s="567" t="s">
        <v>3709</v>
      </c>
      <c r="C3" s="680" t="s">
        <v>3755</v>
      </c>
      <c r="D3" s="529" t="s">
        <v>3805</v>
      </c>
      <c r="E3" s="567" t="s">
        <v>3806</v>
      </c>
      <c r="F3" s="681" t="s">
        <v>3757</v>
      </c>
    </row>
    <row r="4" spans="1:19" ht="14.25">
      <c r="A4" s="682" t="s">
        <v>3807</v>
      </c>
      <c r="B4" s="683"/>
      <c r="C4" s="684">
        <f>C5+C63</f>
        <v>0</v>
      </c>
      <c r="D4" s="685"/>
      <c r="E4" s="686"/>
      <c r="F4" s="687">
        <f>F5+F63</f>
        <v>0</v>
      </c>
      <c r="H4" s="34"/>
      <c r="I4" s="34"/>
      <c r="J4" s="34"/>
      <c r="K4" s="34"/>
      <c r="N4" s="34"/>
      <c r="O4" s="34"/>
      <c r="P4" s="34"/>
      <c r="Q4" s="34"/>
      <c r="R4" s="34"/>
      <c r="S4" s="34"/>
    </row>
    <row r="5" spans="1:19" ht="14.25">
      <c r="A5" s="688" t="s">
        <v>3808</v>
      </c>
      <c r="B5" s="689"/>
      <c r="C5" s="690">
        <f>C6+C48</f>
        <v>0</v>
      </c>
      <c r="D5" s="691"/>
      <c r="E5" s="692"/>
      <c r="F5" s="693">
        <f>F6+F48</f>
        <v>0</v>
      </c>
      <c r="H5" s="34"/>
      <c r="I5" s="34"/>
      <c r="J5" s="34"/>
      <c r="K5" s="34"/>
      <c r="N5" s="34"/>
      <c r="O5" s="34"/>
      <c r="P5" s="34"/>
      <c r="Q5" s="34"/>
      <c r="R5" s="34"/>
      <c r="S5" s="34"/>
    </row>
    <row r="6" spans="1:19" ht="14.25">
      <c r="A6" s="694" t="s">
        <v>3809</v>
      </c>
      <c r="B6" s="689"/>
      <c r="C6" s="690">
        <f>C7+C39</f>
        <v>0</v>
      </c>
      <c r="D6" s="695"/>
      <c r="E6" s="696"/>
      <c r="F6" s="693">
        <f>F7+F39</f>
        <v>0</v>
      </c>
      <c r="H6" s="34"/>
      <c r="I6" s="34"/>
      <c r="J6" s="34"/>
      <c r="K6" s="34"/>
      <c r="N6" s="34"/>
      <c r="O6" s="34"/>
      <c r="P6" s="34"/>
      <c r="Q6" s="34"/>
      <c r="R6" s="34"/>
      <c r="S6" s="34"/>
    </row>
    <row r="7" spans="1:19" ht="14.25">
      <c r="A7" s="697" t="s">
        <v>3810</v>
      </c>
      <c r="B7" s="689"/>
      <c r="C7" s="2364">
        <f>SUM(C8:C38)</f>
        <v>0</v>
      </c>
      <c r="D7" s="695"/>
      <c r="E7" s="696"/>
      <c r="F7" s="2363">
        <f>SUM(F8:F38)</f>
        <v>0</v>
      </c>
      <c r="H7" s="34"/>
      <c r="I7" s="34"/>
      <c r="J7" s="34"/>
      <c r="K7" s="34"/>
      <c r="N7" s="34"/>
      <c r="O7" s="34"/>
      <c r="P7" s="34"/>
      <c r="Q7" s="34"/>
      <c r="R7" s="34"/>
      <c r="S7" s="34"/>
    </row>
    <row r="8" spans="1:19" ht="14.25">
      <c r="A8" s="698" t="s">
        <v>3811</v>
      </c>
      <c r="B8" s="689" t="s">
        <v>3812</v>
      </c>
      <c r="C8" s="690">
        <f>'表24-1'!K9</f>
        <v>0</v>
      </c>
      <c r="D8" s="695"/>
      <c r="E8" s="692">
        <v>0.29170000000000001</v>
      </c>
      <c r="F8" s="693">
        <f t="shared" ref="F8:F36" si="0">ROUND(C8*E8,0)</f>
        <v>0</v>
      </c>
      <c r="H8" s="34"/>
      <c r="I8" s="34"/>
      <c r="J8" s="34"/>
      <c r="K8" s="34"/>
      <c r="N8" s="34"/>
      <c r="O8" s="34"/>
      <c r="P8" s="34"/>
      <c r="Q8" s="34"/>
      <c r="R8" s="34"/>
      <c r="S8" s="34"/>
    </row>
    <row r="9" spans="1:19" ht="14.25">
      <c r="A9" s="698" t="s">
        <v>3813</v>
      </c>
      <c r="B9" s="689" t="s">
        <v>3814</v>
      </c>
      <c r="C9" s="690">
        <f>'表24-1'!K10</f>
        <v>0</v>
      </c>
      <c r="D9" s="695"/>
      <c r="E9" s="692">
        <v>0.29170000000000001</v>
      </c>
      <c r="F9" s="693">
        <f t="shared" si="0"/>
        <v>0</v>
      </c>
      <c r="H9" s="34"/>
      <c r="I9" s="34"/>
      <c r="J9" s="34"/>
      <c r="K9" s="34"/>
      <c r="N9" s="34"/>
      <c r="O9" s="34"/>
      <c r="P9" s="34"/>
      <c r="Q9" s="34"/>
      <c r="R9" s="34"/>
      <c r="S9" s="34"/>
    </row>
    <row r="10" spans="1:19" ht="14.25">
      <c r="A10" s="698" t="s">
        <v>3815</v>
      </c>
      <c r="B10" s="689" t="s">
        <v>3816</v>
      </c>
      <c r="C10" s="690">
        <f>'表24-1'!K11</f>
        <v>0</v>
      </c>
      <c r="D10" s="695"/>
      <c r="E10" s="692">
        <v>0.29170000000000001</v>
      </c>
      <c r="F10" s="693">
        <f t="shared" si="0"/>
        <v>0</v>
      </c>
      <c r="H10" s="34"/>
      <c r="I10" s="34"/>
      <c r="J10" s="34"/>
      <c r="K10" s="34"/>
      <c r="N10" s="34"/>
      <c r="O10" s="34"/>
      <c r="P10" s="34"/>
      <c r="Q10" s="34"/>
      <c r="R10" s="34"/>
      <c r="S10" s="34"/>
    </row>
    <row r="11" spans="1:19" ht="14.25">
      <c r="A11" s="698" t="s">
        <v>3817</v>
      </c>
      <c r="B11" s="689" t="s">
        <v>3818</v>
      </c>
      <c r="C11" s="690">
        <f>'表24-1'!K12</f>
        <v>0</v>
      </c>
      <c r="D11" s="695"/>
      <c r="E11" s="692">
        <v>0.29170000000000001</v>
      </c>
      <c r="F11" s="693">
        <f t="shared" si="0"/>
        <v>0</v>
      </c>
      <c r="H11" s="34"/>
      <c r="I11" s="34"/>
      <c r="J11" s="34"/>
      <c r="K11" s="34"/>
      <c r="N11" s="34"/>
      <c r="O11" s="34"/>
      <c r="P11" s="34"/>
      <c r="Q11" s="34"/>
      <c r="R11" s="34"/>
      <c r="S11" s="34"/>
    </row>
    <row r="12" spans="1:19" ht="14.25">
      <c r="A12" s="698" t="s">
        <v>3819</v>
      </c>
      <c r="B12" s="689" t="s">
        <v>3820</v>
      </c>
      <c r="C12" s="690">
        <f>'表24-1'!K13</f>
        <v>0</v>
      </c>
      <c r="D12" s="695"/>
      <c r="E12" s="692">
        <v>0.18459999999999999</v>
      </c>
      <c r="F12" s="693">
        <f t="shared" si="0"/>
        <v>0</v>
      </c>
      <c r="H12" s="34"/>
      <c r="I12" s="34"/>
      <c r="J12" s="34"/>
      <c r="K12" s="34"/>
      <c r="N12" s="34"/>
      <c r="O12" s="34"/>
      <c r="P12" s="34"/>
      <c r="Q12" s="34"/>
      <c r="R12" s="34"/>
      <c r="S12" s="34"/>
    </row>
    <row r="13" spans="1:19" ht="14.25">
      <c r="A13" s="698" t="s">
        <v>3821</v>
      </c>
      <c r="B13" s="689" t="s">
        <v>3822</v>
      </c>
      <c r="C13" s="690">
        <f>'表24-1'!K14</f>
        <v>0</v>
      </c>
      <c r="D13" s="695"/>
      <c r="E13" s="692">
        <v>0.18459999999999999</v>
      </c>
      <c r="F13" s="693">
        <f t="shared" si="0"/>
        <v>0</v>
      </c>
      <c r="H13" s="34"/>
      <c r="I13" s="34"/>
      <c r="J13" s="34"/>
      <c r="K13" s="34"/>
      <c r="N13" s="34"/>
      <c r="O13" s="34"/>
      <c r="P13" s="34"/>
      <c r="Q13" s="34"/>
      <c r="R13" s="34"/>
      <c r="S13" s="34"/>
    </row>
    <row r="14" spans="1:19" ht="14.25">
      <c r="A14" s="698" t="s">
        <v>3823</v>
      </c>
      <c r="B14" s="689" t="s">
        <v>3824</v>
      </c>
      <c r="C14" s="690">
        <f>'表24-1'!K15</f>
        <v>0</v>
      </c>
      <c r="D14" s="695"/>
      <c r="E14" s="692">
        <v>1.0096000000000001</v>
      </c>
      <c r="F14" s="693">
        <f t="shared" si="0"/>
        <v>0</v>
      </c>
      <c r="H14" s="34"/>
      <c r="I14" s="34"/>
      <c r="J14" s="34"/>
      <c r="K14" s="34"/>
      <c r="N14" s="34"/>
      <c r="O14" s="34"/>
      <c r="P14" s="34"/>
      <c r="Q14" s="34"/>
      <c r="R14" s="34"/>
      <c r="S14" s="34"/>
    </row>
    <row r="15" spans="1:19" ht="14.25">
      <c r="A15" s="698" t="s">
        <v>3825</v>
      </c>
      <c r="B15" s="689" t="s">
        <v>3826</v>
      </c>
      <c r="C15" s="690">
        <f>'表24-1'!K16</f>
        <v>0</v>
      </c>
      <c r="D15" s="695"/>
      <c r="E15" s="692">
        <v>0.22409999999999999</v>
      </c>
      <c r="F15" s="693">
        <f t="shared" si="0"/>
        <v>0</v>
      </c>
      <c r="H15" s="34"/>
      <c r="I15" s="34"/>
      <c r="J15" s="34"/>
      <c r="K15" s="34"/>
      <c r="N15" s="34"/>
      <c r="O15" s="34"/>
      <c r="P15" s="34"/>
      <c r="Q15" s="34"/>
      <c r="R15" s="34"/>
      <c r="S15" s="34"/>
    </row>
    <row r="16" spans="1:19" ht="14.25">
      <c r="A16" s="698" t="s">
        <v>3827</v>
      </c>
      <c r="B16" s="689" t="s">
        <v>3828</v>
      </c>
      <c r="C16" s="690">
        <f>'表24-1'!K17</f>
        <v>0</v>
      </c>
      <c r="D16" s="695"/>
      <c r="E16" s="692">
        <v>7.7195</v>
      </c>
      <c r="F16" s="693">
        <f t="shared" si="0"/>
        <v>0</v>
      </c>
      <c r="H16" s="34"/>
      <c r="I16" s="34"/>
      <c r="J16" s="34"/>
      <c r="K16" s="34"/>
      <c r="N16" s="34"/>
      <c r="O16" s="34"/>
      <c r="P16" s="34"/>
      <c r="Q16" s="34"/>
      <c r="R16" s="34"/>
      <c r="S16" s="34"/>
    </row>
    <row r="17" spans="1:19" ht="14.25">
      <c r="A17" s="698" t="s">
        <v>3829</v>
      </c>
      <c r="B17" s="689" t="s">
        <v>3830</v>
      </c>
      <c r="C17" s="690">
        <f>'表24-1'!K18</f>
        <v>0</v>
      </c>
      <c r="D17" s="695"/>
      <c r="E17" s="692">
        <v>9.4399999999999998E-2</v>
      </c>
      <c r="F17" s="693">
        <f t="shared" si="0"/>
        <v>0</v>
      </c>
      <c r="H17" s="34"/>
      <c r="I17" s="34"/>
      <c r="J17" s="34"/>
      <c r="K17" s="34"/>
      <c r="N17" s="34"/>
      <c r="O17" s="34"/>
      <c r="P17" s="34"/>
      <c r="Q17" s="34"/>
      <c r="R17" s="34"/>
      <c r="S17" s="34"/>
    </row>
    <row r="18" spans="1:19" ht="14.25">
      <c r="A18" s="698" t="s">
        <v>3831</v>
      </c>
      <c r="B18" s="689" t="s">
        <v>3832</v>
      </c>
      <c r="C18" s="690">
        <f>'表24-1'!K19</f>
        <v>0</v>
      </c>
      <c r="D18" s="695"/>
      <c r="E18" s="692">
        <v>9.4399999999999998E-2</v>
      </c>
      <c r="F18" s="693">
        <f t="shared" si="0"/>
        <v>0</v>
      </c>
      <c r="H18" s="34"/>
      <c r="I18" s="34"/>
      <c r="J18" s="34"/>
      <c r="K18" s="34"/>
      <c r="N18" s="34"/>
      <c r="O18" s="34"/>
      <c r="P18" s="34"/>
      <c r="Q18" s="34"/>
      <c r="R18" s="34"/>
      <c r="S18" s="34"/>
    </row>
    <row r="19" spans="1:19" ht="14.25">
      <c r="A19" s="698" t="s">
        <v>3833</v>
      </c>
      <c r="B19" s="689" t="s">
        <v>3834</v>
      </c>
      <c r="C19" s="690">
        <f>'表24-1'!K20</f>
        <v>0</v>
      </c>
      <c r="D19" s="695"/>
      <c r="E19" s="692">
        <v>9.4399999999999998E-2</v>
      </c>
      <c r="F19" s="693">
        <f t="shared" si="0"/>
        <v>0</v>
      </c>
      <c r="H19" s="34"/>
      <c r="I19" s="34"/>
      <c r="J19" s="34"/>
      <c r="K19" s="34"/>
      <c r="N19" s="34"/>
      <c r="O19" s="34"/>
      <c r="P19" s="34"/>
      <c r="Q19" s="34"/>
      <c r="R19" s="34"/>
      <c r="S19" s="34"/>
    </row>
    <row r="20" spans="1:19" ht="14.25">
      <c r="A20" s="698" t="s">
        <v>3835</v>
      </c>
      <c r="B20" s="689" t="s">
        <v>3836</v>
      </c>
      <c r="C20" s="690">
        <f>'表24-1'!K21</f>
        <v>0</v>
      </c>
      <c r="D20" s="695"/>
      <c r="E20" s="692">
        <v>9.4399999999999998E-2</v>
      </c>
      <c r="F20" s="693">
        <f t="shared" si="0"/>
        <v>0</v>
      </c>
      <c r="H20" s="34"/>
      <c r="I20" s="34"/>
      <c r="J20" s="34"/>
      <c r="K20" s="34"/>
      <c r="N20" s="34"/>
      <c r="O20" s="34"/>
      <c r="P20" s="34"/>
      <c r="Q20" s="34"/>
      <c r="R20" s="34"/>
      <c r="S20" s="34"/>
    </row>
    <row r="21" spans="1:19" ht="14.25">
      <c r="A21" s="698" t="s">
        <v>3837</v>
      </c>
      <c r="B21" s="689" t="s">
        <v>3838</v>
      </c>
      <c r="C21" s="690">
        <f>'表24-1'!K22</f>
        <v>0</v>
      </c>
      <c r="D21" s="695"/>
      <c r="E21" s="692">
        <v>0</v>
      </c>
      <c r="F21" s="693">
        <f t="shared" si="0"/>
        <v>0</v>
      </c>
      <c r="H21" s="34"/>
      <c r="I21" s="34"/>
      <c r="J21" s="34"/>
      <c r="K21" s="34"/>
      <c r="N21" s="34"/>
      <c r="O21" s="34"/>
      <c r="P21" s="34"/>
      <c r="Q21" s="34"/>
      <c r="R21" s="34"/>
      <c r="S21" s="34"/>
    </row>
    <row r="22" spans="1:19" ht="14.25">
      <c r="A22" s="698" t="s">
        <v>3839</v>
      </c>
      <c r="B22" s="689" t="s">
        <v>3840</v>
      </c>
      <c r="C22" s="690">
        <f>'表24-1'!K23</f>
        <v>0</v>
      </c>
      <c r="D22" s="695"/>
      <c r="E22" s="692">
        <v>0</v>
      </c>
      <c r="F22" s="693">
        <f t="shared" si="0"/>
        <v>0</v>
      </c>
      <c r="H22" s="34"/>
      <c r="I22" s="34"/>
      <c r="J22" s="34"/>
      <c r="K22" s="34"/>
      <c r="N22" s="34"/>
      <c r="O22" s="34"/>
      <c r="P22" s="34"/>
      <c r="Q22" s="34"/>
      <c r="R22" s="34"/>
      <c r="S22" s="34"/>
    </row>
    <row r="23" spans="1:19" ht="14.25">
      <c r="A23" s="698" t="s">
        <v>3841</v>
      </c>
      <c r="B23" s="689" t="s">
        <v>3842</v>
      </c>
      <c r="C23" s="690">
        <f>'表24-1'!K24</f>
        <v>0</v>
      </c>
      <c r="D23" s="695"/>
      <c r="E23" s="692">
        <v>0</v>
      </c>
      <c r="F23" s="693">
        <f t="shared" si="0"/>
        <v>0</v>
      </c>
      <c r="H23" s="34"/>
      <c r="I23" s="34"/>
      <c r="J23" s="34"/>
      <c r="K23" s="34"/>
      <c r="N23" s="34"/>
      <c r="O23" s="34"/>
      <c r="P23" s="34"/>
      <c r="Q23" s="34"/>
      <c r="R23" s="34"/>
      <c r="S23" s="34"/>
    </row>
    <row r="24" spans="1:19" ht="14.25">
      <c r="A24" s="698" t="s">
        <v>3843</v>
      </c>
      <c r="B24" s="689" t="s">
        <v>3844</v>
      </c>
      <c r="C24" s="690">
        <f>'表24-1'!K25</f>
        <v>0</v>
      </c>
      <c r="D24" s="695"/>
      <c r="E24" s="692">
        <v>0.75539999999999996</v>
      </c>
      <c r="F24" s="693">
        <f t="shared" si="0"/>
        <v>0</v>
      </c>
      <c r="H24" s="34"/>
      <c r="I24" s="34"/>
      <c r="J24" s="34"/>
      <c r="K24" s="34"/>
      <c r="N24" s="34"/>
      <c r="O24" s="34"/>
      <c r="P24" s="34"/>
      <c r="Q24" s="34"/>
      <c r="R24" s="34"/>
      <c r="S24" s="34"/>
    </row>
    <row r="25" spans="1:19" ht="14.25">
      <c r="A25" s="698" t="s">
        <v>3845</v>
      </c>
      <c r="B25" s="689" t="s">
        <v>3846</v>
      </c>
      <c r="C25" s="690">
        <f>'表24-1'!K26</f>
        <v>0</v>
      </c>
      <c r="D25" s="695"/>
      <c r="E25" s="692">
        <v>0.75539999999999996</v>
      </c>
      <c r="F25" s="693">
        <f t="shared" si="0"/>
        <v>0</v>
      </c>
      <c r="H25" s="34"/>
      <c r="I25" s="34"/>
      <c r="J25" s="34"/>
      <c r="K25" s="34"/>
      <c r="N25" s="34"/>
      <c r="O25" s="34"/>
      <c r="P25" s="34"/>
      <c r="Q25" s="34"/>
      <c r="R25" s="34"/>
      <c r="S25" s="34"/>
    </row>
    <row r="26" spans="1:19" ht="14.25">
      <c r="A26" s="698" t="s">
        <v>3847</v>
      </c>
      <c r="B26" s="689" t="s">
        <v>3848</v>
      </c>
      <c r="C26" s="690">
        <f>'表24-1'!K27</f>
        <v>0</v>
      </c>
      <c r="D26" s="695"/>
      <c r="E26" s="692">
        <v>1.2151000000000001</v>
      </c>
      <c r="F26" s="693">
        <f t="shared" si="0"/>
        <v>0</v>
      </c>
      <c r="H26" s="34"/>
      <c r="I26" s="34"/>
      <c r="J26" s="34"/>
      <c r="K26" s="34"/>
      <c r="N26" s="34"/>
      <c r="O26" s="34"/>
      <c r="P26" s="34"/>
      <c r="Q26" s="34"/>
      <c r="R26" s="34"/>
      <c r="S26" s="34"/>
    </row>
    <row r="27" spans="1:19" ht="14.25">
      <c r="A27" s="698" t="s">
        <v>3849</v>
      </c>
      <c r="B27" s="689" t="s">
        <v>3850</v>
      </c>
      <c r="C27" s="690">
        <f>'表24-1'!K28</f>
        <v>0</v>
      </c>
      <c r="D27" s="695"/>
      <c r="E27" s="692">
        <v>7.7195</v>
      </c>
      <c r="F27" s="693">
        <f t="shared" si="0"/>
        <v>0</v>
      </c>
      <c r="H27" s="34"/>
      <c r="I27" s="34"/>
      <c r="J27" s="34"/>
      <c r="K27" s="34"/>
      <c r="N27" s="34"/>
      <c r="O27" s="34"/>
      <c r="P27" s="34"/>
      <c r="Q27" s="34"/>
      <c r="R27" s="34"/>
      <c r="S27" s="34"/>
    </row>
    <row r="28" spans="1:19" ht="14.25">
      <c r="A28" s="698" t="s">
        <v>3851</v>
      </c>
      <c r="B28" s="689" t="s">
        <v>3852</v>
      </c>
      <c r="C28" s="690">
        <f>'表24-1'!K29</f>
        <v>0</v>
      </c>
      <c r="D28" s="695"/>
      <c r="E28" s="692">
        <v>0.12809999999999999</v>
      </c>
      <c r="F28" s="693">
        <f t="shared" si="0"/>
        <v>0</v>
      </c>
      <c r="H28" s="34"/>
      <c r="I28" s="34"/>
      <c r="J28" s="34"/>
      <c r="K28" s="34"/>
      <c r="N28" s="34"/>
      <c r="O28" s="34"/>
      <c r="P28" s="34"/>
      <c r="Q28" s="34"/>
      <c r="R28" s="34"/>
      <c r="S28" s="34"/>
    </row>
    <row r="29" spans="1:19" ht="14.25">
      <c r="A29" s="698" t="s">
        <v>3853</v>
      </c>
      <c r="B29" s="689" t="s">
        <v>3854</v>
      </c>
      <c r="C29" s="690">
        <f>'表24-1'!K30</f>
        <v>0</v>
      </c>
      <c r="D29" s="695"/>
      <c r="E29" s="692">
        <v>0.12809999999999999</v>
      </c>
      <c r="F29" s="693">
        <f t="shared" si="0"/>
        <v>0</v>
      </c>
      <c r="H29" s="34"/>
      <c r="I29" s="34"/>
      <c r="J29" s="34"/>
      <c r="K29" s="34"/>
      <c r="N29" s="34"/>
      <c r="O29" s="34"/>
      <c r="P29" s="34"/>
      <c r="Q29" s="34"/>
      <c r="R29" s="34"/>
      <c r="S29" s="34"/>
    </row>
    <row r="30" spans="1:19" ht="14.25">
      <c r="A30" s="698" t="s">
        <v>3855</v>
      </c>
      <c r="B30" s="689" t="s">
        <v>3856</v>
      </c>
      <c r="C30" s="690">
        <f>'表24-1'!K31</f>
        <v>0</v>
      </c>
      <c r="D30" s="695"/>
      <c r="E30" s="692">
        <v>0.12809999999999999</v>
      </c>
      <c r="F30" s="693">
        <f t="shared" si="0"/>
        <v>0</v>
      </c>
      <c r="H30" s="34"/>
      <c r="I30" s="34"/>
      <c r="J30" s="34"/>
      <c r="K30" s="34"/>
      <c r="N30" s="34"/>
      <c r="O30" s="34"/>
      <c r="P30" s="34"/>
      <c r="Q30" s="34"/>
      <c r="R30" s="34"/>
      <c r="S30" s="34"/>
    </row>
    <row r="31" spans="1:19" ht="14.25">
      <c r="A31" s="698" t="s">
        <v>3857</v>
      </c>
      <c r="B31" s="689" t="s">
        <v>3858</v>
      </c>
      <c r="C31" s="690">
        <f>'表24-1'!K32</f>
        <v>0</v>
      </c>
      <c r="D31" s="695"/>
      <c r="E31" s="692">
        <v>0.36</v>
      </c>
      <c r="F31" s="693">
        <f t="shared" si="0"/>
        <v>0</v>
      </c>
      <c r="H31" s="34"/>
      <c r="I31" s="34"/>
      <c r="J31" s="34"/>
      <c r="K31" s="34"/>
      <c r="N31" s="34"/>
      <c r="O31" s="34"/>
      <c r="P31" s="34"/>
      <c r="Q31" s="34"/>
      <c r="R31" s="34"/>
      <c r="S31" s="34"/>
    </row>
    <row r="32" spans="1:19" ht="14.25">
      <c r="A32" s="698" t="s">
        <v>3859</v>
      </c>
      <c r="B32" s="689" t="s">
        <v>3860</v>
      </c>
      <c r="C32" s="690">
        <f>'表24-1'!K33</f>
        <v>0</v>
      </c>
      <c r="D32" s="695"/>
      <c r="E32" s="692">
        <v>0.75539999999999996</v>
      </c>
      <c r="F32" s="693">
        <f t="shared" si="0"/>
        <v>0</v>
      </c>
      <c r="H32" s="34"/>
      <c r="I32" s="34"/>
      <c r="J32" s="34"/>
      <c r="K32" s="34"/>
      <c r="N32" s="34"/>
      <c r="O32" s="34"/>
      <c r="P32" s="34"/>
      <c r="Q32" s="34"/>
      <c r="R32" s="34"/>
      <c r="S32" s="34"/>
    </row>
    <row r="33" spans="1:19" ht="14.25">
      <c r="A33" s="698" t="s">
        <v>3861</v>
      </c>
      <c r="B33" s="689" t="s">
        <v>3862</v>
      </c>
      <c r="C33" s="690">
        <f>'表24-1'!K34</f>
        <v>0</v>
      </c>
      <c r="D33" s="695"/>
      <c r="E33" s="692">
        <v>0.47339999999999999</v>
      </c>
      <c r="F33" s="693">
        <f t="shared" si="0"/>
        <v>0</v>
      </c>
      <c r="H33" s="34"/>
      <c r="I33" s="34"/>
      <c r="J33" s="34"/>
      <c r="K33" s="34"/>
      <c r="N33" s="34"/>
      <c r="O33" s="34"/>
      <c r="P33" s="34"/>
      <c r="Q33" s="34"/>
      <c r="R33" s="34"/>
      <c r="S33" s="34"/>
    </row>
    <row r="34" spans="1:19" ht="14.25">
      <c r="A34" s="698" t="s">
        <v>3863</v>
      </c>
      <c r="B34" s="689" t="s">
        <v>3864</v>
      </c>
      <c r="C34" s="690">
        <f>'表24-1'!K35</f>
        <v>0</v>
      </c>
      <c r="D34" s="695"/>
      <c r="E34" s="692">
        <v>0.47339999999999999</v>
      </c>
      <c r="F34" s="693">
        <f t="shared" si="0"/>
        <v>0</v>
      </c>
      <c r="H34" s="34"/>
      <c r="I34" s="34"/>
      <c r="J34" s="34"/>
      <c r="K34" s="34"/>
      <c r="N34" s="34"/>
      <c r="O34" s="34"/>
      <c r="P34" s="34"/>
      <c r="Q34" s="34"/>
      <c r="R34" s="34"/>
      <c r="S34" s="34"/>
    </row>
    <row r="35" spans="1:19" ht="14.25">
      <c r="A35" s="698" t="s">
        <v>3865</v>
      </c>
      <c r="B35" s="689" t="s">
        <v>3866</v>
      </c>
      <c r="C35" s="690">
        <f>'表24-1'!K36</f>
        <v>0</v>
      </c>
      <c r="D35" s="695"/>
      <c r="E35" s="692">
        <v>0.2399</v>
      </c>
      <c r="F35" s="693">
        <f t="shared" si="0"/>
        <v>0</v>
      </c>
      <c r="H35" s="34"/>
      <c r="I35" s="34"/>
      <c r="J35" s="34"/>
      <c r="K35" s="34"/>
      <c r="N35" s="34"/>
      <c r="O35" s="34"/>
      <c r="P35" s="34"/>
      <c r="Q35" s="34"/>
      <c r="R35" s="34"/>
      <c r="S35" s="34"/>
    </row>
    <row r="36" spans="1:19" ht="14.25">
      <c r="A36" s="698" t="s">
        <v>3867</v>
      </c>
      <c r="B36" s="689" t="s">
        <v>3868</v>
      </c>
      <c r="C36" s="690">
        <f>'表24-1'!K37</f>
        <v>0</v>
      </c>
      <c r="D36" s="695"/>
      <c r="E36" s="692">
        <v>0.2399</v>
      </c>
      <c r="F36" s="693">
        <f t="shared" si="0"/>
        <v>0</v>
      </c>
      <c r="H36" s="34"/>
      <c r="I36" s="34"/>
      <c r="J36" s="34"/>
      <c r="K36" s="34"/>
      <c r="N36" s="34"/>
      <c r="O36" s="34"/>
      <c r="P36" s="34"/>
      <c r="Q36" s="34"/>
      <c r="R36" s="34"/>
      <c r="S36" s="34"/>
    </row>
    <row r="37" spans="1:19" ht="14.25">
      <c r="A37" s="698" t="s">
        <v>3869</v>
      </c>
      <c r="B37" s="689" t="s">
        <v>3870</v>
      </c>
      <c r="C37" s="690">
        <f>'表24-1'!K38</f>
        <v>0</v>
      </c>
      <c r="D37" s="695"/>
      <c r="E37" s="692">
        <v>0.1351</v>
      </c>
      <c r="F37" s="693">
        <f>ROUND(C37*E37,0)</f>
        <v>0</v>
      </c>
      <c r="H37" s="34"/>
      <c r="I37" s="34"/>
      <c r="J37" s="34"/>
      <c r="K37" s="34"/>
      <c r="N37" s="34"/>
      <c r="O37" s="34"/>
      <c r="P37" s="34"/>
      <c r="Q37" s="34"/>
      <c r="R37" s="34"/>
      <c r="S37" s="34"/>
    </row>
    <row r="38" spans="1:19" ht="14.25">
      <c r="A38" s="698" t="s">
        <v>5106</v>
      </c>
      <c r="B38" s="1972" t="s">
        <v>5107</v>
      </c>
      <c r="C38" s="690">
        <f>'表24-1'!K39</f>
        <v>0</v>
      </c>
      <c r="D38" s="695"/>
      <c r="E38" s="692">
        <v>0</v>
      </c>
      <c r="F38" s="693">
        <f>ROUND(C38*E38,0)</f>
        <v>0</v>
      </c>
      <c r="H38" s="34"/>
      <c r="I38" s="34"/>
      <c r="J38" s="34"/>
      <c r="K38" s="34"/>
      <c r="N38" s="34"/>
      <c r="O38" s="34"/>
      <c r="P38" s="34"/>
      <c r="Q38" s="34"/>
      <c r="R38" s="34"/>
      <c r="S38" s="34"/>
    </row>
    <row r="39" spans="1:19" ht="14.25">
      <c r="A39" s="697" t="s">
        <v>3871</v>
      </c>
      <c r="B39" s="689"/>
      <c r="C39" s="690">
        <f>SUM(C40:C47)</f>
        <v>0</v>
      </c>
      <c r="D39" s="695"/>
      <c r="E39" s="692"/>
      <c r="F39" s="693">
        <f>SUM(F40:F47)</f>
        <v>0</v>
      </c>
      <c r="H39" s="34"/>
      <c r="I39" s="34"/>
      <c r="J39" s="34"/>
      <c r="K39" s="34"/>
      <c r="N39" s="34"/>
      <c r="O39" s="34"/>
      <c r="P39" s="34"/>
      <c r="Q39" s="34"/>
      <c r="R39" s="34"/>
      <c r="S39" s="34"/>
    </row>
    <row r="40" spans="1:19" ht="14.25">
      <c r="A40" s="698" t="s">
        <v>3872</v>
      </c>
      <c r="B40" s="1972" t="s">
        <v>5108</v>
      </c>
      <c r="C40" s="690">
        <f>'表24-1'!K41</f>
        <v>0</v>
      </c>
      <c r="D40" s="695"/>
      <c r="E40" s="692">
        <v>0.60589999999999999</v>
      </c>
      <c r="F40" s="693">
        <f t="shared" ref="F40:F47" si="1">ROUND(C40*E40,0)</f>
        <v>0</v>
      </c>
      <c r="H40" s="34"/>
      <c r="I40" s="34"/>
      <c r="J40" s="34"/>
      <c r="K40" s="34"/>
      <c r="N40" s="34"/>
      <c r="O40" s="34"/>
      <c r="P40" s="34"/>
      <c r="Q40" s="34"/>
      <c r="R40" s="34"/>
      <c r="S40" s="34"/>
    </row>
    <row r="41" spans="1:19" ht="14.25">
      <c r="A41" s="698" t="s">
        <v>3873</v>
      </c>
      <c r="B41" s="1972" t="s">
        <v>5109</v>
      </c>
      <c r="C41" s="690">
        <f>'表24-1'!K42</f>
        <v>0</v>
      </c>
      <c r="D41" s="695"/>
      <c r="E41" s="692">
        <v>0.4158</v>
      </c>
      <c r="F41" s="693">
        <f t="shared" si="1"/>
        <v>0</v>
      </c>
      <c r="H41" s="34"/>
      <c r="I41" s="34"/>
      <c r="J41" s="34"/>
      <c r="K41" s="34"/>
      <c r="N41" s="34"/>
      <c r="O41" s="34"/>
      <c r="P41" s="34"/>
      <c r="Q41" s="34"/>
      <c r="R41" s="34"/>
      <c r="S41" s="34"/>
    </row>
    <row r="42" spans="1:19" ht="14.25">
      <c r="A42" s="698" t="s">
        <v>3874</v>
      </c>
      <c r="B42" s="1972" t="s">
        <v>5110</v>
      </c>
      <c r="C42" s="690">
        <f>'表24-1'!K43</f>
        <v>0</v>
      </c>
      <c r="D42" s="695"/>
      <c r="E42" s="692">
        <v>0.4158</v>
      </c>
      <c r="F42" s="693">
        <f t="shared" si="1"/>
        <v>0</v>
      </c>
      <c r="H42" s="34"/>
      <c r="I42" s="34"/>
      <c r="J42" s="34"/>
      <c r="K42" s="34"/>
      <c r="N42" s="34"/>
      <c r="O42" s="34"/>
      <c r="P42" s="34"/>
      <c r="Q42" s="34"/>
      <c r="R42" s="34"/>
      <c r="S42" s="34"/>
    </row>
    <row r="43" spans="1:19" ht="14.25">
      <c r="A43" s="698" t="s">
        <v>3875</v>
      </c>
      <c r="B43" s="1972" t="s">
        <v>5111</v>
      </c>
      <c r="C43" s="690">
        <f>'表24-1'!K44</f>
        <v>0</v>
      </c>
      <c r="D43" s="695"/>
      <c r="E43" s="692">
        <v>0.4158</v>
      </c>
      <c r="F43" s="693">
        <f t="shared" si="1"/>
        <v>0</v>
      </c>
      <c r="H43" s="34"/>
      <c r="I43" s="34"/>
      <c r="J43" s="34"/>
      <c r="K43" s="34"/>
      <c r="N43" s="34"/>
      <c r="O43" s="34"/>
      <c r="P43" s="34"/>
      <c r="Q43" s="34"/>
      <c r="R43" s="34"/>
      <c r="S43" s="34"/>
    </row>
    <row r="44" spans="1:19" ht="14.25">
      <c r="A44" s="698" t="s">
        <v>3876</v>
      </c>
      <c r="B44" s="1972" t="s">
        <v>5112</v>
      </c>
      <c r="C44" s="690">
        <f>'表24-1'!K45</f>
        <v>0</v>
      </c>
      <c r="D44" s="695"/>
      <c r="E44" s="692">
        <v>0.4647</v>
      </c>
      <c r="F44" s="693">
        <f t="shared" si="1"/>
        <v>0</v>
      </c>
      <c r="H44" s="34"/>
      <c r="I44" s="34"/>
      <c r="J44" s="34"/>
      <c r="K44" s="34"/>
      <c r="N44" s="34"/>
      <c r="O44" s="34"/>
      <c r="P44" s="34"/>
      <c r="Q44" s="34"/>
      <c r="R44" s="34"/>
      <c r="S44" s="34"/>
    </row>
    <row r="45" spans="1:19" ht="14.25">
      <c r="A45" s="698" t="s">
        <v>3877</v>
      </c>
      <c r="B45" s="1972" t="s">
        <v>5113</v>
      </c>
      <c r="C45" s="690">
        <f>'表24-1'!K46</f>
        <v>0</v>
      </c>
      <c r="D45" s="695"/>
      <c r="E45" s="692">
        <v>1.1553</v>
      </c>
      <c r="F45" s="693">
        <f t="shared" si="1"/>
        <v>0</v>
      </c>
      <c r="H45" s="34"/>
      <c r="I45" s="34"/>
      <c r="J45" s="34"/>
      <c r="K45" s="34"/>
      <c r="N45" s="34"/>
      <c r="O45" s="34"/>
      <c r="P45" s="34"/>
      <c r="Q45" s="34"/>
      <c r="R45" s="34"/>
      <c r="S45" s="34"/>
    </row>
    <row r="46" spans="1:19" ht="14.25">
      <c r="A46" s="698" t="s">
        <v>3878</v>
      </c>
      <c r="B46" s="1972" t="s">
        <v>5114</v>
      </c>
      <c r="C46" s="690">
        <f>'表24-1'!K47</f>
        <v>0</v>
      </c>
      <c r="D46" s="695"/>
      <c r="E46" s="692">
        <v>0.60589999999999999</v>
      </c>
      <c r="F46" s="693">
        <f t="shared" si="1"/>
        <v>0</v>
      </c>
      <c r="H46" s="34"/>
      <c r="I46" s="34"/>
      <c r="J46" s="34"/>
      <c r="K46" s="34"/>
      <c r="N46" s="34"/>
      <c r="O46" s="34"/>
      <c r="P46" s="34"/>
      <c r="Q46" s="34"/>
      <c r="R46" s="34"/>
      <c r="S46" s="34"/>
    </row>
    <row r="47" spans="1:19" ht="14.25">
      <c r="A47" s="698" t="s">
        <v>3879</v>
      </c>
      <c r="B47" s="1972" t="s">
        <v>5115</v>
      </c>
      <c r="C47" s="690">
        <f>'表24-1'!K48</f>
        <v>0</v>
      </c>
      <c r="D47" s="695"/>
      <c r="E47" s="692">
        <v>0.67479999999999996</v>
      </c>
      <c r="F47" s="693">
        <f t="shared" si="1"/>
        <v>0</v>
      </c>
      <c r="H47" s="34"/>
      <c r="I47" s="34"/>
      <c r="J47" s="34"/>
      <c r="K47" s="34"/>
      <c r="N47" s="34"/>
      <c r="O47" s="34"/>
      <c r="P47" s="34"/>
      <c r="Q47" s="34"/>
      <c r="R47" s="34"/>
      <c r="S47" s="34"/>
    </row>
    <row r="48" spans="1:19" ht="14.25">
      <c r="A48" s="694" t="s">
        <v>3880</v>
      </c>
      <c r="B48" s="689"/>
      <c r="C48" s="690">
        <f>C49+C57</f>
        <v>0</v>
      </c>
      <c r="D48" s="695"/>
      <c r="E48" s="696"/>
      <c r="F48" s="693">
        <f>F49+F57</f>
        <v>0</v>
      </c>
      <c r="H48" s="34"/>
      <c r="I48" s="34"/>
      <c r="J48" s="34"/>
      <c r="K48" s="34"/>
      <c r="N48" s="34"/>
      <c r="O48" s="34"/>
      <c r="P48" s="34"/>
      <c r="Q48" s="34"/>
      <c r="R48" s="34"/>
      <c r="S48" s="34"/>
    </row>
    <row r="49" spans="1:19" ht="14.25">
      <c r="A49" s="697" t="s">
        <v>3881</v>
      </c>
      <c r="B49" s="689"/>
      <c r="C49" s="690">
        <f>SUM(C50:C56)</f>
        <v>0</v>
      </c>
      <c r="D49" s="695"/>
      <c r="E49" s="696"/>
      <c r="F49" s="693">
        <f>SUM(F50:F56)</f>
        <v>0</v>
      </c>
      <c r="H49" s="34"/>
      <c r="I49" s="34"/>
      <c r="J49" s="34"/>
      <c r="K49" s="34"/>
      <c r="N49" s="34"/>
      <c r="O49" s="34"/>
      <c r="P49" s="34"/>
      <c r="Q49" s="34"/>
      <c r="R49" s="34"/>
      <c r="S49" s="34"/>
    </row>
    <row r="50" spans="1:19" ht="14.25">
      <c r="A50" s="698" t="s">
        <v>3882</v>
      </c>
      <c r="B50" s="689" t="s">
        <v>3883</v>
      </c>
      <c r="C50" s="690">
        <f>'表24-2'!K9</f>
        <v>0</v>
      </c>
      <c r="D50" s="695"/>
      <c r="E50" s="692">
        <v>3.0000000000000001E-3</v>
      </c>
      <c r="F50" s="693">
        <f t="shared" ref="F50:F56" si="2">ROUND(C50*E50,0)</f>
        <v>0</v>
      </c>
      <c r="H50" s="34"/>
      <c r="I50" s="34"/>
      <c r="J50" s="34"/>
      <c r="K50" s="34"/>
      <c r="N50" s="34"/>
      <c r="O50" s="34"/>
      <c r="P50" s="34"/>
      <c r="Q50" s="34"/>
      <c r="R50" s="34"/>
      <c r="S50" s="34"/>
    </row>
    <row r="51" spans="1:19" ht="14.25">
      <c r="A51" s="698" t="s">
        <v>3884</v>
      </c>
      <c r="B51" s="689" t="s">
        <v>3885</v>
      </c>
      <c r="C51" s="690">
        <f>'表24-2'!K10</f>
        <v>0</v>
      </c>
      <c r="D51" s="695"/>
      <c r="E51" s="692">
        <v>0.02</v>
      </c>
      <c r="F51" s="693">
        <f t="shared" si="2"/>
        <v>0</v>
      </c>
      <c r="H51" s="34"/>
      <c r="I51" s="34"/>
      <c r="J51" s="34"/>
      <c r="K51" s="34"/>
      <c r="N51" s="34"/>
      <c r="O51" s="34"/>
      <c r="P51" s="34"/>
      <c r="Q51" s="34"/>
      <c r="R51" s="34"/>
      <c r="S51" s="34"/>
    </row>
    <row r="52" spans="1:19" ht="14.25">
      <c r="A52" s="698" t="s">
        <v>3886</v>
      </c>
      <c r="B52" s="689" t="s">
        <v>3887</v>
      </c>
      <c r="C52" s="690">
        <f>'表24-2'!K11</f>
        <v>0</v>
      </c>
      <c r="D52" s="695"/>
      <c r="E52" s="692">
        <v>0.1351</v>
      </c>
      <c r="F52" s="693">
        <f t="shared" si="2"/>
        <v>0</v>
      </c>
      <c r="H52" s="34"/>
      <c r="I52" s="34"/>
      <c r="J52" s="34"/>
      <c r="K52" s="34"/>
      <c r="N52" s="34"/>
      <c r="O52" s="34"/>
      <c r="P52" s="34"/>
      <c r="Q52" s="34"/>
      <c r="R52" s="34"/>
      <c r="S52" s="34"/>
    </row>
    <row r="53" spans="1:19" ht="14.25">
      <c r="A53" s="698" t="s">
        <v>3888</v>
      </c>
      <c r="B53" s="689" t="s">
        <v>3889</v>
      </c>
      <c r="C53" s="690">
        <f>'表24-2'!K12</f>
        <v>0</v>
      </c>
      <c r="D53" s="695"/>
      <c r="E53" s="699">
        <v>7.5000000000000002E-4</v>
      </c>
      <c r="F53" s="693">
        <f t="shared" si="2"/>
        <v>0</v>
      </c>
      <c r="H53" s="34"/>
      <c r="I53" s="34"/>
      <c r="J53" s="34"/>
      <c r="K53" s="34"/>
      <c r="N53" s="34"/>
      <c r="O53" s="34"/>
      <c r="P53" s="34"/>
      <c r="Q53" s="34"/>
      <c r="R53" s="34"/>
      <c r="S53" s="34"/>
    </row>
    <row r="54" spans="1:19" ht="14.25">
      <c r="A54" s="698" t="s">
        <v>3890</v>
      </c>
      <c r="B54" s="689" t="s">
        <v>3891</v>
      </c>
      <c r="C54" s="690">
        <f>'表24-2'!K13</f>
        <v>0</v>
      </c>
      <c r="D54" s="695"/>
      <c r="E54" s="699">
        <v>0</v>
      </c>
      <c r="F54" s="693">
        <f t="shared" si="2"/>
        <v>0</v>
      </c>
      <c r="H54" s="34"/>
      <c r="I54" s="34"/>
      <c r="J54" s="34"/>
      <c r="K54" s="34"/>
      <c r="N54" s="34"/>
      <c r="O54" s="34"/>
      <c r="P54" s="34"/>
      <c r="Q54" s="34"/>
      <c r="R54" s="34"/>
      <c r="S54" s="34"/>
    </row>
    <row r="55" spans="1:19" ht="14.25">
      <c r="A55" s="698" t="s">
        <v>3892</v>
      </c>
      <c r="B55" s="689" t="s">
        <v>3893</v>
      </c>
      <c r="C55" s="690">
        <f>'表24-2'!K14</f>
        <v>0</v>
      </c>
      <c r="D55" s="695"/>
      <c r="E55" s="699">
        <v>1.2500000000000001E-2</v>
      </c>
      <c r="F55" s="693">
        <f t="shared" si="2"/>
        <v>0</v>
      </c>
      <c r="H55" s="34"/>
      <c r="I55" s="34"/>
      <c r="J55" s="34"/>
      <c r="K55" s="34"/>
      <c r="N55" s="34"/>
      <c r="O55" s="34"/>
      <c r="P55" s="34"/>
      <c r="Q55" s="34"/>
      <c r="R55" s="34"/>
      <c r="S55" s="34"/>
    </row>
    <row r="56" spans="1:19" ht="14.25">
      <c r="A56" s="698" t="s">
        <v>3894</v>
      </c>
      <c r="B56" s="689" t="s">
        <v>3895</v>
      </c>
      <c r="C56" s="690">
        <f>'表24-2'!K15</f>
        <v>0</v>
      </c>
      <c r="D56" s="695"/>
      <c r="E56" s="699">
        <v>1.2500000000000001E-2</v>
      </c>
      <c r="F56" s="693">
        <f t="shared" si="2"/>
        <v>0</v>
      </c>
      <c r="H56" s="34"/>
      <c r="I56" s="34"/>
      <c r="J56" s="34"/>
      <c r="K56" s="34"/>
      <c r="N56" s="34"/>
      <c r="O56" s="34"/>
      <c r="P56" s="34"/>
      <c r="Q56" s="34"/>
      <c r="R56" s="34"/>
      <c r="S56" s="34"/>
    </row>
    <row r="57" spans="1:19" ht="14.25">
      <c r="A57" s="697" t="s">
        <v>3896</v>
      </c>
      <c r="B57" s="689"/>
      <c r="C57" s="690">
        <f>SUM(C58:C62)</f>
        <v>0</v>
      </c>
      <c r="D57" s="695"/>
      <c r="E57" s="692"/>
      <c r="F57" s="693">
        <f>SUM(F58:F62)</f>
        <v>0</v>
      </c>
      <c r="H57" s="34"/>
      <c r="I57" s="34"/>
      <c r="J57" s="34"/>
      <c r="K57" s="34"/>
      <c r="N57" s="34"/>
      <c r="O57" s="34"/>
      <c r="P57" s="34"/>
      <c r="Q57" s="34"/>
      <c r="R57" s="34"/>
      <c r="S57" s="34"/>
    </row>
    <row r="58" spans="1:19" ht="14.25">
      <c r="A58" s="698" t="s">
        <v>3897</v>
      </c>
      <c r="B58" s="689" t="s">
        <v>3898</v>
      </c>
      <c r="C58" s="690">
        <f>'表24-2'!K17</f>
        <v>0</v>
      </c>
      <c r="D58" s="695"/>
      <c r="E58" s="692">
        <v>3.0000000000000001E-3</v>
      </c>
      <c r="F58" s="693">
        <f>ROUND(C58*E58,0)</f>
        <v>0</v>
      </c>
      <c r="H58" s="34"/>
      <c r="I58" s="34"/>
      <c r="J58" s="34"/>
      <c r="K58" s="34"/>
      <c r="N58" s="34"/>
      <c r="O58" s="34"/>
      <c r="P58" s="34"/>
      <c r="Q58" s="34"/>
      <c r="R58" s="34"/>
      <c r="S58" s="34"/>
    </row>
    <row r="59" spans="1:19" ht="14.25">
      <c r="A59" s="698" t="s">
        <v>3899</v>
      </c>
      <c r="B59" s="689" t="s">
        <v>3900</v>
      </c>
      <c r="C59" s="690">
        <f>'表24-2'!K18</f>
        <v>0</v>
      </c>
      <c r="D59" s="695"/>
      <c r="E59" s="692">
        <v>0.02</v>
      </c>
      <c r="F59" s="693">
        <f>ROUND(C59*E59,0)</f>
        <v>0</v>
      </c>
      <c r="H59" s="34"/>
      <c r="I59" s="34"/>
      <c r="J59" s="34"/>
      <c r="K59" s="34"/>
      <c r="N59" s="34"/>
      <c r="O59" s="34"/>
      <c r="P59" s="34"/>
      <c r="Q59" s="34"/>
      <c r="R59" s="34"/>
      <c r="S59" s="34"/>
    </row>
    <row r="60" spans="1:19" ht="14.25">
      <c r="A60" s="698" t="s">
        <v>3901</v>
      </c>
      <c r="B60" s="689" t="s">
        <v>3902</v>
      </c>
      <c r="C60" s="690">
        <f>'表24-2'!K19</f>
        <v>0</v>
      </c>
      <c r="D60" s="695"/>
      <c r="E60" s="692">
        <v>0.1351</v>
      </c>
      <c r="F60" s="693">
        <f>ROUND(C60*E60,0)</f>
        <v>0</v>
      </c>
      <c r="H60" s="34"/>
      <c r="I60" s="34"/>
      <c r="J60" s="34"/>
      <c r="K60" s="34"/>
      <c r="N60" s="34"/>
      <c r="O60" s="34"/>
      <c r="P60" s="34"/>
      <c r="Q60" s="34"/>
      <c r="R60" s="34"/>
      <c r="S60" s="34"/>
    </row>
    <row r="61" spans="1:19" ht="14.25">
      <c r="A61" s="698" t="s">
        <v>3903</v>
      </c>
      <c r="B61" s="689" t="s">
        <v>3904</v>
      </c>
      <c r="C61" s="690">
        <f>'表24-2'!K20</f>
        <v>0</v>
      </c>
      <c r="D61" s="695"/>
      <c r="E61" s="699">
        <v>7.5000000000000002E-4</v>
      </c>
      <c r="F61" s="693">
        <f>ROUND(C61*E61,0)</f>
        <v>0</v>
      </c>
      <c r="H61" s="34"/>
      <c r="I61" s="34"/>
      <c r="J61" s="34"/>
      <c r="K61" s="34"/>
      <c r="N61" s="34"/>
      <c r="O61" s="34"/>
      <c r="P61" s="34"/>
      <c r="Q61" s="34"/>
      <c r="R61" s="34"/>
      <c r="S61" s="34"/>
    </row>
    <row r="62" spans="1:19" ht="14.25">
      <c r="A62" s="698" t="s">
        <v>3905</v>
      </c>
      <c r="B62" s="689" t="s">
        <v>3906</v>
      </c>
      <c r="C62" s="690">
        <f>'表24-2'!K21</f>
        <v>0</v>
      </c>
      <c r="D62" s="695"/>
      <c r="E62" s="699">
        <v>0</v>
      </c>
      <c r="F62" s="693">
        <f>ROUND(C62*E62,0)</f>
        <v>0</v>
      </c>
      <c r="H62" s="34"/>
      <c r="I62" s="34"/>
      <c r="J62" s="34"/>
      <c r="K62" s="34"/>
      <c r="N62" s="34"/>
      <c r="O62" s="34"/>
      <c r="P62" s="34"/>
      <c r="Q62" s="34"/>
      <c r="R62" s="34"/>
      <c r="S62" s="34"/>
    </row>
    <row r="63" spans="1:19" ht="14.25">
      <c r="A63" s="688" t="s">
        <v>3907</v>
      </c>
      <c r="B63" s="689"/>
      <c r="C63" s="690">
        <f>C64+C67</f>
        <v>0</v>
      </c>
      <c r="D63" s="695"/>
      <c r="E63" s="692"/>
      <c r="F63" s="693">
        <f>F64+F67</f>
        <v>0</v>
      </c>
      <c r="H63" s="34"/>
      <c r="I63" s="34"/>
      <c r="J63" s="34"/>
      <c r="K63" s="34"/>
      <c r="N63" s="34"/>
      <c r="O63" s="34"/>
      <c r="P63" s="34"/>
      <c r="Q63" s="34"/>
      <c r="R63" s="34"/>
      <c r="S63" s="34"/>
    </row>
    <row r="64" spans="1:19" ht="14.25">
      <c r="A64" s="694" t="s">
        <v>3908</v>
      </c>
      <c r="B64" s="689"/>
      <c r="C64" s="690">
        <f>SUM(C65:C66)</f>
        <v>0</v>
      </c>
      <c r="D64" s="695"/>
      <c r="E64" s="692"/>
      <c r="F64" s="693">
        <f>SUM(F65:F66)</f>
        <v>0</v>
      </c>
      <c r="H64" s="34"/>
      <c r="I64" s="34"/>
      <c r="J64" s="34"/>
      <c r="K64" s="34"/>
      <c r="N64" s="34"/>
      <c r="O64" s="34"/>
      <c r="P64" s="34"/>
      <c r="Q64" s="34"/>
      <c r="R64" s="34"/>
      <c r="S64" s="34"/>
    </row>
    <row r="65" spans="1:19" ht="14.25">
      <c r="A65" s="697" t="s">
        <v>3909</v>
      </c>
      <c r="B65" s="689" t="s">
        <v>3910</v>
      </c>
      <c r="C65" s="690">
        <f>'表24-1'!W8</f>
        <v>0</v>
      </c>
      <c r="D65" s="695"/>
      <c r="E65" s="692">
        <v>0.21840000000000001</v>
      </c>
      <c r="F65" s="693">
        <f>ROUND(C65*E65,0)</f>
        <v>0</v>
      </c>
      <c r="H65" s="34"/>
      <c r="I65" s="34"/>
      <c r="J65" s="34"/>
      <c r="K65" s="34"/>
      <c r="N65" s="34"/>
      <c r="O65" s="34"/>
      <c r="P65" s="34"/>
      <c r="Q65" s="34"/>
      <c r="R65" s="34"/>
      <c r="S65" s="34"/>
    </row>
    <row r="66" spans="1:19" ht="14.25">
      <c r="A66" s="697" t="s">
        <v>3911</v>
      </c>
      <c r="B66" s="1972" t="s">
        <v>5116</v>
      </c>
      <c r="C66" s="690">
        <f>'表24-1'!W40</f>
        <v>0</v>
      </c>
      <c r="D66" s="695"/>
      <c r="E66" s="692">
        <v>0.49819999999999998</v>
      </c>
      <c r="F66" s="693">
        <f>ROUND(C66*E66,0)</f>
        <v>0</v>
      </c>
      <c r="H66" s="34"/>
      <c r="I66" s="34"/>
      <c r="J66" s="34"/>
      <c r="K66" s="34"/>
      <c r="N66" s="34"/>
      <c r="O66" s="34"/>
      <c r="P66" s="34"/>
      <c r="Q66" s="34"/>
      <c r="R66" s="34"/>
      <c r="S66" s="34"/>
    </row>
    <row r="67" spans="1:19" ht="14.25">
      <c r="A67" s="694" t="s">
        <v>3912</v>
      </c>
      <c r="B67" s="689"/>
      <c r="C67" s="690">
        <f>SUM(C68:C69)</f>
        <v>0</v>
      </c>
      <c r="D67" s="695"/>
      <c r="E67" s="692"/>
      <c r="F67" s="693">
        <f>SUM(F68:F69)</f>
        <v>0</v>
      </c>
      <c r="H67" s="34"/>
      <c r="I67" s="34"/>
      <c r="J67" s="34"/>
      <c r="K67" s="34"/>
      <c r="N67" s="34"/>
      <c r="O67" s="34"/>
      <c r="P67" s="34"/>
      <c r="Q67" s="34"/>
      <c r="R67" s="34"/>
      <c r="S67" s="34"/>
    </row>
    <row r="68" spans="1:19" ht="14.25">
      <c r="A68" s="697" t="s">
        <v>3913</v>
      </c>
      <c r="B68" s="689" t="s">
        <v>3914</v>
      </c>
      <c r="C68" s="690">
        <f>'表24-2'!W8</f>
        <v>0</v>
      </c>
      <c r="D68" s="695"/>
      <c r="E68" s="692">
        <v>0.1351</v>
      </c>
      <c r="F68" s="693">
        <f>ROUND(C68*E68,0)</f>
        <v>0</v>
      </c>
      <c r="H68" s="34"/>
      <c r="I68" s="34"/>
      <c r="J68" s="34"/>
      <c r="K68" s="34"/>
      <c r="N68" s="34"/>
      <c r="O68" s="34"/>
      <c r="P68" s="34"/>
      <c r="Q68" s="34"/>
      <c r="R68" s="34"/>
      <c r="S68" s="34"/>
    </row>
    <row r="69" spans="1:19" ht="14.25">
      <c r="A69" s="697" t="s">
        <v>3915</v>
      </c>
      <c r="B69" s="689" t="s">
        <v>3916</v>
      </c>
      <c r="C69" s="690">
        <f>'表24-2'!W16</f>
        <v>0</v>
      </c>
      <c r="D69" s="695"/>
      <c r="E69" s="692">
        <v>0.1351</v>
      </c>
      <c r="F69" s="693">
        <f>ROUND(C69*E69,0)</f>
        <v>0</v>
      </c>
      <c r="H69" s="34"/>
      <c r="I69" s="34"/>
      <c r="J69" s="34"/>
      <c r="K69" s="34"/>
      <c r="N69" s="34"/>
      <c r="O69" s="34"/>
      <c r="P69" s="34"/>
      <c r="Q69" s="34"/>
      <c r="R69" s="34"/>
      <c r="S69" s="34"/>
    </row>
    <row r="70" spans="1:19" ht="14.25">
      <c r="A70" s="700" t="s">
        <v>3917</v>
      </c>
      <c r="B70" s="689"/>
      <c r="C70" s="690">
        <f>F4</f>
        <v>0</v>
      </c>
      <c r="D70" s="691"/>
      <c r="E70" s="692">
        <v>1</v>
      </c>
      <c r="F70" s="693">
        <f>ROUND(C70*E70,0)</f>
        <v>0</v>
      </c>
      <c r="H70" s="34"/>
      <c r="I70" s="34"/>
      <c r="J70" s="34"/>
      <c r="K70" s="34"/>
      <c r="N70" s="34"/>
      <c r="O70" s="34"/>
      <c r="P70" s="34"/>
      <c r="Q70" s="34"/>
      <c r="R70" s="34"/>
      <c r="S70" s="34"/>
    </row>
    <row r="71" spans="1:19" ht="14.25">
      <c r="A71" s="700" t="s">
        <v>3918</v>
      </c>
      <c r="B71" s="689"/>
      <c r="C71" s="690">
        <f>F70</f>
        <v>0</v>
      </c>
      <c r="D71" s="691"/>
      <c r="E71" s="692">
        <f>'表30-11'!D71</f>
        <v>1</v>
      </c>
      <c r="F71" s="693">
        <f>ROUND(C71*E71,0)</f>
        <v>0</v>
      </c>
      <c r="H71" s="34"/>
      <c r="I71" s="34"/>
      <c r="J71" s="34"/>
      <c r="K71" s="34"/>
      <c r="N71" s="34"/>
      <c r="O71" s="34"/>
      <c r="P71" s="34"/>
      <c r="Q71" s="34"/>
      <c r="R71" s="34"/>
      <c r="S71" s="34"/>
    </row>
    <row r="72" spans="1:19" ht="15" thickBot="1">
      <c r="A72" s="701" t="s">
        <v>3919</v>
      </c>
      <c r="B72" s="702"/>
      <c r="C72" s="703">
        <f>C4</f>
        <v>0</v>
      </c>
      <c r="D72" s="704"/>
      <c r="E72" s="704">
        <f>'表30-12'!G13</f>
        <v>0</v>
      </c>
      <c r="F72" s="705">
        <f>ROUND(C72*E72,0)</f>
        <v>0</v>
      </c>
      <c r="H72" s="34"/>
      <c r="I72" s="34"/>
      <c r="J72" s="34"/>
      <c r="K72" s="34"/>
      <c r="N72" s="34"/>
      <c r="O72" s="34"/>
      <c r="P72" s="34"/>
      <c r="Q72" s="34"/>
      <c r="R72" s="34"/>
      <c r="S72" s="34"/>
    </row>
    <row r="73" spans="1:19" ht="15.75" thickTop="1" thickBot="1">
      <c r="A73" s="706" t="s">
        <v>3920</v>
      </c>
      <c r="B73" s="707"/>
      <c r="C73" s="708">
        <f>C4</f>
        <v>0</v>
      </c>
      <c r="D73" s="709"/>
      <c r="E73" s="709"/>
      <c r="F73" s="710">
        <f>F71+F72</f>
        <v>0</v>
      </c>
      <c r="H73" s="34"/>
      <c r="I73" s="34"/>
      <c r="J73" s="34"/>
      <c r="K73" s="34"/>
      <c r="N73" s="34"/>
      <c r="O73" s="34"/>
      <c r="P73" s="34"/>
      <c r="Q73" s="34"/>
      <c r="R73" s="34"/>
      <c r="S73" s="34"/>
    </row>
    <row r="74" spans="1:19" ht="14.25">
      <c r="A74" s="711" t="s">
        <v>3921</v>
      </c>
      <c r="B74" s="712"/>
      <c r="C74" s="713">
        <f>C75+C133</f>
        <v>0</v>
      </c>
      <c r="D74" s="713">
        <f>D75+D133</f>
        <v>0</v>
      </c>
      <c r="E74" s="714"/>
      <c r="F74" s="715">
        <f>F75+F133</f>
        <v>0</v>
      </c>
    </row>
    <row r="75" spans="1:19">
      <c r="A75" s="717" t="s">
        <v>3922</v>
      </c>
      <c r="B75" s="718"/>
      <c r="C75" s="719">
        <f>C76+C118</f>
        <v>0</v>
      </c>
      <c r="D75" s="720">
        <f>D76+D118</f>
        <v>0</v>
      </c>
      <c r="E75" s="686"/>
      <c r="F75" s="693">
        <f>F76+F118</f>
        <v>0</v>
      </c>
    </row>
    <row r="76" spans="1:19">
      <c r="A76" s="694" t="s">
        <v>3923</v>
      </c>
      <c r="B76" s="721"/>
      <c r="C76" s="722">
        <f>C77+C109</f>
        <v>0</v>
      </c>
      <c r="D76" s="723">
        <f>D77+D109</f>
        <v>0</v>
      </c>
      <c r="E76" s="692"/>
      <c r="F76" s="693">
        <f>F77+F109</f>
        <v>0</v>
      </c>
    </row>
    <row r="77" spans="1:19">
      <c r="A77" s="697" t="s">
        <v>3924</v>
      </c>
      <c r="B77" s="721"/>
      <c r="C77" s="722">
        <f>SUM(C78:C108)</f>
        <v>0</v>
      </c>
      <c r="D77" s="723">
        <f>SUM(D78:D108)</f>
        <v>0</v>
      </c>
      <c r="E77" s="692"/>
      <c r="F77" s="2363">
        <f>SUM(F78:F108)</f>
        <v>0</v>
      </c>
    </row>
    <row r="78" spans="1:19">
      <c r="A78" s="698" t="s">
        <v>3925</v>
      </c>
      <c r="B78" s="721" t="s">
        <v>3926</v>
      </c>
      <c r="C78" s="722">
        <f>'表22-3'!E8</f>
        <v>0</v>
      </c>
      <c r="D78" s="724"/>
      <c r="E78" s="692">
        <v>0.29170000000000001</v>
      </c>
      <c r="F78" s="693">
        <f>ROUND((C78+D78)*E78,0)</f>
        <v>0</v>
      </c>
    </row>
    <row r="79" spans="1:19">
      <c r="A79" s="698" t="s">
        <v>3927</v>
      </c>
      <c r="B79" s="721" t="s">
        <v>3928</v>
      </c>
      <c r="C79" s="722">
        <f>'表22-3'!E9</f>
        <v>0</v>
      </c>
      <c r="D79" s="724"/>
      <c r="E79" s="692">
        <v>0.29170000000000001</v>
      </c>
      <c r="F79" s="693">
        <f t="shared" ref="F79:F117" si="3">ROUND((C79+D79)*E79,0)</f>
        <v>0</v>
      </c>
    </row>
    <row r="80" spans="1:19">
      <c r="A80" s="698" t="s">
        <v>3929</v>
      </c>
      <c r="B80" s="721" t="s">
        <v>3930</v>
      </c>
      <c r="C80" s="722">
        <f>'表22-3'!E10</f>
        <v>0</v>
      </c>
      <c r="D80" s="724"/>
      <c r="E80" s="692">
        <v>0.29170000000000001</v>
      </c>
      <c r="F80" s="693">
        <f t="shared" si="3"/>
        <v>0</v>
      </c>
    </row>
    <row r="81" spans="1:6">
      <c r="A81" s="698" t="s">
        <v>3931</v>
      </c>
      <c r="B81" s="721" t="s">
        <v>3932</v>
      </c>
      <c r="C81" s="722">
        <f>'表22-3'!E11</f>
        <v>0</v>
      </c>
      <c r="D81" s="724"/>
      <c r="E81" s="692">
        <v>0.29170000000000001</v>
      </c>
      <c r="F81" s="693">
        <f t="shared" si="3"/>
        <v>0</v>
      </c>
    </row>
    <row r="82" spans="1:6">
      <c r="A82" s="698" t="s">
        <v>3933</v>
      </c>
      <c r="B82" s="721" t="s">
        <v>3934</v>
      </c>
      <c r="C82" s="722">
        <f>'表22-3'!E12</f>
        <v>0</v>
      </c>
      <c r="D82" s="724"/>
      <c r="E82" s="692">
        <v>0.18459999999999999</v>
      </c>
      <c r="F82" s="693">
        <f t="shared" si="3"/>
        <v>0</v>
      </c>
    </row>
    <row r="83" spans="1:6">
      <c r="A83" s="698" t="s">
        <v>3935</v>
      </c>
      <c r="B83" s="721" t="s">
        <v>3936</v>
      </c>
      <c r="C83" s="722">
        <f>'表22-3'!E13</f>
        <v>0</v>
      </c>
      <c r="D83" s="724"/>
      <c r="E83" s="692">
        <v>0.18459999999999999</v>
      </c>
      <c r="F83" s="693">
        <f t="shared" si="3"/>
        <v>0</v>
      </c>
    </row>
    <row r="84" spans="1:6">
      <c r="A84" s="698" t="s">
        <v>3937</v>
      </c>
      <c r="B84" s="721" t="s">
        <v>3938</v>
      </c>
      <c r="C84" s="722">
        <f>'表22-3'!E14</f>
        <v>0</v>
      </c>
      <c r="D84" s="724"/>
      <c r="E84" s="692">
        <v>1.0096000000000001</v>
      </c>
      <c r="F84" s="693">
        <f t="shared" si="3"/>
        <v>0</v>
      </c>
    </row>
    <row r="85" spans="1:6">
      <c r="A85" s="698" t="s">
        <v>3939</v>
      </c>
      <c r="B85" s="721" t="s">
        <v>3940</v>
      </c>
      <c r="C85" s="722">
        <f>'表22-3'!E15</f>
        <v>0</v>
      </c>
      <c r="D85" s="724"/>
      <c r="E85" s="692">
        <v>0.22409999999999999</v>
      </c>
      <c r="F85" s="693">
        <f t="shared" si="3"/>
        <v>0</v>
      </c>
    </row>
    <row r="86" spans="1:6">
      <c r="A86" s="698" t="s">
        <v>3941</v>
      </c>
      <c r="B86" s="721" t="s">
        <v>3942</v>
      </c>
      <c r="C86" s="722">
        <f>'表22-3'!E16</f>
        <v>0</v>
      </c>
      <c r="D86" s="724"/>
      <c r="E86" s="692">
        <v>7.7195</v>
      </c>
      <c r="F86" s="693">
        <f t="shared" si="3"/>
        <v>0</v>
      </c>
    </row>
    <row r="87" spans="1:6">
      <c r="A87" s="698" t="s">
        <v>3943</v>
      </c>
      <c r="B87" s="721" t="s">
        <v>3944</v>
      </c>
      <c r="C87" s="722">
        <f>'表22-3'!E17</f>
        <v>0</v>
      </c>
      <c r="D87" s="724"/>
      <c r="E87" s="692">
        <v>9.4399999999999998E-2</v>
      </c>
      <c r="F87" s="693">
        <f t="shared" si="3"/>
        <v>0</v>
      </c>
    </row>
    <row r="88" spans="1:6">
      <c r="A88" s="698" t="s">
        <v>3945</v>
      </c>
      <c r="B88" s="721" t="s">
        <v>3946</v>
      </c>
      <c r="C88" s="722">
        <f>'表22-3'!E18</f>
        <v>0</v>
      </c>
      <c r="D88" s="724"/>
      <c r="E88" s="692">
        <v>9.4399999999999998E-2</v>
      </c>
      <c r="F88" s="693">
        <f t="shared" si="3"/>
        <v>0</v>
      </c>
    </row>
    <row r="89" spans="1:6">
      <c r="A89" s="698" t="s">
        <v>3947</v>
      </c>
      <c r="B89" s="721" t="s">
        <v>3948</v>
      </c>
      <c r="C89" s="722">
        <f>'表22-3'!E19</f>
        <v>0</v>
      </c>
      <c r="D89" s="724"/>
      <c r="E89" s="692">
        <v>9.4399999999999998E-2</v>
      </c>
      <c r="F89" s="693">
        <f t="shared" si="3"/>
        <v>0</v>
      </c>
    </row>
    <row r="90" spans="1:6">
      <c r="A90" s="698" t="s">
        <v>3949</v>
      </c>
      <c r="B90" s="721" t="s">
        <v>3950</v>
      </c>
      <c r="C90" s="722">
        <f>'表22-3'!E20</f>
        <v>0</v>
      </c>
      <c r="D90" s="724"/>
      <c r="E90" s="692">
        <v>9.4399999999999998E-2</v>
      </c>
      <c r="F90" s="693">
        <f t="shared" si="3"/>
        <v>0</v>
      </c>
    </row>
    <row r="91" spans="1:6">
      <c r="A91" s="698" t="s">
        <v>3951</v>
      </c>
      <c r="B91" s="721" t="s">
        <v>3952</v>
      </c>
      <c r="C91" s="722">
        <f>'表22-3'!E21</f>
        <v>0</v>
      </c>
      <c r="D91" s="724"/>
      <c r="E91" s="692">
        <v>0</v>
      </c>
      <c r="F91" s="693">
        <f t="shared" si="3"/>
        <v>0</v>
      </c>
    </row>
    <row r="92" spans="1:6">
      <c r="A92" s="698" t="s">
        <v>3953</v>
      </c>
      <c r="B92" s="721" t="s">
        <v>3954</v>
      </c>
      <c r="C92" s="722">
        <f>'表22-3'!E22</f>
        <v>0</v>
      </c>
      <c r="D92" s="724"/>
      <c r="E92" s="692">
        <v>0</v>
      </c>
      <c r="F92" s="693">
        <f t="shared" si="3"/>
        <v>0</v>
      </c>
    </row>
    <row r="93" spans="1:6">
      <c r="A93" s="698" t="s">
        <v>3841</v>
      </c>
      <c r="B93" s="721" t="s">
        <v>3955</v>
      </c>
      <c r="C93" s="722">
        <f>'表22-3'!E23</f>
        <v>0</v>
      </c>
      <c r="D93" s="724"/>
      <c r="E93" s="692">
        <v>0</v>
      </c>
      <c r="F93" s="693">
        <f t="shared" si="3"/>
        <v>0</v>
      </c>
    </row>
    <row r="94" spans="1:6">
      <c r="A94" s="698" t="s">
        <v>3956</v>
      </c>
      <c r="B94" s="721" t="s">
        <v>3957</v>
      </c>
      <c r="C94" s="722">
        <f>'表22-3'!E24</f>
        <v>0</v>
      </c>
      <c r="D94" s="724"/>
      <c r="E94" s="692">
        <v>0.75539999999999996</v>
      </c>
      <c r="F94" s="693">
        <f t="shared" si="3"/>
        <v>0</v>
      </c>
    </row>
    <row r="95" spans="1:6">
      <c r="A95" s="698" t="s">
        <v>3958</v>
      </c>
      <c r="B95" s="721" t="s">
        <v>3959</v>
      </c>
      <c r="C95" s="722">
        <f>'表22-3'!E25</f>
        <v>0</v>
      </c>
      <c r="D95" s="724"/>
      <c r="E95" s="692">
        <v>0.75539999999999996</v>
      </c>
      <c r="F95" s="693">
        <f t="shared" si="3"/>
        <v>0</v>
      </c>
    </row>
    <row r="96" spans="1:6">
      <c r="A96" s="698" t="s">
        <v>3960</v>
      </c>
      <c r="B96" s="721" t="s">
        <v>3961</v>
      </c>
      <c r="C96" s="722">
        <f>'表22-3'!E26</f>
        <v>0</v>
      </c>
      <c r="D96" s="724"/>
      <c r="E96" s="692">
        <v>1.2151000000000001</v>
      </c>
      <c r="F96" s="693">
        <f t="shared" si="3"/>
        <v>0</v>
      </c>
    </row>
    <row r="97" spans="1:6">
      <c r="A97" s="698" t="s">
        <v>3962</v>
      </c>
      <c r="B97" s="721" t="s">
        <v>3963</v>
      </c>
      <c r="C97" s="722">
        <f>'表22-3'!E27</f>
        <v>0</v>
      </c>
      <c r="D97" s="724"/>
      <c r="E97" s="692">
        <v>7.7195</v>
      </c>
      <c r="F97" s="693">
        <f t="shared" si="3"/>
        <v>0</v>
      </c>
    </row>
    <row r="98" spans="1:6">
      <c r="A98" s="698" t="s">
        <v>3964</v>
      </c>
      <c r="B98" s="721" t="s">
        <v>3965</v>
      </c>
      <c r="C98" s="722">
        <f>'表22-3'!E28</f>
        <v>0</v>
      </c>
      <c r="D98" s="724"/>
      <c r="E98" s="692">
        <v>0.12809999999999999</v>
      </c>
      <c r="F98" s="693">
        <f t="shared" si="3"/>
        <v>0</v>
      </c>
    </row>
    <row r="99" spans="1:6">
      <c r="A99" s="698" t="s">
        <v>3966</v>
      </c>
      <c r="B99" s="721" t="s">
        <v>3967</v>
      </c>
      <c r="C99" s="722">
        <f>'表22-3'!E29</f>
        <v>0</v>
      </c>
      <c r="D99" s="724"/>
      <c r="E99" s="692">
        <v>0.12809999999999999</v>
      </c>
      <c r="F99" s="693">
        <f t="shared" si="3"/>
        <v>0</v>
      </c>
    </row>
    <row r="100" spans="1:6">
      <c r="A100" s="698" t="s">
        <v>3968</v>
      </c>
      <c r="B100" s="721" t="s">
        <v>3969</v>
      </c>
      <c r="C100" s="722">
        <f>'表22-3'!E30</f>
        <v>0</v>
      </c>
      <c r="D100" s="724"/>
      <c r="E100" s="692">
        <v>0.12809999999999999</v>
      </c>
      <c r="F100" s="693">
        <f t="shared" si="3"/>
        <v>0</v>
      </c>
    </row>
    <row r="101" spans="1:6">
      <c r="A101" s="698" t="s">
        <v>3970</v>
      </c>
      <c r="B101" s="721" t="s">
        <v>3971</v>
      </c>
      <c r="C101" s="722">
        <f>'表22-3'!E31</f>
        <v>0</v>
      </c>
      <c r="D101" s="724"/>
      <c r="E101" s="692">
        <v>0.36</v>
      </c>
      <c r="F101" s="693">
        <f t="shared" si="3"/>
        <v>0</v>
      </c>
    </row>
    <row r="102" spans="1:6">
      <c r="A102" s="698" t="s">
        <v>3972</v>
      </c>
      <c r="B102" s="721" t="s">
        <v>3973</v>
      </c>
      <c r="C102" s="722">
        <f>'表22-3'!E32</f>
        <v>0</v>
      </c>
      <c r="D102" s="724"/>
      <c r="E102" s="692">
        <v>0.75539999999999996</v>
      </c>
      <c r="F102" s="693">
        <f t="shared" si="3"/>
        <v>0</v>
      </c>
    </row>
    <row r="103" spans="1:6">
      <c r="A103" s="698" t="s">
        <v>3974</v>
      </c>
      <c r="B103" s="721" t="s">
        <v>3975</v>
      </c>
      <c r="C103" s="722">
        <f>'表22-3'!E33</f>
        <v>0</v>
      </c>
      <c r="D103" s="724"/>
      <c r="E103" s="692">
        <v>0.47339999999999999</v>
      </c>
      <c r="F103" s="693">
        <f t="shared" si="3"/>
        <v>0</v>
      </c>
    </row>
    <row r="104" spans="1:6">
      <c r="A104" s="698" t="s">
        <v>3976</v>
      </c>
      <c r="B104" s="721" t="s">
        <v>3977</v>
      </c>
      <c r="C104" s="722">
        <f>'表22-3'!E34</f>
        <v>0</v>
      </c>
      <c r="D104" s="724"/>
      <c r="E104" s="692">
        <v>0.47339999999999999</v>
      </c>
      <c r="F104" s="693">
        <f t="shared" si="3"/>
        <v>0</v>
      </c>
    </row>
    <row r="105" spans="1:6">
      <c r="A105" s="698" t="s">
        <v>3978</v>
      </c>
      <c r="B105" s="721" t="s">
        <v>3979</v>
      </c>
      <c r="C105" s="722">
        <f>'表22-3'!E35</f>
        <v>0</v>
      </c>
      <c r="D105" s="724"/>
      <c r="E105" s="692">
        <v>0.2399</v>
      </c>
      <c r="F105" s="693">
        <f t="shared" si="3"/>
        <v>0</v>
      </c>
    </row>
    <row r="106" spans="1:6">
      <c r="A106" s="698" t="s">
        <v>3980</v>
      </c>
      <c r="B106" s="721" t="s">
        <v>3981</v>
      </c>
      <c r="C106" s="722">
        <f>'表22-3'!E36</f>
        <v>0</v>
      </c>
      <c r="D106" s="724"/>
      <c r="E106" s="692">
        <v>0.2399</v>
      </c>
      <c r="F106" s="693">
        <f t="shared" si="3"/>
        <v>0</v>
      </c>
    </row>
    <row r="107" spans="1:6">
      <c r="A107" s="698" t="s">
        <v>3982</v>
      </c>
      <c r="B107" s="721" t="s">
        <v>3983</v>
      </c>
      <c r="C107" s="722">
        <f>'表22-3'!E37</f>
        <v>0</v>
      </c>
      <c r="D107" s="724"/>
      <c r="E107" s="692">
        <v>0.1351</v>
      </c>
      <c r="F107" s="693">
        <f>ROUND((C107+D107)*E107,0)</f>
        <v>0</v>
      </c>
    </row>
    <row r="108" spans="1:6">
      <c r="A108" s="2047" t="s">
        <v>5117</v>
      </c>
      <c r="B108" s="721" t="s">
        <v>5118</v>
      </c>
      <c r="C108" s="722">
        <f>'表22-3'!E38</f>
        <v>0</v>
      </c>
      <c r="D108" s="1973"/>
      <c r="E108" s="692">
        <v>0</v>
      </c>
      <c r="F108" s="693">
        <f>ROUND((C108+D108)*E108,0)</f>
        <v>0</v>
      </c>
    </row>
    <row r="109" spans="1:6">
      <c r="A109" s="697" t="s">
        <v>3984</v>
      </c>
      <c r="B109" s="721"/>
      <c r="C109" s="722">
        <f>SUM(C110:C117)</f>
        <v>0</v>
      </c>
      <c r="D109" s="723">
        <f>SUM(D110:D117)</f>
        <v>0</v>
      </c>
      <c r="E109" s="696"/>
      <c r="F109" s="693">
        <f>SUM(F110:F117)</f>
        <v>0</v>
      </c>
    </row>
    <row r="110" spans="1:6" ht="14.25">
      <c r="A110" s="698" t="s">
        <v>3985</v>
      </c>
      <c r="B110" s="1979" t="s">
        <v>5119</v>
      </c>
      <c r="C110" s="722">
        <f>'表22-3'!E40</f>
        <v>0</v>
      </c>
      <c r="D110" s="724"/>
      <c r="E110" s="692">
        <v>0.60589999999999999</v>
      </c>
      <c r="F110" s="693">
        <f t="shared" si="3"/>
        <v>0</v>
      </c>
    </row>
    <row r="111" spans="1:6" ht="14.25">
      <c r="A111" s="698" t="s">
        <v>3986</v>
      </c>
      <c r="B111" s="1979" t="s">
        <v>5120</v>
      </c>
      <c r="C111" s="722">
        <f>'表22-3'!E41</f>
        <v>0</v>
      </c>
      <c r="D111" s="724"/>
      <c r="E111" s="692">
        <v>0.4158</v>
      </c>
      <c r="F111" s="693">
        <f t="shared" si="3"/>
        <v>0</v>
      </c>
    </row>
    <row r="112" spans="1:6" ht="14.25">
      <c r="A112" s="698" t="s">
        <v>3987</v>
      </c>
      <c r="B112" s="1979" t="s">
        <v>5121</v>
      </c>
      <c r="C112" s="722">
        <f>'表22-3'!E42</f>
        <v>0</v>
      </c>
      <c r="D112" s="724"/>
      <c r="E112" s="692">
        <v>0.4158</v>
      </c>
      <c r="F112" s="693">
        <f t="shared" si="3"/>
        <v>0</v>
      </c>
    </row>
    <row r="113" spans="1:6" ht="14.25">
      <c r="A113" s="698" t="s">
        <v>3988</v>
      </c>
      <c r="B113" s="1979" t="s">
        <v>5122</v>
      </c>
      <c r="C113" s="722">
        <f>'表22-3'!E43</f>
        <v>0</v>
      </c>
      <c r="D113" s="724"/>
      <c r="E113" s="692">
        <v>0.4158</v>
      </c>
      <c r="F113" s="693">
        <f t="shared" si="3"/>
        <v>0</v>
      </c>
    </row>
    <row r="114" spans="1:6" ht="14.25">
      <c r="A114" s="698" t="s">
        <v>3989</v>
      </c>
      <c r="B114" s="1979" t="s">
        <v>5123</v>
      </c>
      <c r="C114" s="722">
        <f>'表22-3'!E44</f>
        <v>0</v>
      </c>
      <c r="D114" s="724"/>
      <c r="E114" s="692">
        <v>0.4647</v>
      </c>
      <c r="F114" s="693">
        <f t="shared" si="3"/>
        <v>0</v>
      </c>
    </row>
    <row r="115" spans="1:6" ht="14.25">
      <c r="A115" s="698" t="s">
        <v>3990</v>
      </c>
      <c r="B115" s="1979" t="s">
        <v>5124</v>
      </c>
      <c r="C115" s="722">
        <f>'表22-3'!E45</f>
        <v>0</v>
      </c>
      <c r="D115" s="724"/>
      <c r="E115" s="692">
        <v>1.1553</v>
      </c>
      <c r="F115" s="693">
        <f t="shared" si="3"/>
        <v>0</v>
      </c>
    </row>
    <row r="116" spans="1:6" ht="14.25">
      <c r="A116" s="698" t="s">
        <v>3991</v>
      </c>
      <c r="B116" s="1979" t="s">
        <v>5125</v>
      </c>
      <c r="C116" s="722">
        <f>'表22-3'!E46</f>
        <v>0</v>
      </c>
      <c r="D116" s="724"/>
      <c r="E116" s="692">
        <v>0.60589999999999999</v>
      </c>
      <c r="F116" s="693">
        <f t="shared" si="3"/>
        <v>0</v>
      </c>
    </row>
    <row r="117" spans="1:6" ht="14.25">
      <c r="A117" s="698" t="s">
        <v>3992</v>
      </c>
      <c r="B117" s="1979" t="s">
        <v>5126</v>
      </c>
      <c r="C117" s="722">
        <f>'表22-3'!E47</f>
        <v>0</v>
      </c>
      <c r="D117" s="724"/>
      <c r="E117" s="692">
        <v>0.67479999999999996</v>
      </c>
      <c r="F117" s="693">
        <f t="shared" si="3"/>
        <v>0</v>
      </c>
    </row>
    <row r="118" spans="1:6">
      <c r="A118" s="694" t="s">
        <v>3993</v>
      </c>
      <c r="B118" s="721"/>
      <c r="C118" s="722">
        <f>C119+C127</f>
        <v>0</v>
      </c>
      <c r="D118" s="723">
        <f>D119+D127</f>
        <v>0</v>
      </c>
      <c r="E118" s="692"/>
      <c r="F118" s="693">
        <f>F119+F127</f>
        <v>0</v>
      </c>
    </row>
    <row r="119" spans="1:6">
      <c r="A119" s="697" t="s">
        <v>3994</v>
      </c>
      <c r="B119" s="721"/>
      <c r="C119" s="722">
        <f>SUM(C120:C126)</f>
        <v>0</v>
      </c>
      <c r="D119" s="723">
        <f>SUM(D120:D126)</f>
        <v>0</v>
      </c>
      <c r="E119" s="692"/>
      <c r="F119" s="693">
        <f>SUM(F120:F126)</f>
        <v>0</v>
      </c>
    </row>
    <row r="120" spans="1:6">
      <c r="A120" s="698" t="s">
        <v>3995</v>
      </c>
      <c r="B120" s="721" t="s">
        <v>3996</v>
      </c>
      <c r="C120" s="722">
        <f>'表23-2'!F8</f>
        <v>0</v>
      </c>
      <c r="D120" s="724"/>
      <c r="E120" s="692">
        <v>3.0000000000000001E-3</v>
      </c>
      <c r="F120" s="693">
        <f>ROUND((C120+D120)*E120,0)</f>
        <v>0</v>
      </c>
    </row>
    <row r="121" spans="1:6">
      <c r="A121" s="698" t="s">
        <v>3997</v>
      </c>
      <c r="B121" s="721" t="s">
        <v>3998</v>
      </c>
      <c r="C121" s="722">
        <f>'表23-2'!F9</f>
        <v>0</v>
      </c>
      <c r="D121" s="724"/>
      <c r="E121" s="692">
        <v>0.02</v>
      </c>
      <c r="F121" s="693">
        <f>ROUND((C121+D121)*E121,0)</f>
        <v>0</v>
      </c>
    </row>
    <row r="122" spans="1:6">
      <c r="A122" s="698" t="s">
        <v>3999</v>
      </c>
      <c r="B122" s="721" t="s">
        <v>4000</v>
      </c>
      <c r="C122" s="722">
        <f>'表23-2'!F10</f>
        <v>0</v>
      </c>
      <c r="D122" s="724"/>
      <c r="E122" s="692">
        <v>0.1351</v>
      </c>
      <c r="F122" s="693">
        <f>ROUND((C122+D122)*E122,0)</f>
        <v>0</v>
      </c>
    </row>
    <row r="123" spans="1:6">
      <c r="A123" s="698" t="s">
        <v>4001</v>
      </c>
      <c r="B123" s="721" t="s">
        <v>4002</v>
      </c>
      <c r="C123" s="722">
        <f>'表23-2'!F11</f>
        <v>0</v>
      </c>
      <c r="D123" s="724"/>
      <c r="E123" s="699">
        <v>7.5000000000000002E-4</v>
      </c>
      <c r="F123" s="693">
        <f>ROUND((C123+D123)*E123,0)</f>
        <v>0</v>
      </c>
    </row>
    <row r="124" spans="1:6">
      <c r="A124" s="698" t="s">
        <v>4003</v>
      </c>
      <c r="B124" s="721" t="s">
        <v>4004</v>
      </c>
      <c r="C124" s="722">
        <f>'表23-2'!F12</f>
        <v>0</v>
      </c>
      <c r="D124" s="724"/>
      <c r="E124" s="699">
        <v>0</v>
      </c>
      <c r="F124" s="693">
        <f>ROUND((C124+D124)*E124,0)</f>
        <v>0</v>
      </c>
    </row>
    <row r="125" spans="1:6">
      <c r="A125" s="698" t="s">
        <v>4005</v>
      </c>
      <c r="B125" s="721" t="s">
        <v>4006</v>
      </c>
      <c r="C125" s="722">
        <f>'表23-2'!F13</f>
        <v>0</v>
      </c>
      <c r="D125" s="724"/>
      <c r="E125" s="699"/>
      <c r="F125" s="693">
        <f>'表30-5-1'!E4</f>
        <v>0</v>
      </c>
    </row>
    <row r="126" spans="1:6">
      <c r="A126" s="698" t="s">
        <v>4007</v>
      </c>
      <c r="B126" s="721" t="s">
        <v>4008</v>
      </c>
      <c r="C126" s="722">
        <f>'表23-2'!F14</f>
        <v>0</v>
      </c>
      <c r="D126" s="724"/>
      <c r="E126" s="699"/>
      <c r="F126" s="693">
        <f>'表30-5-1'!E62</f>
        <v>0</v>
      </c>
    </row>
    <row r="127" spans="1:6">
      <c r="A127" s="697" t="s">
        <v>4009</v>
      </c>
      <c r="B127" s="721"/>
      <c r="C127" s="722">
        <f>SUM(C128:C132)</f>
        <v>0</v>
      </c>
      <c r="D127" s="723">
        <f>SUM(D128:D132)</f>
        <v>0</v>
      </c>
      <c r="E127" s="696"/>
      <c r="F127" s="693">
        <f>SUM(F128:F132)</f>
        <v>0</v>
      </c>
    </row>
    <row r="128" spans="1:6">
      <c r="A128" s="698" t="s">
        <v>4010</v>
      </c>
      <c r="B128" s="721" t="s">
        <v>4011</v>
      </c>
      <c r="C128" s="722">
        <f>'表23-2'!F16</f>
        <v>0</v>
      </c>
      <c r="D128" s="724"/>
      <c r="E128" s="692">
        <v>3.0000000000000001E-3</v>
      </c>
      <c r="F128" s="693">
        <f>ROUND((C128+D128)*E128,0)</f>
        <v>0</v>
      </c>
    </row>
    <row r="129" spans="1:6">
      <c r="A129" s="698" t="s">
        <v>4012</v>
      </c>
      <c r="B129" s="721" t="s">
        <v>4013</v>
      </c>
      <c r="C129" s="722">
        <f>'表23-2'!F17</f>
        <v>0</v>
      </c>
      <c r="D129" s="724"/>
      <c r="E129" s="692">
        <v>0.02</v>
      </c>
      <c r="F129" s="693">
        <f>ROUND((C129+D129)*E129,0)</f>
        <v>0</v>
      </c>
    </row>
    <row r="130" spans="1:6">
      <c r="A130" s="698" t="s">
        <v>4014</v>
      </c>
      <c r="B130" s="721" t="s">
        <v>4015</v>
      </c>
      <c r="C130" s="722">
        <f>'表23-2'!F18</f>
        <v>0</v>
      </c>
      <c r="D130" s="724"/>
      <c r="E130" s="692">
        <v>0.1351</v>
      </c>
      <c r="F130" s="693">
        <f>ROUND((C130+D130)*E130,0)</f>
        <v>0</v>
      </c>
    </row>
    <row r="131" spans="1:6">
      <c r="A131" s="698" t="s">
        <v>4016</v>
      </c>
      <c r="B131" s="721" t="s">
        <v>4017</v>
      </c>
      <c r="C131" s="722">
        <f>'表23-2'!F19</f>
        <v>0</v>
      </c>
      <c r="D131" s="724"/>
      <c r="E131" s="699">
        <v>7.5000000000000002E-4</v>
      </c>
      <c r="F131" s="693">
        <f>ROUND((C131+D131)*E131,0)</f>
        <v>0</v>
      </c>
    </row>
    <row r="132" spans="1:6">
      <c r="A132" s="698" t="s">
        <v>4018</v>
      </c>
      <c r="B132" s="721" t="s">
        <v>4019</v>
      </c>
      <c r="C132" s="722">
        <f>'表23-2'!F20</f>
        <v>0</v>
      </c>
      <c r="D132" s="725"/>
      <c r="E132" s="699">
        <v>0</v>
      </c>
      <c r="F132" s="693">
        <f>ROUND((C132+D132)*E132,0)</f>
        <v>0</v>
      </c>
    </row>
    <row r="133" spans="1:6">
      <c r="A133" s="688" t="s">
        <v>4020</v>
      </c>
      <c r="B133" s="721"/>
      <c r="C133" s="722">
        <f>C134+C137</f>
        <v>0</v>
      </c>
      <c r="D133" s="723">
        <f>D134+D137</f>
        <v>0</v>
      </c>
      <c r="E133" s="692"/>
      <c r="F133" s="693">
        <f>F134+F137</f>
        <v>0</v>
      </c>
    </row>
    <row r="134" spans="1:6">
      <c r="A134" s="694" t="s">
        <v>4021</v>
      </c>
      <c r="B134" s="721"/>
      <c r="C134" s="722">
        <f>SUM(C135:C136)</f>
        <v>0</v>
      </c>
      <c r="D134" s="723">
        <f>SUM(D135:D136)</f>
        <v>0</v>
      </c>
      <c r="E134" s="696"/>
      <c r="F134" s="693">
        <f>SUM(F135:F136)</f>
        <v>0</v>
      </c>
    </row>
    <row r="135" spans="1:6">
      <c r="A135" s="697" t="s">
        <v>4022</v>
      </c>
      <c r="B135" s="721" t="s">
        <v>4023</v>
      </c>
      <c r="C135" s="722">
        <f>'表22-3'!H7</f>
        <v>0</v>
      </c>
      <c r="D135" s="725"/>
      <c r="E135" s="692">
        <v>0.21840000000000001</v>
      </c>
      <c r="F135" s="693">
        <f>ROUND((C135+D135)*E135,0)</f>
        <v>0</v>
      </c>
    </row>
    <row r="136" spans="1:6" ht="14.25">
      <c r="A136" s="697" t="s">
        <v>4024</v>
      </c>
      <c r="B136" s="1979" t="s">
        <v>5127</v>
      </c>
      <c r="C136" s="722">
        <f>'表22-3'!H39</f>
        <v>0</v>
      </c>
      <c r="D136" s="725"/>
      <c r="E136" s="692">
        <v>0.49819999999999998</v>
      </c>
      <c r="F136" s="693">
        <f>ROUND((C136+D136)*E136,0)</f>
        <v>0</v>
      </c>
    </row>
    <row r="137" spans="1:6">
      <c r="A137" s="694" t="s">
        <v>4025</v>
      </c>
      <c r="B137" s="721"/>
      <c r="C137" s="722">
        <f>SUM(C138:C139)</f>
        <v>0</v>
      </c>
      <c r="D137" s="723">
        <f>SUM(D138:D139)</f>
        <v>0</v>
      </c>
      <c r="E137" s="696"/>
      <c r="F137" s="693">
        <f>SUM(F138:F139)</f>
        <v>0</v>
      </c>
    </row>
    <row r="138" spans="1:6">
      <c r="A138" s="697" t="s">
        <v>4026</v>
      </c>
      <c r="B138" s="721" t="s">
        <v>4027</v>
      </c>
      <c r="C138" s="722">
        <f>'表22-4'!H7</f>
        <v>0</v>
      </c>
      <c r="D138" s="724"/>
      <c r="E138" s="692">
        <v>0.1351</v>
      </c>
      <c r="F138" s="693">
        <f>ROUND((C138+D138)*E138,0)</f>
        <v>0</v>
      </c>
    </row>
    <row r="139" spans="1:6">
      <c r="A139" s="697" t="s">
        <v>4028</v>
      </c>
      <c r="B139" s="721" t="s">
        <v>4029</v>
      </c>
      <c r="C139" s="722">
        <f>'表22-4'!H15</f>
        <v>0</v>
      </c>
      <c r="D139" s="724"/>
      <c r="E139" s="692">
        <v>0.1351</v>
      </c>
      <c r="F139" s="693">
        <f>ROUND((C139+D139)*E139,0)</f>
        <v>0</v>
      </c>
    </row>
    <row r="140" spans="1:6" ht="14.25">
      <c r="A140" s="700" t="s">
        <v>4030</v>
      </c>
      <c r="B140" s="689"/>
      <c r="C140" s="726">
        <f>F74</f>
        <v>0</v>
      </c>
      <c r="D140" s="724"/>
      <c r="E140" s="692">
        <v>1</v>
      </c>
      <c r="F140" s="693">
        <f>ROUND(C140*E140,0)</f>
        <v>0</v>
      </c>
    </row>
    <row r="141" spans="1:6" ht="14.25">
      <c r="A141" s="700" t="s">
        <v>4031</v>
      </c>
      <c r="B141" s="689"/>
      <c r="C141" s="722">
        <f>F140</f>
        <v>0</v>
      </c>
      <c r="D141" s="724"/>
      <c r="E141" s="692">
        <f>'表30-11'!E141</f>
        <v>1</v>
      </c>
      <c r="F141" s="693">
        <f>ROUND(C141*E141,0)</f>
        <v>0</v>
      </c>
    </row>
    <row r="142" spans="1:6" ht="14.25">
      <c r="A142" s="727" t="s">
        <v>4032</v>
      </c>
      <c r="B142" s="728"/>
      <c r="C142" s="729">
        <f>C74</f>
        <v>0</v>
      </c>
      <c r="D142" s="730">
        <f>D74</f>
        <v>0</v>
      </c>
      <c r="E142" s="731">
        <f>'表30-12'!C20</f>
        <v>0</v>
      </c>
      <c r="F142" s="732">
        <f>ROUND((C142+D142)*E142,0)</f>
        <v>0</v>
      </c>
    </row>
    <row r="143" spans="1:6" ht="17.25" thickBot="1">
      <c r="A143" s="733" t="s">
        <v>4033</v>
      </c>
      <c r="B143" s="734"/>
      <c r="C143" s="735">
        <f>C74</f>
        <v>0</v>
      </c>
      <c r="D143" s="736">
        <f>D74</f>
        <v>0</v>
      </c>
      <c r="E143" s="734"/>
      <c r="F143" s="737">
        <f>F141+F142</f>
        <v>0</v>
      </c>
    </row>
    <row r="144" spans="1:6" ht="18" thickTop="1" thickBot="1">
      <c r="A144" s="738" t="s">
        <v>4034</v>
      </c>
      <c r="B144" s="739"/>
      <c r="C144" s="740">
        <f>C73+C143</f>
        <v>0</v>
      </c>
      <c r="D144" s="741">
        <f>D73+D143</f>
        <v>0</v>
      </c>
      <c r="E144" s="1984"/>
      <c r="F144" s="710">
        <f>F73+F143</f>
        <v>0</v>
      </c>
    </row>
    <row r="145" spans="1:2">
      <c r="A145" s="34" t="s">
        <v>4035</v>
      </c>
      <c r="B145" s="33"/>
    </row>
    <row r="146" spans="1:2">
      <c r="A146" s="34" t="s">
        <v>4036</v>
      </c>
    </row>
    <row r="147" spans="1:2">
      <c r="A147" s="34" t="s">
        <v>4037</v>
      </c>
    </row>
  </sheetData>
  <phoneticPr fontId="30"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heetViews>
  <sheetFormatPr defaultColWidth="9" defaultRowHeight="16.5"/>
  <cols>
    <col min="1" max="1" width="59.25" style="33" customWidth="1"/>
    <col min="2" max="2" width="30.5" style="33" customWidth="1"/>
    <col min="3" max="4" width="9" style="33"/>
    <col min="5" max="5" width="12.375" style="33" customWidth="1"/>
    <col min="6" max="16384" width="9" style="33"/>
  </cols>
  <sheetData>
    <row r="1" spans="1:5">
      <c r="A1" s="2186" t="str">
        <f>+封面!A3&amp;" "&amp;封面!A2</f>
        <v xml:space="preserve"> 中央再保險股份有限公司 年度檢查報表</v>
      </c>
    </row>
    <row r="2" spans="1:5" ht="17.25" thickBot="1">
      <c r="A2" s="36" t="s">
        <v>1219</v>
      </c>
      <c r="E2" s="629" t="s">
        <v>241</v>
      </c>
    </row>
    <row r="3" spans="1:5">
      <c r="A3" s="646" t="s">
        <v>1053</v>
      </c>
      <c r="B3" s="647" t="s">
        <v>1054</v>
      </c>
      <c r="C3" s="648" t="s">
        <v>64</v>
      </c>
      <c r="D3" s="649" t="s">
        <v>65</v>
      </c>
      <c r="E3" s="650" t="s">
        <v>1055</v>
      </c>
    </row>
    <row r="4" spans="1:5">
      <c r="A4" s="651" t="s">
        <v>1056</v>
      </c>
      <c r="B4" s="652"/>
      <c r="C4" s="653">
        <f>C5+C32+C59</f>
        <v>0</v>
      </c>
      <c r="D4" s="654"/>
      <c r="E4" s="655">
        <f>E5+E32+E59</f>
        <v>0</v>
      </c>
    </row>
    <row r="5" spans="1:5">
      <c r="A5" s="656" t="s">
        <v>1057</v>
      </c>
      <c r="B5" s="657"/>
      <c r="C5" s="658">
        <f>C6+C19</f>
        <v>0</v>
      </c>
      <c r="D5" s="659"/>
      <c r="E5" s="660">
        <f>E6+E19</f>
        <v>0</v>
      </c>
    </row>
    <row r="6" spans="1:5">
      <c r="A6" s="661" t="s">
        <v>1058</v>
      </c>
      <c r="B6" s="657"/>
      <c r="C6" s="658">
        <f>C7+C13</f>
        <v>0</v>
      </c>
      <c r="D6" s="662"/>
      <c r="E6" s="660">
        <f>E7+E13</f>
        <v>0</v>
      </c>
    </row>
    <row r="7" spans="1:5" ht="28.5">
      <c r="A7" s="663" t="s">
        <v>1059</v>
      </c>
      <c r="B7" s="657" t="s">
        <v>1060</v>
      </c>
      <c r="C7" s="664">
        <f>'表30-5-2'!I8</f>
        <v>0</v>
      </c>
      <c r="D7" s="665"/>
      <c r="E7" s="666">
        <f>SUM(E8:E12)</f>
        <v>0</v>
      </c>
    </row>
    <row r="8" spans="1:5">
      <c r="A8" s="667" t="s">
        <v>1061</v>
      </c>
      <c r="B8" s="657"/>
      <c r="C8" s="658">
        <f>IF(C7&lt;60000000000,C7,0)</f>
        <v>0</v>
      </c>
      <c r="D8" s="662">
        <v>1.5E-3</v>
      </c>
      <c r="E8" s="660">
        <f>ROUND(C8*D8,0)</f>
        <v>0</v>
      </c>
    </row>
    <row r="9" spans="1:5">
      <c r="A9" s="667" t="s">
        <v>1062</v>
      </c>
      <c r="B9" s="657"/>
      <c r="C9" s="658">
        <f>IF(AND(60000000000&lt;=C7,C7&lt;100000000000),C7,0)</f>
        <v>0</v>
      </c>
      <c r="D9" s="662">
        <v>1.3699999999999999E-3</v>
      </c>
      <c r="E9" s="660">
        <f>ROUND(C9*D9,0)</f>
        <v>0</v>
      </c>
    </row>
    <row r="10" spans="1:5">
      <c r="A10" s="667" t="s">
        <v>1063</v>
      </c>
      <c r="B10" s="657"/>
      <c r="C10" s="658">
        <f>IF(AND(100000000000&lt;=C7,C7&lt;200000000000),C7,0)</f>
        <v>0</v>
      </c>
      <c r="D10" s="662">
        <v>1.06E-3</v>
      </c>
      <c r="E10" s="660">
        <f>ROUND(C10*D10,0)</f>
        <v>0</v>
      </c>
    </row>
    <row r="11" spans="1:5">
      <c r="A11" s="667" t="s">
        <v>1064</v>
      </c>
      <c r="B11" s="657"/>
      <c r="C11" s="658">
        <f>IF(AND(200000000000&lt;=C7,C7&lt;1000000000000),C7,0)</f>
        <v>0</v>
      </c>
      <c r="D11" s="662">
        <v>7.5000000000000002E-4</v>
      </c>
      <c r="E11" s="660">
        <f>ROUND(C11*D11,0)</f>
        <v>0</v>
      </c>
    </row>
    <row r="12" spans="1:5">
      <c r="A12" s="667" t="s">
        <v>1065</v>
      </c>
      <c r="B12" s="657"/>
      <c r="C12" s="658">
        <f>IF(C7&gt;=1000000000000,C7,0)</f>
        <v>0</v>
      </c>
      <c r="D12" s="662">
        <v>3.4000000000000002E-4</v>
      </c>
      <c r="E12" s="660">
        <f>ROUND(C12*D12,0)</f>
        <v>0</v>
      </c>
    </row>
    <row r="13" spans="1:5" ht="28.5">
      <c r="A13" s="663" t="s">
        <v>1066</v>
      </c>
      <c r="B13" s="657" t="s">
        <v>1067</v>
      </c>
      <c r="C13" s="664">
        <f>'表30-5-2'!I9</f>
        <v>0</v>
      </c>
      <c r="D13" s="665"/>
      <c r="E13" s="666">
        <f>SUM(E14:E18)</f>
        <v>0</v>
      </c>
    </row>
    <row r="14" spans="1:5">
      <c r="A14" s="667" t="s">
        <v>1068</v>
      </c>
      <c r="B14" s="657"/>
      <c r="C14" s="658">
        <f>IF(C13&lt;60000000000,C13,0)</f>
        <v>0</v>
      </c>
      <c r="D14" s="662">
        <f>D8</f>
        <v>1.5E-3</v>
      </c>
      <c r="E14" s="660">
        <f>ROUND(C14*D14,0)</f>
        <v>0</v>
      </c>
    </row>
    <row r="15" spans="1:5">
      <c r="A15" s="667" t="s">
        <v>1062</v>
      </c>
      <c r="B15" s="657"/>
      <c r="C15" s="658">
        <f>IF(AND(60000000000&lt;=C13,C13&lt;100000000000),C13,0)</f>
        <v>0</v>
      </c>
      <c r="D15" s="662">
        <f>D9</f>
        <v>1.3699999999999999E-3</v>
      </c>
      <c r="E15" s="660">
        <f>ROUND(C15*D15,0)</f>
        <v>0</v>
      </c>
    </row>
    <row r="16" spans="1:5">
      <c r="A16" s="667" t="s">
        <v>1063</v>
      </c>
      <c r="B16" s="657"/>
      <c r="C16" s="658">
        <f>IF(AND(100000000000&lt;=C13,C13&lt;200000000000),C13,0)</f>
        <v>0</v>
      </c>
      <c r="D16" s="662">
        <f>D10</f>
        <v>1.06E-3</v>
      </c>
      <c r="E16" s="660">
        <f>ROUND(C16*D16,0)</f>
        <v>0</v>
      </c>
    </row>
    <row r="17" spans="1:5">
      <c r="A17" s="667" t="s">
        <v>1064</v>
      </c>
      <c r="B17" s="657"/>
      <c r="C17" s="658">
        <f>IF(AND(200000000000&lt;=C13,C13&lt;1000000000000),C13,0)</f>
        <v>0</v>
      </c>
      <c r="D17" s="662">
        <f>D11</f>
        <v>7.5000000000000002E-4</v>
      </c>
      <c r="E17" s="660">
        <f>ROUND(C17*D17,0)</f>
        <v>0</v>
      </c>
    </row>
    <row r="18" spans="1:5">
      <c r="A18" s="667" t="s">
        <v>1065</v>
      </c>
      <c r="B18" s="657"/>
      <c r="C18" s="658">
        <f>IF(C13&gt;=1000000000000,C13,0)</f>
        <v>0</v>
      </c>
      <c r="D18" s="662">
        <f>D12</f>
        <v>3.4000000000000002E-4</v>
      </c>
      <c r="E18" s="660">
        <f>ROUND(C18*D18,0)</f>
        <v>0</v>
      </c>
    </row>
    <row r="19" spans="1:5">
      <c r="A19" s="661" t="s">
        <v>1069</v>
      </c>
      <c r="B19" s="657"/>
      <c r="C19" s="658">
        <f>C20+C26</f>
        <v>0</v>
      </c>
      <c r="D19" s="662"/>
      <c r="E19" s="660">
        <f>E20+E26</f>
        <v>0</v>
      </c>
    </row>
    <row r="20" spans="1:5" ht="28.5">
      <c r="A20" s="663" t="s">
        <v>1070</v>
      </c>
      <c r="B20" s="657" t="s">
        <v>1071</v>
      </c>
      <c r="C20" s="664">
        <f>'表30-5-2'!I11</f>
        <v>0</v>
      </c>
      <c r="D20" s="665"/>
      <c r="E20" s="666">
        <f>SUM(E21:E25)</f>
        <v>0</v>
      </c>
    </row>
    <row r="21" spans="1:5">
      <c r="A21" s="667" t="s">
        <v>1072</v>
      </c>
      <c r="B21" s="657"/>
      <c r="C21" s="658">
        <f>IF(C20&lt;20000000000,C20,0)</f>
        <v>0</v>
      </c>
      <c r="D21" s="662">
        <v>1E-3</v>
      </c>
      <c r="E21" s="660">
        <f>ROUND(C21*D21,0)</f>
        <v>0</v>
      </c>
    </row>
    <row r="22" spans="1:5">
      <c r="A22" s="667" t="s">
        <v>1073</v>
      </c>
      <c r="B22" s="657"/>
      <c r="C22" s="658">
        <f>IF(AND(20000000000&lt;=C20,C20&lt;50000000000),C19,0)</f>
        <v>0</v>
      </c>
      <c r="D22" s="662">
        <v>8.7000000000000001E-4</v>
      </c>
      <c r="E22" s="660">
        <f>ROUND(C22*D22,0)</f>
        <v>0</v>
      </c>
    </row>
    <row r="23" spans="1:5">
      <c r="A23" s="667" t="s">
        <v>1074</v>
      </c>
      <c r="B23" s="657"/>
      <c r="C23" s="658">
        <f>IF(AND(50000000000&lt;=C20,C20&lt;100000000000),C20,0)</f>
        <v>0</v>
      </c>
      <c r="D23" s="662">
        <v>5.5000000000000003E-4</v>
      </c>
      <c r="E23" s="660">
        <f>ROUND(C23*D23,0)</f>
        <v>0</v>
      </c>
    </row>
    <row r="24" spans="1:5">
      <c r="A24" s="667" t="s">
        <v>1075</v>
      </c>
      <c r="B24" s="657"/>
      <c r="C24" s="658">
        <f>IF(AND(100000000000&lt;=C20,C20&lt;500000000000),C20,0)</f>
        <v>0</v>
      </c>
      <c r="D24" s="662">
        <v>3.8999999999999999E-4</v>
      </c>
      <c r="E24" s="660">
        <f>ROUND(C24*D24,0)</f>
        <v>0</v>
      </c>
    </row>
    <row r="25" spans="1:5">
      <c r="A25" s="667" t="s">
        <v>1076</v>
      </c>
      <c r="B25" s="657"/>
      <c r="C25" s="658">
        <f>IF(C20&gt;=500000000000,C20,0)</f>
        <v>0</v>
      </c>
      <c r="D25" s="662">
        <v>1.7000000000000001E-4</v>
      </c>
      <c r="E25" s="660">
        <f>ROUND(C25*D25,0)</f>
        <v>0</v>
      </c>
    </row>
    <row r="26" spans="1:5" ht="28.5">
      <c r="A26" s="663" t="s">
        <v>1077</v>
      </c>
      <c r="B26" s="657" t="s">
        <v>1078</v>
      </c>
      <c r="C26" s="664">
        <f>'表30-5-2'!I12</f>
        <v>0</v>
      </c>
      <c r="D26" s="665"/>
      <c r="E26" s="666">
        <f>SUM(E27:E31)</f>
        <v>0</v>
      </c>
    </row>
    <row r="27" spans="1:5">
      <c r="A27" s="667" t="s">
        <v>1072</v>
      </c>
      <c r="B27" s="657"/>
      <c r="C27" s="658">
        <f>IF(C26&lt;20000000000,C26,0)</f>
        <v>0</v>
      </c>
      <c r="D27" s="662">
        <f>D21</f>
        <v>1E-3</v>
      </c>
      <c r="E27" s="660">
        <f>ROUND(C27*D27,0)</f>
        <v>0</v>
      </c>
    </row>
    <row r="28" spans="1:5">
      <c r="A28" s="667" t="s">
        <v>1073</v>
      </c>
      <c r="B28" s="657"/>
      <c r="C28" s="658">
        <f>IF(AND(20000000000&lt;=C26,C26&lt;50000000000),C26,0)</f>
        <v>0</v>
      </c>
      <c r="D28" s="662">
        <f>D22</f>
        <v>8.7000000000000001E-4</v>
      </c>
      <c r="E28" s="660">
        <f>ROUND(C28*D28,0)</f>
        <v>0</v>
      </c>
    </row>
    <row r="29" spans="1:5">
      <c r="A29" s="667" t="s">
        <v>1074</v>
      </c>
      <c r="B29" s="657"/>
      <c r="C29" s="658">
        <f>IF(AND(50000000000&lt;=C26,C26&lt;100000000000),C26,0)</f>
        <v>0</v>
      </c>
      <c r="D29" s="662">
        <f>D23</f>
        <v>5.5000000000000003E-4</v>
      </c>
      <c r="E29" s="660">
        <f>ROUND(C29*D29,0)</f>
        <v>0</v>
      </c>
    </row>
    <row r="30" spans="1:5">
      <c r="A30" s="667" t="s">
        <v>1079</v>
      </c>
      <c r="B30" s="657"/>
      <c r="C30" s="658">
        <f>IF(AND(100000000000&lt;=C26,C26&lt;500000000000),C26,0)</f>
        <v>0</v>
      </c>
      <c r="D30" s="662">
        <f>D24</f>
        <v>3.8999999999999999E-4</v>
      </c>
      <c r="E30" s="660">
        <f>ROUND(C30*D30,0)</f>
        <v>0</v>
      </c>
    </row>
    <row r="31" spans="1:5">
      <c r="A31" s="667" t="s">
        <v>1080</v>
      </c>
      <c r="B31" s="657"/>
      <c r="C31" s="658">
        <f>IF(C26&gt;=500000000000,C26,0)</f>
        <v>0</v>
      </c>
      <c r="D31" s="662">
        <f>D25</f>
        <v>1.7000000000000001E-4</v>
      </c>
      <c r="E31" s="660">
        <f>ROUND(C31*D31,0)</f>
        <v>0</v>
      </c>
    </row>
    <row r="32" spans="1:5">
      <c r="A32" s="656" t="s">
        <v>1081</v>
      </c>
      <c r="B32" s="657"/>
      <c r="C32" s="658">
        <f>C33+C46</f>
        <v>0</v>
      </c>
      <c r="D32" s="662"/>
      <c r="E32" s="660">
        <f>E33+E46</f>
        <v>0</v>
      </c>
    </row>
    <row r="33" spans="1:5">
      <c r="A33" s="661" t="s">
        <v>1082</v>
      </c>
      <c r="B33" s="657"/>
      <c r="C33" s="658">
        <f>C34+C40</f>
        <v>0</v>
      </c>
      <c r="D33" s="662"/>
      <c r="E33" s="660">
        <f>E34+E40</f>
        <v>0</v>
      </c>
    </row>
    <row r="34" spans="1:5" ht="28.5">
      <c r="A34" s="663" t="s">
        <v>1083</v>
      </c>
      <c r="B34" s="657" t="s">
        <v>1084</v>
      </c>
      <c r="C34" s="664">
        <f>'表30-5-2'!I15</f>
        <v>0</v>
      </c>
      <c r="D34" s="665"/>
      <c r="E34" s="666">
        <f>SUM(E35:E39)</f>
        <v>0</v>
      </c>
    </row>
    <row r="35" spans="1:5">
      <c r="A35" s="667" t="s">
        <v>1072</v>
      </c>
      <c r="B35" s="657"/>
      <c r="C35" s="658">
        <f>IF(C34&lt;20000000000,C34,0)</f>
        <v>0</v>
      </c>
      <c r="D35" s="662">
        <v>2E-3</v>
      </c>
      <c r="E35" s="660">
        <f>ROUND(C35*D35,0)</f>
        <v>0</v>
      </c>
    </row>
    <row r="36" spans="1:5">
      <c r="A36" s="667" t="s">
        <v>1073</v>
      </c>
      <c r="B36" s="657"/>
      <c r="C36" s="658">
        <f>IF(AND(20000000000&lt;=C34,C34&lt;50000000000),C34,0)</f>
        <v>0</v>
      </c>
      <c r="D36" s="662">
        <v>1.73E-3</v>
      </c>
      <c r="E36" s="660">
        <f>ROUND(C36*D36,0)</f>
        <v>0</v>
      </c>
    </row>
    <row r="37" spans="1:5">
      <c r="A37" s="667" t="s">
        <v>1074</v>
      </c>
      <c r="B37" s="657"/>
      <c r="C37" s="658">
        <f>IF(AND(50000000000&lt;=C34,C34&lt;100000000000),C34,0)</f>
        <v>0</v>
      </c>
      <c r="D37" s="662">
        <v>1.1000000000000001E-3</v>
      </c>
      <c r="E37" s="660">
        <f>ROUND(C37*D37,0)</f>
        <v>0</v>
      </c>
    </row>
    <row r="38" spans="1:5">
      <c r="A38" s="667" t="s">
        <v>1075</v>
      </c>
      <c r="B38" s="657"/>
      <c r="C38" s="658">
        <f>IF(AND(100000000000&lt;=C34,C33&lt;500000000000),C34,0)</f>
        <v>0</v>
      </c>
      <c r="D38" s="662">
        <v>7.6999999999999996E-4</v>
      </c>
      <c r="E38" s="660">
        <f>ROUND(C38*D38,0)</f>
        <v>0</v>
      </c>
    </row>
    <row r="39" spans="1:5">
      <c r="A39" s="667" t="s">
        <v>1076</v>
      </c>
      <c r="B39" s="657"/>
      <c r="C39" s="658">
        <f>IF(C34&gt;=500000000000,C34,0)</f>
        <v>0</v>
      </c>
      <c r="D39" s="662">
        <v>3.5E-4</v>
      </c>
      <c r="E39" s="660">
        <f>ROUND(C39*D39,0)</f>
        <v>0</v>
      </c>
    </row>
    <row r="40" spans="1:5" ht="28.5">
      <c r="A40" s="663" t="s">
        <v>1085</v>
      </c>
      <c r="B40" s="657" t="s">
        <v>1086</v>
      </c>
      <c r="C40" s="664">
        <f>'表30-5-2'!I16</f>
        <v>0</v>
      </c>
      <c r="D40" s="665"/>
      <c r="E40" s="666">
        <f>SUM(E41:E45)</f>
        <v>0</v>
      </c>
    </row>
    <row r="41" spans="1:5">
      <c r="A41" s="667" t="s">
        <v>1087</v>
      </c>
      <c r="B41" s="657"/>
      <c r="C41" s="658">
        <f>IF(C40&lt;20000000000,C40,0)</f>
        <v>0</v>
      </c>
      <c r="D41" s="662">
        <f>D35</f>
        <v>2E-3</v>
      </c>
      <c r="E41" s="660">
        <f>ROUND(C41*D41,0)</f>
        <v>0</v>
      </c>
    </row>
    <row r="42" spans="1:5">
      <c r="A42" s="667" t="s">
        <v>1073</v>
      </c>
      <c r="B42" s="657"/>
      <c r="C42" s="658">
        <f>IF(AND(20000000000&lt;=C40,C40&lt;50000000000),C40,0)</f>
        <v>0</v>
      </c>
      <c r="D42" s="662">
        <f>D36</f>
        <v>1.73E-3</v>
      </c>
      <c r="E42" s="660">
        <f>ROUND(C42*D42,0)</f>
        <v>0</v>
      </c>
    </row>
    <row r="43" spans="1:5">
      <c r="A43" s="667" t="s">
        <v>1074</v>
      </c>
      <c r="B43" s="657"/>
      <c r="C43" s="658">
        <f>IF(AND(50000000000&lt;=C40,C40&lt;100000000000),C40,0)</f>
        <v>0</v>
      </c>
      <c r="D43" s="662">
        <f>D37</f>
        <v>1.1000000000000001E-3</v>
      </c>
      <c r="E43" s="660">
        <f>ROUND(C43*D43,0)</f>
        <v>0</v>
      </c>
    </row>
    <row r="44" spans="1:5">
      <c r="A44" s="667" t="s">
        <v>1075</v>
      </c>
      <c r="B44" s="657"/>
      <c r="C44" s="658">
        <f>IF(AND(100000000000&lt;=C40,C40&lt;500000000000),C40,0)</f>
        <v>0</v>
      </c>
      <c r="D44" s="662">
        <f>D38</f>
        <v>7.6999999999999996E-4</v>
      </c>
      <c r="E44" s="660">
        <f>ROUND(C44*D44,0)</f>
        <v>0</v>
      </c>
    </row>
    <row r="45" spans="1:5">
      <c r="A45" s="667" t="s">
        <v>1076</v>
      </c>
      <c r="B45" s="657"/>
      <c r="C45" s="658">
        <f>IF(C40&gt;=500000000000,C40,0)</f>
        <v>0</v>
      </c>
      <c r="D45" s="662">
        <f>D39</f>
        <v>3.5E-4</v>
      </c>
      <c r="E45" s="660">
        <f>ROUND(C45*D45,0)</f>
        <v>0</v>
      </c>
    </row>
    <row r="46" spans="1:5">
      <c r="A46" s="661" t="s">
        <v>1088</v>
      </c>
      <c r="B46" s="657"/>
      <c r="C46" s="658">
        <f>C47+C53</f>
        <v>0</v>
      </c>
      <c r="D46" s="662"/>
      <c r="E46" s="660">
        <f>E47+E53</f>
        <v>0</v>
      </c>
    </row>
    <row r="47" spans="1:5" ht="28.5">
      <c r="A47" s="663" t="s">
        <v>1089</v>
      </c>
      <c r="B47" s="657" t="s">
        <v>1090</v>
      </c>
      <c r="C47" s="664">
        <f>'表30-5-2'!I18</f>
        <v>0</v>
      </c>
      <c r="D47" s="668"/>
      <c r="E47" s="666">
        <f>SUM(E48:E52)</f>
        <v>0</v>
      </c>
    </row>
    <row r="48" spans="1:5">
      <c r="A48" s="667" t="s">
        <v>1072</v>
      </c>
      <c r="B48" s="657"/>
      <c r="C48" s="658">
        <f>IF(C47&lt;20000000000,C47,0)</f>
        <v>0</v>
      </c>
      <c r="D48" s="662">
        <v>3.0000000000000001E-3</v>
      </c>
      <c r="E48" s="660">
        <f>ROUND(C48*D48,0)</f>
        <v>0</v>
      </c>
    </row>
    <row r="49" spans="1:5">
      <c r="A49" s="667" t="s">
        <v>1073</v>
      </c>
      <c r="B49" s="657"/>
      <c r="C49" s="658">
        <f>IF(AND(20000000000&lt;=C47,C47&lt;50000000000),C47,0)</f>
        <v>0</v>
      </c>
      <c r="D49" s="662">
        <v>2.5999999999999999E-3</v>
      </c>
      <c r="E49" s="660">
        <f>ROUND(C49*D49,0)</f>
        <v>0</v>
      </c>
    </row>
    <row r="50" spans="1:5">
      <c r="A50" s="667" t="s">
        <v>1074</v>
      </c>
      <c r="B50" s="657"/>
      <c r="C50" s="658">
        <f>IF(AND(50000000000&lt;=C47,C47&lt;100000000000),C47,0)</f>
        <v>0</v>
      </c>
      <c r="D50" s="662">
        <v>1.16E-3</v>
      </c>
      <c r="E50" s="660">
        <f>ROUND(C50*D50,0)</f>
        <v>0</v>
      </c>
    </row>
    <row r="51" spans="1:5">
      <c r="A51" s="667" t="s">
        <v>1075</v>
      </c>
      <c r="B51" s="657"/>
      <c r="C51" s="658">
        <f>IF(AND(100000000000&lt;=C47,C47&lt;500000000000),C47,0)</f>
        <v>0</v>
      </c>
      <c r="D51" s="662">
        <v>5.1999999999999995E-4</v>
      </c>
      <c r="E51" s="660">
        <f>ROUND(C51*D51,0)</f>
        <v>0</v>
      </c>
    </row>
    <row r="52" spans="1:5">
      <c r="A52" s="667" t="s">
        <v>1076</v>
      </c>
      <c r="B52" s="657"/>
      <c r="C52" s="658">
        <f>IF(C47&gt;=500000000000,C47,0)</f>
        <v>0</v>
      </c>
      <c r="D52" s="662">
        <v>3.6999999999999999E-4</v>
      </c>
      <c r="E52" s="660">
        <f>ROUND(C52*D52,0)</f>
        <v>0</v>
      </c>
    </row>
    <row r="53" spans="1:5" ht="28.5">
      <c r="A53" s="663" t="s">
        <v>1091</v>
      </c>
      <c r="B53" s="657" t="s">
        <v>1092</v>
      </c>
      <c r="C53" s="664">
        <f>'表30-5-2'!I19</f>
        <v>0</v>
      </c>
      <c r="D53" s="665"/>
      <c r="E53" s="666">
        <f>SUM(E54:E58)</f>
        <v>0</v>
      </c>
    </row>
    <row r="54" spans="1:5">
      <c r="A54" s="667" t="s">
        <v>1072</v>
      </c>
      <c r="B54" s="657"/>
      <c r="C54" s="658">
        <f>IF(C53&lt;20000000000,C53,0)</f>
        <v>0</v>
      </c>
      <c r="D54" s="662">
        <f>D48</f>
        <v>3.0000000000000001E-3</v>
      </c>
      <c r="E54" s="660">
        <f>ROUND(C54*D54,0)</f>
        <v>0</v>
      </c>
    </row>
    <row r="55" spans="1:5">
      <c r="A55" s="667" t="s">
        <v>1093</v>
      </c>
      <c r="B55" s="657"/>
      <c r="C55" s="658">
        <f>IF(AND(20000000000&lt;=C53,C53&lt;50000000000),C53,0)</f>
        <v>0</v>
      </c>
      <c r="D55" s="662">
        <f>D49</f>
        <v>2.5999999999999999E-3</v>
      </c>
      <c r="E55" s="660">
        <f>ROUND(C55*D55,0)</f>
        <v>0</v>
      </c>
    </row>
    <row r="56" spans="1:5">
      <c r="A56" s="667" t="s">
        <v>1094</v>
      </c>
      <c r="B56" s="657"/>
      <c r="C56" s="658">
        <f>IF(AND(50000000000&lt;=C53,C53&lt;100000000000),C53,0)</f>
        <v>0</v>
      </c>
      <c r="D56" s="662">
        <f>D50</f>
        <v>1.16E-3</v>
      </c>
      <c r="E56" s="660">
        <f>ROUND(C56*D56,0)</f>
        <v>0</v>
      </c>
    </row>
    <row r="57" spans="1:5">
      <c r="A57" s="667" t="s">
        <v>1095</v>
      </c>
      <c r="B57" s="657"/>
      <c r="C57" s="658">
        <f>IF(AND(100000000000&lt;=C53,C53&lt;500000000000),C53,0)</f>
        <v>0</v>
      </c>
      <c r="D57" s="662">
        <f>D51</f>
        <v>5.1999999999999995E-4</v>
      </c>
      <c r="E57" s="660">
        <f>ROUND(C57*D57,0)</f>
        <v>0</v>
      </c>
    </row>
    <row r="58" spans="1:5">
      <c r="A58" s="667" t="s">
        <v>1096</v>
      </c>
      <c r="B58" s="657"/>
      <c r="C58" s="658">
        <f>IF(C53&gt;=500000000000,C53,0)</f>
        <v>0</v>
      </c>
      <c r="D58" s="662">
        <f>D52</f>
        <v>3.6999999999999999E-4</v>
      </c>
      <c r="E58" s="660">
        <f>ROUND(C58*D58,0)</f>
        <v>0</v>
      </c>
    </row>
    <row r="59" spans="1:5">
      <c r="A59" s="656" t="s">
        <v>1097</v>
      </c>
      <c r="B59" s="657"/>
      <c r="C59" s="658">
        <f>SUM(C60:C61)</f>
        <v>0</v>
      </c>
      <c r="D59" s="662"/>
      <c r="E59" s="660">
        <f>SUM(E60:E61)</f>
        <v>0</v>
      </c>
    </row>
    <row r="60" spans="1:5" ht="28.5">
      <c r="A60" s="661" t="s">
        <v>1098</v>
      </c>
      <c r="B60" s="657" t="s">
        <v>1099</v>
      </c>
      <c r="C60" s="664">
        <f>'表30-5-2'!H21</f>
        <v>0</v>
      </c>
      <c r="D60" s="665">
        <v>3.8000000000000002E-4</v>
      </c>
      <c r="E60" s="666">
        <f>ROUND(C60*D60,0)</f>
        <v>0</v>
      </c>
    </row>
    <row r="61" spans="1:5" ht="28.5">
      <c r="A61" s="661" t="s">
        <v>1100</v>
      </c>
      <c r="B61" s="657" t="s">
        <v>1101</v>
      </c>
      <c r="C61" s="664">
        <f>'表30-5-2'!H22</f>
        <v>0</v>
      </c>
      <c r="D61" s="665">
        <f>D60</f>
        <v>3.8000000000000002E-4</v>
      </c>
      <c r="E61" s="666">
        <f>ROUND(C61*D61,0)</f>
        <v>0</v>
      </c>
    </row>
    <row r="62" spans="1:5" ht="29.25" thickBot="1">
      <c r="A62" s="669" t="s">
        <v>1102</v>
      </c>
      <c r="B62" s="670" t="s">
        <v>1103</v>
      </c>
      <c r="C62" s="664">
        <f>'表30-5-2'!H23</f>
        <v>0</v>
      </c>
      <c r="D62" s="671">
        <v>7.5000000000000002E-4</v>
      </c>
      <c r="E62" s="666">
        <f>ROUND(C62*D62,0)</f>
        <v>0</v>
      </c>
    </row>
    <row r="63" spans="1:5" ht="18" thickTop="1" thickBot="1">
      <c r="A63" s="672" t="s">
        <v>1104</v>
      </c>
      <c r="B63" s="673"/>
      <c r="C63" s="674">
        <f>C4+C62</f>
        <v>0</v>
      </c>
      <c r="D63" s="675"/>
      <c r="E63" s="676">
        <f>E4+E62</f>
        <v>0</v>
      </c>
    </row>
    <row r="64" spans="1:5">
      <c r="A64" s="3282" t="s">
        <v>1105</v>
      </c>
      <c r="B64" s="3282"/>
    </row>
  </sheetData>
  <mergeCells count="1">
    <mergeCell ref="A64:B64"/>
  </mergeCells>
  <phoneticPr fontId="30" type="noConversion"/>
  <pageMargins left="0.7" right="0.7" top="0.75" bottom="0.75" header="0.3" footer="0.3"/>
  <pageSetup paperSize="9"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heetViews>
  <sheetFormatPr defaultColWidth="9" defaultRowHeight="16.5"/>
  <cols>
    <col min="1" max="1" width="9" style="32"/>
    <col min="2" max="2" width="34.875" style="32" customWidth="1"/>
    <col min="3" max="3" width="11.875" style="32" customWidth="1"/>
    <col min="4" max="4" width="11.625" style="32" customWidth="1"/>
    <col min="5" max="5" width="11.875" style="32" customWidth="1"/>
    <col min="6" max="6" width="11.375" style="32" customWidth="1"/>
    <col min="7" max="7" width="11.125" style="32" customWidth="1"/>
    <col min="8" max="8" width="11.25" style="32" customWidth="1"/>
    <col min="9" max="9" width="13.5" style="32" customWidth="1"/>
    <col min="10" max="16384" width="9" style="32"/>
  </cols>
  <sheetData>
    <row r="1" spans="1:9">
      <c r="A1" s="2186" t="str">
        <f>+封面!A3&amp;" "&amp;封面!A2</f>
        <v xml:space="preserve"> 中央再保險股份有限公司 年度檢查報表</v>
      </c>
    </row>
    <row r="2" spans="1:9">
      <c r="A2" s="219" t="s">
        <v>1106</v>
      </c>
      <c r="I2" s="629" t="s">
        <v>241</v>
      </c>
    </row>
    <row r="3" spans="1:9" ht="28.5">
      <c r="A3" s="3283" t="s">
        <v>227</v>
      </c>
      <c r="B3" s="630" t="s">
        <v>1107</v>
      </c>
      <c r="C3" s="631" t="s">
        <v>1108</v>
      </c>
      <c r="D3" s="631" t="s">
        <v>1109</v>
      </c>
      <c r="E3" s="631" t="s">
        <v>1110</v>
      </c>
      <c r="F3" s="632" t="s">
        <v>1111</v>
      </c>
      <c r="G3" s="632" t="s">
        <v>1112</v>
      </c>
      <c r="H3" s="632" t="s">
        <v>1113</v>
      </c>
      <c r="I3" s="632" t="s">
        <v>1114</v>
      </c>
    </row>
    <row r="4" spans="1:9">
      <c r="A4" s="3284"/>
      <c r="B4" s="633" t="s">
        <v>1115</v>
      </c>
      <c r="C4" s="633" t="s">
        <v>183</v>
      </c>
      <c r="D4" s="633" t="s">
        <v>296</v>
      </c>
      <c r="E4" s="633" t="s">
        <v>1116</v>
      </c>
      <c r="F4" s="633" t="s">
        <v>70</v>
      </c>
      <c r="G4" s="633" t="s">
        <v>71</v>
      </c>
      <c r="H4" s="633" t="s">
        <v>1117</v>
      </c>
      <c r="I4" s="633" t="s">
        <v>1118</v>
      </c>
    </row>
    <row r="5" spans="1:9">
      <c r="A5" s="634">
        <v>1</v>
      </c>
      <c r="B5" s="635" t="s">
        <v>1119</v>
      </c>
      <c r="C5" s="636">
        <f>C6+C13</f>
        <v>0</v>
      </c>
      <c r="D5" s="636">
        <f t="shared" ref="D5:I5" si="0">D6+D13</f>
        <v>0</v>
      </c>
      <c r="E5" s="636">
        <f t="shared" si="0"/>
        <v>0</v>
      </c>
      <c r="F5" s="636">
        <f>F6+F13+F20</f>
        <v>0</v>
      </c>
      <c r="G5" s="636">
        <f>G6+G13+G20</f>
        <v>0</v>
      </c>
      <c r="H5" s="636">
        <f>H6+H13+H20</f>
        <v>0</v>
      </c>
      <c r="I5" s="636">
        <f t="shared" si="0"/>
        <v>0</v>
      </c>
    </row>
    <row r="6" spans="1:9">
      <c r="A6" s="634">
        <v>2</v>
      </c>
      <c r="B6" s="637" t="s">
        <v>1120</v>
      </c>
      <c r="C6" s="636">
        <f>C7+C10</f>
        <v>0</v>
      </c>
      <c r="D6" s="636">
        <f t="shared" ref="D6:I6" si="1">D7+D10</f>
        <v>0</v>
      </c>
      <c r="E6" s="636">
        <f t="shared" si="1"/>
        <v>0</v>
      </c>
      <c r="F6" s="636">
        <f t="shared" si="1"/>
        <v>0</v>
      </c>
      <c r="G6" s="636">
        <f t="shared" si="1"/>
        <v>0</v>
      </c>
      <c r="H6" s="636">
        <f t="shared" si="1"/>
        <v>0</v>
      </c>
      <c r="I6" s="636">
        <f t="shared" si="1"/>
        <v>0</v>
      </c>
    </row>
    <row r="7" spans="1:9">
      <c r="A7" s="634">
        <v>3</v>
      </c>
      <c r="B7" s="638" t="s">
        <v>1121</v>
      </c>
      <c r="C7" s="636">
        <f>C8+C9</f>
        <v>0</v>
      </c>
      <c r="D7" s="636">
        <f t="shared" ref="D7:I7" si="2">D8+D9</f>
        <v>0</v>
      </c>
      <c r="E7" s="636">
        <f t="shared" si="2"/>
        <v>0</v>
      </c>
      <c r="F7" s="636">
        <f t="shared" si="2"/>
        <v>0</v>
      </c>
      <c r="G7" s="636">
        <f t="shared" si="2"/>
        <v>0</v>
      </c>
      <c r="H7" s="636">
        <f t="shared" si="2"/>
        <v>0</v>
      </c>
      <c r="I7" s="636">
        <f t="shared" si="2"/>
        <v>0</v>
      </c>
    </row>
    <row r="8" spans="1:9">
      <c r="A8" s="634">
        <v>4</v>
      </c>
      <c r="B8" s="639" t="s">
        <v>1122</v>
      </c>
      <c r="C8" s="640"/>
      <c r="D8" s="640"/>
      <c r="E8" s="641">
        <f>C8-D8</f>
        <v>0</v>
      </c>
      <c r="F8" s="642"/>
      <c r="G8" s="642"/>
      <c r="H8" s="641">
        <f>F8-G8</f>
        <v>0</v>
      </c>
      <c r="I8" s="636">
        <f>E8-H8</f>
        <v>0</v>
      </c>
    </row>
    <row r="9" spans="1:9">
      <c r="A9" s="634">
        <v>5</v>
      </c>
      <c r="B9" s="639" t="s">
        <v>1123</v>
      </c>
      <c r="C9" s="640"/>
      <c r="D9" s="640"/>
      <c r="E9" s="641">
        <f>C9-D9</f>
        <v>0</v>
      </c>
      <c r="F9" s="642"/>
      <c r="G9" s="642"/>
      <c r="H9" s="641">
        <f>F9-G9</f>
        <v>0</v>
      </c>
      <c r="I9" s="636">
        <f>E9-H9</f>
        <v>0</v>
      </c>
    </row>
    <row r="10" spans="1:9">
      <c r="A10" s="634">
        <v>6</v>
      </c>
      <c r="B10" s="638" t="s">
        <v>1124</v>
      </c>
      <c r="C10" s="636">
        <f t="shared" ref="C10:I10" si="3">C11+C12</f>
        <v>0</v>
      </c>
      <c r="D10" s="636">
        <f t="shared" si="3"/>
        <v>0</v>
      </c>
      <c r="E10" s="636">
        <f t="shared" si="3"/>
        <v>0</v>
      </c>
      <c r="F10" s="636">
        <f t="shared" si="3"/>
        <v>0</v>
      </c>
      <c r="G10" s="636">
        <f t="shared" si="3"/>
        <v>0</v>
      </c>
      <c r="H10" s="636">
        <f t="shared" si="3"/>
        <v>0</v>
      </c>
      <c r="I10" s="636">
        <f t="shared" si="3"/>
        <v>0</v>
      </c>
    </row>
    <row r="11" spans="1:9">
      <c r="A11" s="634">
        <v>7</v>
      </c>
      <c r="B11" s="639" t="s">
        <v>1125</v>
      </c>
      <c r="C11" s="640"/>
      <c r="D11" s="640"/>
      <c r="E11" s="641">
        <f>C11-D11</f>
        <v>0</v>
      </c>
      <c r="F11" s="642"/>
      <c r="G11" s="642"/>
      <c r="H11" s="641">
        <f>F11-G11</f>
        <v>0</v>
      </c>
      <c r="I11" s="636">
        <f>E11-H11</f>
        <v>0</v>
      </c>
    </row>
    <row r="12" spans="1:9">
      <c r="A12" s="634">
        <v>8</v>
      </c>
      <c r="B12" s="639" t="s">
        <v>1126</v>
      </c>
      <c r="C12" s="640"/>
      <c r="D12" s="640"/>
      <c r="E12" s="641">
        <f>C12-D12</f>
        <v>0</v>
      </c>
      <c r="F12" s="642"/>
      <c r="G12" s="642"/>
      <c r="H12" s="641">
        <f>F12-G12</f>
        <v>0</v>
      </c>
      <c r="I12" s="636">
        <f>E12-H12</f>
        <v>0</v>
      </c>
    </row>
    <row r="13" spans="1:9">
      <c r="A13" s="634">
        <v>9</v>
      </c>
      <c r="B13" s="637" t="s">
        <v>1127</v>
      </c>
      <c r="C13" s="636">
        <f>C14+C17</f>
        <v>0</v>
      </c>
      <c r="D13" s="636">
        <f t="shared" ref="D13:I13" si="4">D14+D17</f>
        <v>0</v>
      </c>
      <c r="E13" s="636">
        <f t="shared" si="4"/>
        <v>0</v>
      </c>
      <c r="F13" s="636">
        <f t="shared" si="4"/>
        <v>0</v>
      </c>
      <c r="G13" s="636">
        <f t="shared" si="4"/>
        <v>0</v>
      </c>
      <c r="H13" s="636">
        <f t="shared" si="4"/>
        <v>0</v>
      </c>
      <c r="I13" s="636">
        <f t="shared" si="4"/>
        <v>0</v>
      </c>
    </row>
    <row r="14" spans="1:9">
      <c r="A14" s="634">
        <v>10</v>
      </c>
      <c r="B14" s="638" t="s">
        <v>1128</v>
      </c>
      <c r="C14" s="636">
        <f t="shared" ref="C14:I14" si="5">C15+C16</f>
        <v>0</v>
      </c>
      <c r="D14" s="636">
        <f t="shared" si="5"/>
        <v>0</v>
      </c>
      <c r="E14" s="636">
        <f t="shared" si="5"/>
        <v>0</v>
      </c>
      <c r="F14" s="636">
        <f t="shared" si="5"/>
        <v>0</v>
      </c>
      <c r="G14" s="636">
        <f t="shared" si="5"/>
        <v>0</v>
      </c>
      <c r="H14" s="636">
        <f t="shared" si="5"/>
        <v>0</v>
      </c>
      <c r="I14" s="636">
        <f t="shared" si="5"/>
        <v>0</v>
      </c>
    </row>
    <row r="15" spans="1:9">
      <c r="A15" s="634">
        <v>11</v>
      </c>
      <c r="B15" s="639" t="s">
        <v>1129</v>
      </c>
      <c r="C15" s="640"/>
      <c r="D15" s="640"/>
      <c r="E15" s="641">
        <f>C15-D15</f>
        <v>0</v>
      </c>
      <c r="F15" s="642"/>
      <c r="G15" s="642"/>
      <c r="H15" s="641">
        <f>F15-G15</f>
        <v>0</v>
      </c>
      <c r="I15" s="636">
        <f>E15-H15</f>
        <v>0</v>
      </c>
    </row>
    <row r="16" spans="1:9">
      <c r="A16" s="634">
        <v>12</v>
      </c>
      <c r="B16" s="639" t="s">
        <v>1130</v>
      </c>
      <c r="C16" s="640"/>
      <c r="D16" s="640"/>
      <c r="E16" s="641">
        <f>C16-D16</f>
        <v>0</v>
      </c>
      <c r="F16" s="642"/>
      <c r="G16" s="642"/>
      <c r="H16" s="641">
        <f>F16-G16</f>
        <v>0</v>
      </c>
      <c r="I16" s="636">
        <f>E16-H16</f>
        <v>0</v>
      </c>
    </row>
    <row r="17" spans="1:9">
      <c r="A17" s="634">
        <v>13</v>
      </c>
      <c r="B17" s="638" t="s">
        <v>1131</v>
      </c>
      <c r="C17" s="636">
        <f t="shared" ref="C17:I17" si="6">C18+C19</f>
        <v>0</v>
      </c>
      <c r="D17" s="636">
        <f t="shared" si="6"/>
        <v>0</v>
      </c>
      <c r="E17" s="636">
        <f t="shared" si="6"/>
        <v>0</v>
      </c>
      <c r="F17" s="636">
        <f t="shared" si="6"/>
        <v>0</v>
      </c>
      <c r="G17" s="636">
        <f t="shared" si="6"/>
        <v>0</v>
      </c>
      <c r="H17" s="636">
        <f t="shared" si="6"/>
        <v>0</v>
      </c>
      <c r="I17" s="636">
        <f t="shared" si="6"/>
        <v>0</v>
      </c>
    </row>
    <row r="18" spans="1:9">
      <c r="A18" s="634">
        <v>14</v>
      </c>
      <c r="B18" s="639" t="s">
        <v>1132</v>
      </c>
      <c r="C18" s="640"/>
      <c r="D18" s="640"/>
      <c r="E18" s="641">
        <f>C18-D18</f>
        <v>0</v>
      </c>
      <c r="F18" s="642"/>
      <c r="G18" s="642"/>
      <c r="H18" s="641">
        <f>F18-G18</f>
        <v>0</v>
      </c>
      <c r="I18" s="636">
        <f>E18-H18</f>
        <v>0</v>
      </c>
    </row>
    <row r="19" spans="1:9">
      <c r="A19" s="634">
        <v>15</v>
      </c>
      <c r="B19" s="639" t="s">
        <v>1133</v>
      </c>
      <c r="C19" s="640"/>
      <c r="D19" s="640"/>
      <c r="E19" s="641">
        <f>C19-D19</f>
        <v>0</v>
      </c>
      <c r="F19" s="642"/>
      <c r="G19" s="642"/>
      <c r="H19" s="641">
        <f>F19-G19</f>
        <v>0</v>
      </c>
      <c r="I19" s="636">
        <f>E19-H19</f>
        <v>0</v>
      </c>
    </row>
    <row r="20" spans="1:9">
      <c r="A20" s="634">
        <v>16</v>
      </c>
      <c r="B20" s="637" t="s">
        <v>1134</v>
      </c>
      <c r="C20" s="3285"/>
      <c r="D20" s="3286"/>
      <c r="E20" s="3287"/>
      <c r="F20" s="636">
        <f>F21+F22</f>
        <v>0</v>
      </c>
      <c r="G20" s="636">
        <f>G21+G22</f>
        <v>0</v>
      </c>
      <c r="H20" s="636">
        <f>H21+H22</f>
        <v>0</v>
      </c>
      <c r="I20" s="3294"/>
    </row>
    <row r="21" spans="1:9">
      <c r="A21" s="634">
        <v>17</v>
      </c>
      <c r="B21" s="638" t="s">
        <v>1135</v>
      </c>
      <c r="C21" s="3288"/>
      <c r="D21" s="3289"/>
      <c r="E21" s="3290"/>
      <c r="F21" s="642"/>
      <c r="G21" s="642"/>
      <c r="H21" s="641">
        <f>F21-G21</f>
        <v>0</v>
      </c>
      <c r="I21" s="3295"/>
    </row>
    <row r="22" spans="1:9">
      <c r="A22" s="634">
        <v>18</v>
      </c>
      <c r="B22" s="638" t="s">
        <v>1136</v>
      </c>
      <c r="C22" s="3288"/>
      <c r="D22" s="3289"/>
      <c r="E22" s="3290"/>
      <c r="F22" s="642"/>
      <c r="G22" s="642"/>
      <c r="H22" s="641">
        <f>F22-G22</f>
        <v>0</v>
      </c>
      <c r="I22" s="3295"/>
    </row>
    <row r="23" spans="1:9">
      <c r="A23" s="634">
        <v>19</v>
      </c>
      <c r="B23" s="635" t="s">
        <v>1137</v>
      </c>
      <c r="C23" s="3291"/>
      <c r="D23" s="3292"/>
      <c r="E23" s="3293"/>
      <c r="F23" s="642"/>
      <c r="G23" s="642"/>
      <c r="H23" s="641">
        <f>F23-G23</f>
        <v>0</v>
      </c>
      <c r="I23" s="3296"/>
    </row>
    <row r="24" spans="1:9">
      <c r="A24" s="634">
        <v>20</v>
      </c>
      <c r="B24" s="643" t="s">
        <v>1138</v>
      </c>
      <c r="C24" s="636">
        <f>C5</f>
        <v>0</v>
      </c>
      <c r="D24" s="636">
        <f>D5</f>
        <v>0</v>
      </c>
      <c r="E24" s="636">
        <f>E5</f>
        <v>0</v>
      </c>
      <c r="F24" s="636">
        <f>F5+F23</f>
        <v>0</v>
      </c>
      <c r="G24" s="636">
        <f>G5+G23</f>
        <v>0</v>
      </c>
      <c r="H24" s="636">
        <f>H5+H23</f>
        <v>0</v>
      </c>
      <c r="I24" s="636">
        <f>I5</f>
        <v>0</v>
      </c>
    </row>
    <row r="25" spans="1:9">
      <c r="A25" s="644" t="s">
        <v>1139</v>
      </c>
      <c r="B25" s="218"/>
      <c r="C25" s="218"/>
      <c r="D25" s="218"/>
      <c r="E25" s="218"/>
      <c r="F25" s="218"/>
      <c r="G25" s="218"/>
      <c r="H25" s="218"/>
      <c r="I25" s="645"/>
    </row>
  </sheetData>
  <mergeCells count="3">
    <mergeCell ref="A3:A4"/>
    <mergeCell ref="C20:E23"/>
    <mergeCell ref="I20:I23"/>
  </mergeCells>
  <phoneticPr fontId="30"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tabColor rgb="FFFFFF00"/>
    <pageSetUpPr fitToPage="1"/>
  </sheetPr>
  <dimension ref="A1:J33"/>
  <sheetViews>
    <sheetView topLeftCell="A13" zoomScaleNormal="100" workbookViewId="0">
      <selection activeCell="A33" sqref="A33:J33"/>
    </sheetView>
  </sheetViews>
  <sheetFormatPr defaultRowHeight="15"/>
  <cols>
    <col min="1" max="1" width="34" style="31" customWidth="1"/>
    <col min="2" max="7" width="25.625" style="31" customWidth="1"/>
    <col min="8" max="9" width="9" style="31"/>
    <col min="10" max="10" width="17.5" style="31" customWidth="1"/>
    <col min="11" max="257" width="9" style="31"/>
    <col min="258" max="258" width="34" style="31" customWidth="1"/>
    <col min="259" max="263" width="25.625" style="31" customWidth="1"/>
    <col min="264" max="513" width="9" style="31"/>
    <col min="514" max="514" width="34" style="31" customWidth="1"/>
    <col min="515" max="519" width="25.625" style="31" customWidth="1"/>
    <col min="520" max="769" width="9" style="31"/>
    <col min="770" max="770" width="34" style="31" customWidth="1"/>
    <col min="771" max="775" width="25.625" style="31" customWidth="1"/>
    <col min="776" max="1025" width="9" style="31"/>
    <col min="1026" max="1026" width="34" style="31" customWidth="1"/>
    <col min="1027" max="1031" width="25.625" style="31" customWidth="1"/>
    <col min="1032" max="1281" width="9" style="31"/>
    <col min="1282" max="1282" width="34" style="31" customWidth="1"/>
    <col min="1283" max="1287" width="25.625" style="31" customWidth="1"/>
    <col min="1288" max="1537" width="9" style="31"/>
    <col min="1538" max="1538" width="34" style="31" customWidth="1"/>
    <col min="1539" max="1543" width="25.625" style="31" customWidth="1"/>
    <col min="1544" max="1793" width="9" style="31"/>
    <col min="1794" max="1794" width="34" style="31" customWidth="1"/>
    <col min="1795" max="1799" width="25.625" style="31" customWidth="1"/>
    <col min="1800" max="2049" width="9" style="31"/>
    <col min="2050" max="2050" width="34" style="31" customWidth="1"/>
    <col min="2051" max="2055" width="25.625" style="31" customWidth="1"/>
    <col min="2056" max="2305" width="9" style="31"/>
    <col min="2306" max="2306" width="34" style="31" customWidth="1"/>
    <col min="2307" max="2311" width="25.625" style="31" customWidth="1"/>
    <col min="2312" max="2561" width="9" style="31"/>
    <col min="2562" max="2562" width="34" style="31" customWidth="1"/>
    <col min="2563" max="2567" width="25.625" style="31" customWidth="1"/>
    <col min="2568" max="2817" width="9" style="31"/>
    <col min="2818" max="2818" width="34" style="31" customWidth="1"/>
    <col min="2819" max="2823" width="25.625" style="31" customWidth="1"/>
    <col min="2824" max="3073" width="9" style="31"/>
    <col min="3074" max="3074" width="34" style="31" customWidth="1"/>
    <col min="3075" max="3079" width="25.625" style="31" customWidth="1"/>
    <col min="3080" max="3329" width="9" style="31"/>
    <col min="3330" max="3330" width="34" style="31" customWidth="1"/>
    <col min="3331" max="3335" width="25.625" style="31" customWidth="1"/>
    <col min="3336" max="3585" width="9" style="31"/>
    <col min="3586" max="3586" width="34" style="31" customWidth="1"/>
    <col min="3587" max="3591" width="25.625" style="31" customWidth="1"/>
    <col min="3592" max="3841" width="9" style="31"/>
    <col min="3842" max="3842" width="34" style="31" customWidth="1"/>
    <col min="3843" max="3847" width="25.625" style="31" customWidth="1"/>
    <col min="3848" max="4097" width="9" style="31"/>
    <col min="4098" max="4098" width="34" style="31" customWidth="1"/>
    <col min="4099" max="4103" width="25.625" style="31" customWidth="1"/>
    <col min="4104" max="4353" width="9" style="31"/>
    <col min="4354" max="4354" width="34" style="31" customWidth="1"/>
    <col min="4355" max="4359" width="25.625" style="31" customWidth="1"/>
    <col min="4360" max="4609" width="9" style="31"/>
    <col min="4610" max="4610" width="34" style="31" customWidth="1"/>
    <col min="4611" max="4615" width="25.625" style="31" customWidth="1"/>
    <col min="4616" max="4865" width="9" style="31"/>
    <col min="4866" max="4866" width="34" style="31" customWidth="1"/>
    <col min="4867" max="4871" width="25.625" style="31" customWidth="1"/>
    <col min="4872" max="5121" width="9" style="31"/>
    <col min="5122" max="5122" width="34" style="31" customWidth="1"/>
    <col min="5123" max="5127" width="25.625" style="31" customWidth="1"/>
    <col min="5128" max="5377" width="9" style="31"/>
    <col min="5378" max="5378" width="34" style="31" customWidth="1"/>
    <col min="5379" max="5383" width="25.625" style="31" customWidth="1"/>
    <col min="5384" max="5633" width="9" style="31"/>
    <col min="5634" max="5634" width="34" style="31" customWidth="1"/>
    <col min="5635" max="5639" width="25.625" style="31" customWidth="1"/>
    <col min="5640" max="5889" width="9" style="31"/>
    <col min="5890" max="5890" width="34" style="31" customWidth="1"/>
    <col min="5891" max="5895" width="25.625" style="31" customWidth="1"/>
    <col min="5896" max="6145" width="9" style="31"/>
    <col min="6146" max="6146" width="34" style="31" customWidth="1"/>
    <col min="6147" max="6151" width="25.625" style="31" customWidth="1"/>
    <col min="6152" max="6401" width="9" style="31"/>
    <col min="6402" max="6402" width="34" style="31" customWidth="1"/>
    <col min="6403" max="6407" width="25.625" style="31" customWidth="1"/>
    <col min="6408" max="6657" width="9" style="31"/>
    <col min="6658" max="6658" width="34" style="31" customWidth="1"/>
    <col min="6659" max="6663" width="25.625" style="31" customWidth="1"/>
    <col min="6664" max="6913" width="9" style="31"/>
    <col min="6914" max="6914" width="34" style="31" customWidth="1"/>
    <col min="6915" max="6919" width="25.625" style="31" customWidth="1"/>
    <col min="6920" max="7169" width="9" style="31"/>
    <col min="7170" max="7170" width="34" style="31" customWidth="1"/>
    <col min="7171" max="7175" width="25.625" style="31" customWidth="1"/>
    <col min="7176" max="7425" width="9" style="31"/>
    <col min="7426" max="7426" width="34" style="31" customWidth="1"/>
    <col min="7427" max="7431" width="25.625" style="31" customWidth="1"/>
    <col min="7432" max="7681" width="9" style="31"/>
    <col min="7682" max="7682" width="34" style="31" customWidth="1"/>
    <col min="7683" max="7687" width="25.625" style="31" customWidth="1"/>
    <col min="7688" max="7937" width="9" style="31"/>
    <col min="7938" max="7938" width="34" style="31" customWidth="1"/>
    <col min="7939" max="7943" width="25.625" style="31" customWidth="1"/>
    <col min="7944" max="8193" width="9" style="31"/>
    <col min="8194" max="8194" width="34" style="31" customWidth="1"/>
    <col min="8195" max="8199" width="25.625" style="31" customWidth="1"/>
    <col min="8200" max="8449" width="9" style="31"/>
    <col min="8450" max="8450" width="34" style="31" customWidth="1"/>
    <col min="8451" max="8455" width="25.625" style="31" customWidth="1"/>
    <col min="8456" max="8705" width="9" style="31"/>
    <col min="8706" max="8706" width="34" style="31" customWidth="1"/>
    <col min="8707" max="8711" width="25.625" style="31" customWidth="1"/>
    <col min="8712" max="8961" width="9" style="31"/>
    <col min="8962" max="8962" width="34" style="31" customWidth="1"/>
    <col min="8963" max="8967" width="25.625" style="31" customWidth="1"/>
    <col min="8968" max="9217" width="9" style="31"/>
    <col min="9218" max="9218" width="34" style="31" customWidth="1"/>
    <col min="9219" max="9223" width="25.625" style="31" customWidth="1"/>
    <col min="9224" max="9473" width="9" style="31"/>
    <col min="9474" max="9474" width="34" style="31" customWidth="1"/>
    <col min="9475" max="9479" width="25.625" style="31" customWidth="1"/>
    <col min="9480" max="9729" width="9" style="31"/>
    <col min="9730" max="9730" width="34" style="31" customWidth="1"/>
    <col min="9731" max="9735" width="25.625" style="31" customWidth="1"/>
    <col min="9736" max="9985" width="9" style="31"/>
    <col min="9986" max="9986" width="34" style="31" customWidth="1"/>
    <col min="9987" max="9991" width="25.625" style="31" customWidth="1"/>
    <col min="9992" max="10241" width="9" style="31"/>
    <col min="10242" max="10242" width="34" style="31" customWidth="1"/>
    <col min="10243" max="10247" width="25.625" style="31" customWidth="1"/>
    <col min="10248" max="10497" width="9" style="31"/>
    <col min="10498" max="10498" width="34" style="31" customWidth="1"/>
    <col min="10499" max="10503" width="25.625" style="31" customWidth="1"/>
    <col min="10504" max="10753" width="9" style="31"/>
    <col min="10754" max="10754" width="34" style="31" customWidth="1"/>
    <col min="10755" max="10759" width="25.625" style="31" customWidth="1"/>
    <col min="10760" max="11009" width="9" style="31"/>
    <col min="11010" max="11010" width="34" style="31" customWidth="1"/>
    <col min="11011" max="11015" width="25.625" style="31" customWidth="1"/>
    <col min="11016" max="11265" width="9" style="31"/>
    <col min="11266" max="11266" width="34" style="31" customWidth="1"/>
    <col min="11267" max="11271" width="25.625" style="31" customWidth="1"/>
    <col min="11272" max="11521" width="9" style="31"/>
    <col min="11522" max="11522" width="34" style="31" customWidth="1"/>
    <col min="11523" max="11527" width="25.625" style="31" customWidth="1"/>
    <col min="11528" max="11777" width="9" style="31"/>
    <col min="11778" max="11778" width="34" style="31" customWidth="1"/>
    <col min="11779" max="11783" width="25.625" style="31" customWidth="1"/>
    <col min="11784" max="12033" width="9" style="31"/>
    <col min="12034" max="12034" width="34" style="31" customWidth="1"/>
    <col min="12035" max="12039" width="25.625" style="31" customWidth="1"/>
    <col min="12040" max="12289" width="9" style="31"/>
    <col min="12290" max="12290" width="34" style="31" customWidth="1"/>
    <col min="12291" max="12295" width="25.625" style="31" customWidth="1"/>
    <col min="12296" max="12545" width="9" style="31"/>
    <col min="12546" max="12546" width="34" style="31" customWidth="1"/>
    <col min="12547" max="12551" width="25.625" style="31" customWidth="1"/>
    <col min="12552" max="12801" width="9" style="31"/>
    <col min="12802" max="12802" width="34" style="31" customWidth="1"/>
    <col min="12803" max="12807" width="25.625" style="31" customWidth="1"/>
    <col min="12808" max="13057" width="9" style="31"/>
    <col min="13058" max="13058" width="34" style="31" customWidth="1"/>
    <col min="13059" max="13063" width="25.625" style="31" customWidth="1"/>
    <col min="13064" max="13313" width="9" style="31"/>
    <col min="13314" max="13314" width="34" style="31" customWidth="1"/>
    <col min="13315" max="13319" width="25.625" style="31" customWidth="1"/>
    <col min="13320" max="13569" width="9" style="31"/>
    <col min="13570" max="13570" width="34" style="31" customWidth="1"/>
    <col min="13571" max="13575" width="25.625" style="31" customWidth="1"/>
    <col min="13576" max="13825" width="9" style="31"/>
    <col min="13826" max="13826" width="34" style="31" customWidth="1"/>
    <col min="13827" max="13831" width="25.625" style="31" customWidth="1"/>
    <col min="13832" max="14081" width="9" style="31"/>
    <col min="14082" max="14082" width="34" style="31" customWidth="1"/>
    <col min="14083" max="14087" width="25.625" style="31" customWidth="1"/>
    <col min="14088" max="14337" width="9" style="31"/>
    <col min="14338" max="14338" width="34" style="31" customWidth="1"/>
    <col min="14339" max="14343" width="25.625" style="31" customWidth="1"/>
    <col min="14344" max="14593" width="9" style="31"/>
    <col min="14594" max="14594" width="34" style="31" customWidth="1"/>
    <col min="14595" max="14599" width="25.625" style="31" customWidth="1"/>
    <col min="14600" max="14849" width="9" style="31"/>
    <col min="14850" max="14850" width="34" style="31" customWidth="1"/>
    <col min="14851" max="14855" width="25.625" style="31" customWidth="1"/>
    <col min="14856" max="15105" width="9" style="31"/>
    <col min="15106" max="15106" width="34" style="31" customWidth="1"/>
    <col min="15107" max="15111" width="25.625" style="31" customWidth="1"/>
    <col min="15112" max="15361" width="9" style="31"/>
    <col min="15362" max="15362" width="34" style="31" customWidth="1"/>
    <col min="15363" max="15367" width="25.625" style="31" customWidth="1"/>
    <col min="15368" max="15617" width="9" style="31"/>
    <col min="15618" max="15618" width="34" style="31" customWidth="1"/>
    <col min="15619" max="15623" width="25.625" style="31" customWidth="1"/>
    <col min="15624" max="15873" width="9" style="31"/>
    <col min="15874" max="15874" width="34" style="31" customWidth="1"/>
    <col min="15875" max="15879" width="25.625" style="31" customWidth="1"/>
    <col min="15880" max="16129" width="9" style="31"/>
    <col min="16130" max="16130" width="34" style="31" customWidth="1"/>
    <col min="16131" max="16135" width="25.625" style="31" customWidth="1"/>
    <col min="16136" max="16384" width="9" style="31"/>
  </cols>
  <sheetData>
    <row r="1" spans="1:7" ht="16.5">
      <c r="A1" s="2186" t="str">
        <f>+封面!A3&amp;" "&amp;封面!A2</f>
        <v xml:space="preserve"> 中央再保險股份有限公司 年度檢查報表</v>
      </c>
    </row>
    <row r="2" spans="1:7" ht="19.5">
      <c r="A2" s="1978" t="s">
        <v>3774</v>
      </c>
      <c r="B2" s="584"/>
      <c r="C2" s="584"/>
      <c r="D2" s="584"/>
      <c r="E2" s="584"/>
    </row>
    <row r="3" spans="1:7" ht="16.5">
      <c r="A3" s="1986" t="s">
        <v>2572</v>
      </c>
      <c r="B3" s="584"/>
      <c r="C3" s="584"/>
      <c r="D3" s="584"/>
      <c r="E3" s="584"/>
    </row>
    <row r="4" spans="1:7" ht="16.5">
      <c r="A4" s="583" t="s">
        <v>3775</v>
      </c>
      <c r="B4" s="3297" t="s">
        <v>4990</v>
      </c>
      <c r="C4" s="3297"/>
      <c r="D4" s="584"/>
      <c r="E4" s="584"/>
    </row>
    <row r="5" spans="1:7" ht="15.75" thickBot="1">
      <c r="A5" s="583"/>
      <c r="B5" s="584"/>
      <c r="C5" s="584"/>
      <c r="D5" s="584"/>
      <c r="E5" s="584"/>
    </row>
    <row r="6" spans="1:7" s="588" customFormat="1" ht="16.5">
      <c r="A6" s="3298" t="s">
        <v>3776</v>
      </c>
      <c r="B6" s="585" t="s">
        <v>3777</v>
      </c>
      <c r="C6" s="585" t="s">
        <v>3778</v>
      </c>
      <c r="D6" s="586" t="s">
        <v>3779</v>
      </c>
      <c r="E6" s="587"/>
    </row>
    <row r="7" spans="1:7" s="588" customFormat="1" ht="15.75" customHeight="1" thickBot="1">
      <c r="A7" s="3299"/>
      <c r="B7" s="589" t="s">
        <v>2566</v>
      </c>
      <c r="C7" s="590" t="s">
        <v>2567</v>
      </c>
      <c r="D7" s="591" t="s">
        <v>2568</v>
      </c>
      <c r="E7" s="592"/>
    </row>
    <row r="8" spans="1:7" ht="17.25" thickTop="1">
      <c r="A8" s="593" t="s">
        <v>3780</v>
      </c>
      <c r="B8" s="594">
        <f>F21</f>
        <v>0</v>
      </c>
      <c r="C8" s="1974">
        <v>1</v>
      </c>
      <c r="D8" s="595">
        <f>B8*C8</f>
        <v>0</v>
      </c>
      <c r="E8" s="596"/>
    </row>
    <row r="9" spans="1:7" ht="16.5">
      <c r="A9" s="597" t="s">
        <v>3781</v>
      </c>
      <c r="B9" s="598">
        <f>B21-F21-G21</f>
        <v>0</v>
      </c>
      <c r="C9" s="2044">
        <v>1.7999999999999999E-2</v>
      </c>
      <c r="D9" s="599">
        <f>B9*C9</f>
        <v>0</v>
      </c>
      <c r="E9" s="596"/>
    </row>
    <row r="10" spans="1:7" s="600" customFormat="1" ht="16.5">
      <c r="A10" s="593" t="s">
        <v>3782</v>
      </c>
      <c r="B10" s="594">
        <f>F26</f>
        <v>0</v>
      </c>
      <c r="C10" s="1974">
        <v>1</v>
      </c>
      <c r="D10" s="595">
        <f>B10*C10</f>
        <v>0</v>
      </c>
      <c r="E10" s="596"/>
    </row>
    <row r="11" spans="1:7" s="600" customFormat="1" ht="17.25" thickBot="1">
      <c r="A11" s="1966" t="s">
        <v>3783</v>
      </c>
      <c r="B11" s="1967">
        <f>B26-F26-G26</f>
        <v>0</v>
      </c>
      <c r="C11" s="2045">
        <v>1.7999999999999999E-2</v>
      </c>
      <c r="D11" s="1968">
        <f>B11*C11</f>
        <v>0</v>
      </c>
      <c r="E11" s="596"/>
    </row>
    <row r="12" spans="1:7" ht="19.5" thickTop="1">
      <c r="A12" s="1969" t="s">
        <v>3784</v>
      </c>
      <c r="B12" s="2464">
        <f>SQRT(B8^2+B10^2)</f>
        <v>0</v>
      </c>
      <c r="C12" s="1970"/>
      <c r="D12" s="2466">
        <f>SQRT(D8^2+D10^2)</f>
        <v>0</v>
      </c>
      <c r="E12" s="601"/>
    </row>
    <row r="13" spans="1:7" ht="17.25" thickBot="1">
      <c r="A13" s="2046" t="s">
        <v>4984</v>
      </c>
      <c r="B13" s="2465">
        <f>SQRT(B9^2+B11^2)</f>
        <v>0</v>
      </c>
      <c r="C13" s="1971"/>
      <c r="D13" s="2467">
        <f>SQRT(D9^2+D11^2)</f>
        <v>0</v>
      </c>
      <c r="E13" s="601"/>
    </row>
    <row r="14" spans="1:7" ht="15.75" thickBot="1"/>
    <row r="15" spans="1:7" ht="49.9" customHeight="1">
      <c r="A15" s="3298" t="s">
        <v>3776</v>
      </c>
      <c r="B15" s="602" t="s">
        <v>3785</v>
      </c>
      <c r="C15" s="602" t="s">
        <v>3786</v>
      </c>
      <c r="D15" s="603" t="s">
        <v>3787</v>
      </c>
      <c r="E15" s="603" t="s">
        <v>3788</v>
      </c>
      <c r="F15" s="602" t="s">
        <v>3789</v>
      </c>
      <c r="G15" s="604" t="s">
        <v>3790</v>
      </c>
    </row>
    <row r="16" spans="1:7" ht="15.75">
      <c r="A16" s="3300"/>
      <c r="B16" s="605" t="s">
        <v>297</v>
      </c>
      <c r="C16" s="605" t="s">
        <v>125</v>
      </c>
      <c r="D16" s="605" t="s">
        <v>2569</v>
      </c>
      <c r="E16" s="606" t="s">
        <v>2565</v>
      </c>
      <c r="F16" s="607" t="s">
        <v>2570</v>
      </c>
      <c r="G16" s="608" t="s">
        <v>2571</v>
      </c>
    </row>
    <row r="17" spans="1:7" ht="16.5">
      <c r="A17" s="609" t="s">
        <v>3791</v>
      </c>
      <c r="B17" s="610"/>
      <c r="C17" s="611"/>
      <c r="D17" s="611"/>
      <c r="E17" s="612"/>
      <c r="F17" s="613"/>
      <c r="G17" s="614"/>
    </row>
    <row r="18" spans="1:7" ht="16.5">
      <c r="A18" s="615" t="s">
        <v>3792</v>
      </c>
      <c r="B18" s="616">
        <f>'表30-5-3-2'!J11+'表30-5-3-2'!F31</f>
        <v>0</v>
      </c>
      <c r="C18" s="616">
        <f>'表30-5-3-2'!J22+'表30-5-3-2'!F36</f>
        <v>0</v>
      </c>
      <c r="D18" s="616">
        <f>'表30-5-3-1'!C30</f>
        <v>0</v>
      </c>
      <c r="E18" s="2461"/>
      <c r="F18" s="617">
        <f>C18-D18+E18</f>
        <v>0</v>
      </c>
      <c r="G18" s="618"/>
    </row>
    <row r="19" spans="1:7" ht="16.5">
      <c r="A19" s="615" t="s">
        <v>3793</v>
      </c>
      <c r="B19" s="616">
        <f>'表30-5-3-2'!K11+'表30-5-3-2'!G31</f>
        <v>0</v>
      </c>
      <c r="C19" s="619">
        <f>'表30-5-3-2'!K22+'表30-5-3-2'!G36</f>
        <v>0</v>
      </c>
      <c r="D19" s="619">
        <f>'表30-5-3-1'!C31</f>
        <v>0</v>
      </c>
      <c r="E19" s="2462"/>
      <c r="F19" s="617">
        <f>C19-D19+E19</f>
        <v>0</v>
      </c>
      <c r="G19" s="618"/>
    </row>
    <row r="20" spans="1:7" ht="16.5">
      <c r="A20" s="615" t="s">
        <v>3794</v>
      </c>
      <c r="B20" s="616">
        <f>'表30-5-3-2'!L11+'表30-5-3-2'!H31</f>
        <v>0</v>
      </c>
      <c r="C20" s="616">
        <f>'表30-5-3-2'!L22+'表30-5-3-2'!H36</f>
        <v>0</v>
      </c>
      <c r="D20" s="616">
        <f>'表30-5-3-1'!C32</f>
        <v>0</v>
      </c>
      <c r="E20" s="2461"/>
      <c r="F20" s="617">
        <f>C20-D20+E20</f>
        <v>0</v>
      </c>
      <c r="G20" s="618"/>
    </row>
    <row r="21" spans="1:7" ht="16.5">
      <c r="A21" s="615" t="s">
        <v>3795</v>
      </c>
      <c r="B21" s="616">
        <f>'表30-5-3-2'!M11+'表30-5-3-2'!I31</f>
        <v>0</v>
      </c>
      <c r="C21" s="619">
        <f>'表30-5-3-2'!M22+'表30-5-3-2'!I36</f>
        <v>0</v>
      </c>
      <c r="D21" s="619">
        <f>'表30-5-3-1'!C33</f>
        <v>0</v>
      </c>
      <c r="E21" s="2462"/>
      <c r="F21" s="617">
        <f>C21-D21+E21</f>
        <v>0</v>
      </c>
      <c r="G21" s="618"/>
    </row>
    <row r="22" spans="1:7" ht="16.5">
      <c r="A22" s="620" t="s">
        <v>3796</v>
      </c>
      <c r="B22" s="621"/>
      <c r="C22" s="622"/>
      <c r="D22" s="622"/>
      <c r="E22" s="623"/>
      <c r="F22" s="622"/>
      <c r="G22" s="624"/>
    </row>
    <row r="23" spans="1:7" ht="16.5">
      <c r="A23" s="615" t="s">
        <v>3792</v>
      </c>
      <c r="B23" s="616">
        <f>'表30-5-3-3'!J11+'表30-5-3-3'!F31</f>
        <v>0</v>
      </c>
      <c r="C23" s="619">
        <f>'表30-5-3-3'!J22+'表30-5-3-3'!F36</f>
        <v>0</v>
      </c>
      <c r="D23" s="619">
        <f>'表30-5-3-1'!C36</f>
        <v>0</v>
      </c>
      <c r="E23" s="2462"/>
      <c r="F23" s="617">
        <f>C23-D23+E23</f>
        <v>0</v>
      </c>
      <c r="G23" s="618"/>
    </row>
    <row r="24" spans="1:7" ht="16.5">
      <c r="A24" s="615" t="s">
        <v>3793</v>
      </c>
      <c r="B24" s="616">
        <f>'表30-5-3-3'!K11+'表30-5-3-3'!G31</f>
        <v>0</v>
      </c>
      <c r="C24" s="616">
        <f>'表30-5-3-3'!K22+'表30-5-3-3'!G36</f>
        <v>0</v>
      </c>
      <c r="D24" s="616">
        <f>'表30-5-3-1'!C37</f>
        <v>0</v>
      </c>
      <c r="E24" s="2461"/>
      <c r="F24" s="617">
        <f>C24-D24+E24</f>
        <v>0</v>
      </c>
      <c r="G24" s="618"/>
    </row>
    <row r="25" spans="1:7" ht="16.5">
      <c r="A25" s="615" t="s">
        <v>3794</v>
      </c>
      <c r="B25" s="616">
        <f>'表30-5-3-3'!L11+'表30-5-3-3'!H31</f>
        <v>0</v>
      </c>
      <c r="C25" s="619">
        <f>'表30-5-3-3'!L22+'表30-5-3-3'!H36</f>
        <v>0</v>
      </c>
      <c r="D25" s="619">
        <f>'表30-5-3-1'!C38</f>
        <v>0</v>
      </c>
      <c r="E25" s="2462"/>
      <c r="F25" s="617">
        <f>C25-D25+E25</f>
        <v>0</v>
      </c>
      <c r="G25" s="618"/>
    </row>
    <row r="26" spans="1:7" ht="17.25" thickBot="1">
      <c r="A26" s="625" t="s">
        <v>3795</v>
      </c>
      <c r="B26" s="626">
        <f>'表30-5-3-3'!M11+'表30-5-3-3'!I31</f>
        <v>0</v>
      </c>
      <c r="C26" s="626">
        <f>'表30-5-3-3'!M22+'表30-5-3-3'!I36</f>
        <v>0</v>
      </c>
      <c r="D26" s="626">
        <f>'表30-5-3-1'!C39</f>
        <v>0</v>
      </c>
      <c r="E26" s="2463"/>
      <c r="F26" s="627">
        <f>C26-D26+E26</f>
        <v>0</v>
      </c>
      <c r="G26" s="628"/>
    </row>
    <row r="28" spans="1:7" ht="16.5">
      <c r="A28" s="31" t="s">
        <v>3797</v>
      </c>
    </row>
    <row r="29" spans="1:7" ht="16.5">
      <c r="A29" s="31" t="s">
        <v>3798</v>
      </c>
    </row>
    <row r="30" spans="1:7" ht="16.5">
      <c r="A30" s="31" t="s">
        <v>3799</v>
      </c>
    </row>
    <row r="31" spans="1:7" ht="16.5">
      <c r="A31" s="31" t="s">
        <v>3800</v>
      </c>
    </row>
    <row r="32" spans="1:7" ht="16.5">
      <c r="A32" s="31" t="s">
        <v>3801</v>
      </c>
    </row>
    <row r="33" spans="1:10" ht="15" customHeight="1">
      <c r="A33" s="3301" t="s">
        <v>3802</v>
      </c>
      <c r="B33" s="3301"/>
      <c r="C33" s="3301"/>
      <c r="D33" s="3301"/>
      <c r="E33" s="3301"/>
      <c r="F33" s="3301"/>
      <c r="G33" s="3301"/>
      <c r="H33" s="3301"/>
      <c r="I33" s="3301"/>
      <c r="J33" s="3301"/>
    </row>
  </sheetData>
  <mergeCells count="4">
    <mergeCell ref="B4:C4"/>
    <mergeCell ref="A6:A7"/>
    <mergeCell ref="A15:A16"/>
    <mergeCell ref="A33:J33"/>
  </mergeCells>
  <phoneticPr fontId="30" type="noConversion"/>
  <dataValidations count="1">
    <dataValidation type="decimal" allowBlank="1" showInputMessage="1" showErrorMessage="1" errorTitle="錯誤" error="輸入資料格式錯誤!!" sqref="B17:B26 IY17:IY26 SU17:SU26 ACQ17:ACQ26 AMM17:AMM26 AWI17:AWI26 BGE17:BGE26 BQA17:BQA26 BZW17:BZW26 CJS17:CJS26 CTO17:CTO26 DDK17:DDK26 DNG17:DNG26 DXC17:DXC26 EGY17:EGY26 EQU17:EQU26 FAQ17:FAQ26 FKM17:FKM26 FUI17:FUI26 GEE17:GEE26 GOA17:GOA26 GXW17:GXW26 HHS17:HHS26 HRO17:HRO26 IBK17:IBK26 ILG17:ILG26 IVC17:IVC26 JEY17:JEY26 JOU17:JOU26 JYQ17:JYQ26 KIM17:KIM26 KSI17:KSI26 LCE17:LCE26 LMA17:LMA26 LVW17:LVW26 MFS17:MFS26 MPO17:MPO26 MZK17:MZK26 NJG17:NJG26 NTC17:NTC26 OCY17:OCY26 OMU17:OMU26 OWQ17:OWQ26 PGM17:PGM26 PQI17:PQI26 QAE17:QAE26 QKA17:QKA26 QTW17:QTW26 RDS17:RDS26 RNO17:RNO26 RXK17:RXK26 SHG17:SHG26 SRC17:SRC26 TAY17:TAY26 TKU17:TKU26 TUQ17:TUQ26 UEM17:UEM26 UOI17:UOI26 UYE17:UYE26 VIA17:VIA26 VRW17:VRW26 WBS17:WBS26 WLO17:WLO26 WVK17:WVK26 B65553:B65562 IY65553:IY65562 SU65553:SU65562 ACQ65553:ACQ65562 AMM65553:AMM65562 AWI65553:AWI65562 BGE65553:BGE65562 BQA65553:BQA65562 BZW65553:BZW65562 CJS65553:CJS65562 CTO65553:CTO65562 DDK65553:DDK65562 DNG65553:DNG65562 DXC65553:DXC65562 EGY65553:EGY65562 EQU65553:EQU65562 FAQ65553:FAQ65562 FKM65553:FKM65562 FUI65553:FUI65562 GEE65553:GEE65562 GOA65553:GOA65562 GXW65553:GXW65562 HHS65553:HHS65562 HRO65553:HRO65562 IBK65553:IBK65562 ILG65553:ILG65562 IVC65553:IVC65562 JEY65553:JEY65562 JOU65553:JOU65562 JYQ65553:JYQ65562 KIM65553:KIM65562 KSI65553:KSI65562 LCE65553:LCE65562 LMA65553:LMA65562 LVW65553:LVW65562 MFS65553:MFS65562 MPO65553:MPO65562 MZK65553:MZK65562 NJG65553:NJG65562 NTC65553:NTC65562 OCY65553:OCY65562 OMU65553:OMU65562 OWQ65553:OWQ65562 PGM65553:PGM65562 PQI65553:PQI65562 QAE65553:QAE65562 QKA65553:QKA65562 QTW65553:QTW65562 RDS65553:RDS65562 RNO65553:RNO65562 RXK65553:RXK65562 SHG65553:SHG65562 SRC65553:SRC65562 TAY65553:TAY65562 TKU65553:TKU65562 TUQ65553:TUQ65562 UEM65553:UEM65562 UOI65553:UOI65562 UYE65553:UYE65562 VIA65553:VIA65562 VRW65553:VRW65562 WBS65553:WBS65562 WLO65553:WLO65562 WVK65553:WVK65562 B131089:B131098 IY131089:IY131098 SU131089:SU131098 ACQ131089:ACQ131098 AMM131089:AMM131098 AWI131089:AWI131098 BGE131089:BGE131098 BQA131089:BQA131098 BZW131089:BZW131098 CJS131089:CJS131098 CTO131089:CTO131098 DDK131089:DDK131098 DNG131089:DNG131098 DXC131089:DXC131098 EGY131089:EGY131098 EQU131089:EQU131098 FAQ131089:FAQ131098 FKM131089:FKM131098 FUI131089:FUI131098 GEE131089:GEE131098 GOA131089:GOA131098 GXW131089:GXW131098 HHS131089:HHS131098 HRO131089:HRO131098 IBK131089:IBK131098 ILG131089:ILG131098 IVC131089:IVC131098 JEY131089:JEY131098 JOU131089:JOU131098 JYQ131089:JYQ131098 KIM131089:KIM131098 KSI131089:KSI131098 LCE131089:LCE131098 LMA131089:LMA131098 LVW131089:LVW131098 MFS131089:MFS131098 MPO131089:MPO131098 MZK131089:MZK131098 NJG131089:NJG131098 NTC131089:NTC131098 OCY131089:OCY131098 OMU131089:OMU131098 OWQ131089:OWQ131098 PGM131089:PGM131098 PQI131089:PQI131098 QAE131089:QAE131098 QKA131089:QKA131098 QTW131089:QTW131098 RDS131089:RDS131098 RNO131089:RNO131098 RXK131089:RXK131098 SHG131089:SHG131098 SRC131089:SRC131098 TAY131089:TAY131098 TKU131089:TKU131098 TUQ131089:TUQ131098 UEM131089:UEM131098 UOI131089:UOI131098 UYE131089:UYE131098 VIA131089:VIA131098 VRW131089:VRW131098 WBS131089:WBS131098 WLO131089:WLO131098 WVK131089:WVK131098 B196625:B196634 IY196625:IY196634 SU196625:SU196634 ACQ196625:ACQ196634 AMM196625:AMM196634 AWI196625:AWI196634 BGE196625:BGE196634 BQA196625:BQA196634 BZW196625:BZW196634 CJS196625:CJS196634 CTO196625:CTO196634 DDK196625:DDK196634 DNG196625:DNG196634 DXC196625:DXC196634 EGY196625:EGY196634 EQU196625:EQU196634 FAQ196625:FAQ196634 FKM196625:FKM196634 FUI196625:FUI196634 GEE196625:GEE196634 GOA196625:GOA196634 GXW196625:GXW196634 HHS196625:HHS196634 HRO196625:HRO196634 IBK196625:IBK196634 ILG196625:ILG196634 IVC196625:IVC196634 JEY196625:JEY196634 JOU196625:JOU196634 JYQ196625:JYQ196634 KIM196625:KIM196634 KSI196625:KSI196634 LCE196625:LCE196634 LMA196625:LMA196634 LVW196625:LVW196634 MFS196625:MFS196634 MPO196625:MPO196634 MZK196625:MZK196634 NJG196625:NJG196634 NTC196625:NTC196634 OCY196625:OCY196634 OMU196625:OMU196634 OWQ196625:OWQ196634 PGM196625:PGM196634 PQI196625:PQI196634 QAE196625:QAE196634 QKA196625:QKA196634 QTW196625:QTW196634 RDS196625:RDS196634 RNO196625:RNO196634 RXK196625:RXK196634 SHG196625:SHG196634 SRC196625:SRC196634 TAY196625:TAY196634 TKU196625:TKU196634 TUQ196625:TUQ196634 UEM196625:UEM196634 UOI196625:UOI196634 UYE196625:UYE196634 VIA196625:VIA196634 VRW196625:VRW196634 WBS196625:WBS196634 WLO196625:WLO196634 WVK196625:WVK196634 B262161:B262170 IY262161:IY262170 SU262161:SU262170 ACQ262161:ACQ262170 AMM262161:AMM262170 AWI262161:AWI262170 BGE262161:BGE262170 BQA262161:BQA262170 BZW262161:BZW262170 CJS262161:CJS262170 CTO262161:CTO262170 DDK262161:DDK262170 DNG262161:DNG262170 DXC262161:DXC262170 EGY262161:EGY262170 EQU262161:EQU262170 FAQ262161:FAQ262170 FKM262161:FKM262170 FUI262161:FUI262170 GEE262161:GEE262170 GOA262161:GOA262170 GXW262161:GXW262170 HHS262161:HHS262170 HRO262161:HRO262170 IBK262161:IBK262170 ILG262161:ILG262170 IVC262161:IVC262170 JEY262161:JEY262170 JOU262161:JOU262170 JYQ262161:JYQ262170 KIM262161:KIM262170 KSI262161:KSI262170 LCE262161:LCE262170 LMA262161:LMA262170 LVW262161:LVW262170 MFS262161:MFS262170 MPO262161:MPO262170 MZK262161:MZK262170 NJG262161:NJG262170 NTC262161:NTC262170 OCY262161:OCY262170 OMU262161:OMU262170 OWQ262161:OWQ262170 PGM262161:PGM262170 PQI262161:PQI262170 QAE262161:QAE262170 QKA262161:QKA262170 QTW262161:QTW262170 RDS262161:RDS262170 RNO262161:RNO262170 RXK262161:RXK262170 SHG262161:SHG262170 SRC262161:SRC262170 TAY262161:TAY262170 TKU262161:TKU262170 TUQ262161:TUQ262170 UEM262161:UEM262170 UOI262161:UOI262170 UYE262161:UYE262170 VIA262161:VIA262170 VRW262161:VRW262170 WBS262161:WBS262170 WLO262161:WLO262170 WVK262161:WVK262170 B327697:B327706 IY327697:IY327706 SU327697:SU327706 ACQ327697:ACQ327706 AMM327697:AMM327706 AWI327697:AWI327706 BGE327697:BGE327706 BQA327697:BQA327706 BZW327697:BZW327706 CJS327697:CJS327706 CTO327697:CTO327706 DDK327697:DDK327706 DNG327697:DNG327706 DXC327697:DXC327706 EGY327697:EGY327706 EQU327697:EQU327706 FAQ327697:FAQ327706 FKM327697:FKM327706 FUI327697:FUI327706 GEE327697:GEE327706 GOA327697:GOA327706 GXW327697:GXW327706 HHS327697:HHS327706 HRO327697:HRO327706 IBK327697:IBK327706 ILG327697:ILG327706 IVC327697:IVC327706 JEY327697:JEY327706 JOU327697:JOU327706 JYQ327697:JYQ327706 KIM327697:KIM327706 KSI327697:KSI327706 LCE327697:LCE327706 LMA327697:LMA327706 LVW327697:LVW327706 MFS327697:MFS327706 MPO327697:MPO327706 MZK327697:MZK327706 NJG327697:NJG327706 NTC327697:NTC327706 OCY327697:OCY327706 OMU327697:OMU327706 OWQ327697:OWQ327706 PGM327697:PGM327706 PQI327697:PQI327706 QAE327697:QAE327706 QKA327697:QKA327706 QTW327697:QTW327706 RDS327697:RDS327706 RNO327697:RNO327706 RXK327697:RXK327706 SHG327697:SHG327706 SRC327697:SRC327706 TAY327697:TAY327706 TKU327697:TKU327706 TUQ327697:TUQ327706 UEM327697:UEM327706 UOI327697:UOI327706 UYE327697:UYE327706 VIA327697:VIA327706 VRW327697:VRW327706 WBS327697:WBS327706 WLO327697:WLO327706 WVK327697:WVK327706 B393233:B393242 IY393233:IY393242 SU393233:SU393242 ACQ393233:ACQ393242 AMM393233:AMM393242 AWI393233:AWI393242 BGE393233:BGE393242 BQA393233:BQA393242 BZW393233:BZW393242 CJS393233:CJS393242 CTO393233:CTO393242 DDK393233:DDK393242 DNG393233:DNG393242 DXC393233:DXC393242 EGY393233:EGY393242 EQU393233:EQU393242 FAQ393233:FAQ393242 FKM393233:FKM393242 FUI393233:FUI393242 GEE393233:GEE393242 GOA393233:GOA393242 GXW393233:GXW393242 HHS393233:HHS393242 HRO393233:HRO393242 IBK393233:IBK393242 ILG393233:ILG393242 IVC393233:IVC393242 JEY393233:JEY393242 JOU393233:JOU393242 JYQ393233:JYQ393242 KIM393233:KIM393242 KSI393233:KSI393242 LCE393233:LCE393242 LMA393233:LMA393242 LVW393233:LVW393242 MFS393233:MFS393242 MPO393233:MPO393242 MZK393233:MZK393242 NJG393233:NJG393242 NTC393233:NTC393242 OCY393233:OCY393242 OMU393233:OMU393242 OWQ393233:OWQ393242 PGM393233:PGM393242 PQI393233:PQI393242 QAE393233:QAE393242 QKA393233:QKA393242 QTW393233:QTW393242 RDS393233:RDS393242 RNO393233:RNO393242 RXK393233:RXK393242 SHG393233:SHG393242 SRC393233:SRC393242 TAY393233:TAY393242 TKU393233:TKU393242 TUQ393233:TUQ393242 UEM393233:UEM393242 UOI393233:UOI393242 UYE393233:UYE393242 VIA393233:VIA393242 VRW393233:VRW393242 WBS393233:WBS393242 WLO393233:WLO393242 WVK393233:WVK393242 B458769:B458778 IY458769:IY458778 SU458769:SU458778 ACQ458769:ACQ458778 AMM458769:AMM458778 AWI458769:AWI458778 BGE458769:BGE458778 BQA458769:BQA458778 BZW458769:BZW458778 CJS458769:CJS458778 CTO458769:CTO458778 DDK458769:DDK458778 DNG458769:DNG458778 DXC458769:DXC458778 EGY458769:EGY458778 EQU458769:EQU458778 FAQ458769:FAQ458778 FKM458769:FKM458778 FUI458769:FUI458778 GEE458769:GEE458778 GOA458769:GOA458778 GXW458769:GXW458778 HHS458769:HHS458778 HRO458769:HRO458778 IBK458769:IBK458778 ILG458769:ILG458778 IVC458769:IVC458778 JEY458769:JEY458778 JOU458769:JOU458778 JYQ458769:JYQ458778 KIM458769:KIM458778 KSI458769:KSI458778 LCE458769:LCE458778 LMA458769:LMA458778 LVW458769:LVW458778 MFS458769:MFS458778 MPO458769:MPO458778 MZK458769:MZK458778 NJG458769:NJG458778 NTC458769:NTC458778 OCY458769:OCY458778 OMU458769:OMU458778 OWQ458769:OWQ458778 PGM458769:PGM458778 PQI458769:PQI458778 QAE458769:QAE458778 QKA458769:QKA458778 QTW458769:QTW458778 RDS458769:RDS458778 RNO458769:RNO458778 RXK458769:RXK458778 SHG458769:SHG458778 SRC458769:SRC458778 TAY458769:TAY458778 TKU458769:TKU458778 TUQ458769:TUQ458778 UEM458769:UEM458778 UOI458769:UOI458778 UYE458769:UYE458778 VIA458769:VIA458778 VRW458769:VRW458778 WBS458769:WBS458778 WLO458769:WLO458778 WVK458769:WVK458778 B524305:B524314 IY524305:IY524314 SU524305:SU524314 ACQ524305:ACQ524314 AMM524305:AMM524314 AWI524305:AWI524314 BGE524305:BGE524314 BQA524305:BQA524314 BZW524305:BZW524314 CJS524305:CJS524314 CTO524305:CTO524314 DDK524305:DDK524314 DNG524305:DNG524314 DXC524305:DXC524314 EGY524305:EGY524314 EQU524305:EQU524314 FAQ524305:FAQ524314 FKM524305:FKM524314 FUI524305:FUI524314 GEE524305:GEE524314 GOA524305:GOA524314 GXW524305:GXW524314 HHS524305:HHS524314 HRO524305:HRO524314 IBK524305:IBK524314 ILG524305:ILG524314 IVC524305:IVC524314 JEY524305:JEY524314 JOU524305:JOU524314 JYQ524305:JYQ524314 KIM524305:KIM524314 KSI524305:KSI524314 LCE524305:LCE524314 LMA524305:LMA524314 LVW524305:LVW524314 MFS524305:MFS524314 MPO524305:MPO524314 MZK524305:MZK524314 NJG524305:NJG524314 NTC524305:NTC524314 OCY524305:OCY524314 OMU524305:OMU524314 OWQ524305:OWQ524314 PGM524305:PGM524314 PQI524305:PQI524314 QAE524305:QAE524314 QKA524305:QKA524314 QTW524305:QTW524314 RDS524305:RDS524314 RNO524305:RNO524314 RXK524305:RXK524314 SHG524305:SHG524314 SRC524305:SRC524314 TAY524305:TAY524314 TKU524305:TKU524314 TUQ524305:TUQ524314 UEM524305:UEM524314 UOI524305:UOI524314 UYE524305:UYE524314 VIA524305:VIA524314 VRW524305:VRW524314 WBS524305:WBS524314 WLO524305:WLO524314 WVK524305:WVK524314 B589841:B589850 IY589841:IY589850 SU589841:SU589850 ACQ589841:ACQ589850 AMM589841:AMM589850 AWI589841:AWI589850 BGE589841:BGE589850 BQA589841:BQA589850 BZW589841:BZW589850 CJS589841:CJS589850 CTO589841:CTO589850 DDK589841:DDK589850 DNG589841:DNG589850 DXC589841:DXC589850 EGY589841:EGY589850 EQU589841:EQU589850 FAQ589841:FAQ589850 FKM589841:FKM589850 FUI589841:FUI589850 GEE589841:GEE589850 GOA589841:GOA589850 GXW589841:GXW589850 HHS589841:HHS589850 HRO589841:HRO589850 IBK589841:IBK589850 ILG589841:ILG589850 IVC589841:IVC589850 JEY589841:JEY589850 JOU589841:JOU589850 JYQ589841:JYQ589850 KIM589841:KIM589850 KSI589841:KSI589850 LCE589841:LCE589850 LMA589841:LMA589850 LVW589841:LVW589850 MFS589841:MFS589850 MPO589841:MPO589850 MZK589841:MZK589850 NJG589841:NJG589850 NTC589841:NTC589850 OCY589841:OCY589850 OMU589841:OMU589850 OWQ589841:OWQ589850 PGM589841:PGM589850 PQI589841:PQI589850 QAE589841:QAE589850 QKA589841:QKA589850 QTW589841:QTW589850 RDS589841:RDS589850 RNO589841:RNO589850 RXK589841:RXK589850 SHG589841:SHG589850 SRC589841:SRC589850 TAY589841:TAY589850 TKU589841:TKU589850 TUQ589841:TUQ589850 UEM589841:UEM589850 UOI589841:UOI589850 UYE589841:UYE589850 VIA589841:VIA589850 VRW589841:VRW589850 WBS589841:WBS589850 WLO589841:WLO589850 WVK589841:WVK589850 B655377:B655386 IY655377:IY655386 SU655377:SU655386 ACQ655377:ACQ655386 AMM655377:AMM655386 AWI655377:AWI655386 BGE655377:BGE655386 BQA655377:BQA655386 BZW655377:BZW655386 CJS655377:CJS655386 CTO655377:CTO655386 DDK655377:DDK655386 DNG655377:DNG655386 DXC655377:DXC655386 EGY655377:EGY655386 EQU655377:EQU655386 FAQ655377:FAQ655386 FKM655377:FKM655386 FUI655377:FUI655386 GEE655377:GEE655386 GOA655377:GOA655386 GXW655377:GXW655386 HHS655377:HHS655386 HRO655377:HRO655386 IBK655377:IBK655386 ILG655377:ILG655386 IVC655377:IVC655386 JEY655377:JEY655386 JOU655377:JOU655386 JYQ655377:JYQ655386 KIM655377:KIM655386 KSI655377:KSI655386 LCE655377:LCE655386 LMA655377:LMA655386 LVW655377:LVW655386 MFS655377:MFS655386 MPO655377:MPO655386 MZK655377:MZK655386 NJG655377:NJG655386 NTC655377:NTC655386 OCY655377:OCY655386 OMU655377:OMU655386 OWQ655377:OWQ655386 PGM655377:PGM655386 PQI655377:PQI655386 QAE655377:QAE655386 QKA655377:QKA655386 QTW655377:QTW655386 RDS655377:RDS655386 RNO655377:RNO655386 RXK655377:RXK655386 SHG655377:SHG655386 SRC655377:SRC655386 TAY655377:TAY655386 TKU655377:TKU655386 TUQ655377:TUQ655386 UEM655377:UEM655386 UOI655377:UOI655386 UYE655377:UYE655386 VIA655377:VIA655386 VRW655377:VRW655386 WBS655377:WBS655386 WLO655377:WLO655386 WVK655377:WVK655386 B720913:B720922 IY720913:IY720922 SU720913:SU720922 ACQ720913:ACQ720922 AMM720913:AMM720922 AWI720913:AWI720922 BGE720913:BGE720922 BQA720913:BQA720922 BZW720913:BZW720922 CJS720913:CJS720922 CTO720913:CTO720922 DDK720913:DDK720922 DNG720913:DNG720922 DXC720913:DXC720922 EGY720913:EGY720922 EQU720913:EQU720922 FAQ720913:FAQ720922 FKM720913:FKM720922 FUI720913:FUI720922 GEE720913:GEE720922 GOA720913:GOA720922 GXW720913:GXW720922 HHS720913:HHS720922 HRO720913:HRO720922 IBK720913:IBK720922 ILG720913:ILG720922 IVC720913:IVC720922 JEY720913:JEY720922 JOU720913:JOU720922 JYQ720913:JYQ720922 KIM720913:KIM720922 KSI720913:KSI720922 LCE720913:LCE720922 LMA720913:LMA720922 LVW720913:LVW720922 MFS720913:MFS720922 MPO720913:MPO720922 MZK720913:MZK720922 NJG720913:NJG720922 NTC720913:NTC720922 OCY720913:OCY720922 OMU720913:OMU720922 OWQ720913:OWQ720922 PGM720913:PGM720922 PQI720913:PQI720922 QAE720913:QAE720922 QKA720913:QKA720922 QTW720913:QTW720922 RDS720913:RDS720922 RNO720913:RNO720922 RXK720913:RXK720922 SHG720913:SHG720922 SRC720913:SRC720922 TAY720913:TAY720922 TKU720913:TKU720922 TUQ720913:TUQ720922 UEM720913:UEM720922 UOI720913:UOI720922 UYE720913:UYE720922 VIA720913:VIA720922 VRW720913:VRW720922 WBS720913:WBS720922 WLO720913:WLO720922 WVK720913:WVK720922 B786449:B786458 IY786449:IY786458 SU786449:SU786458 ACQ786449:ACQ786458 AMM786449:AMM786458 AWI786449:AWI786458 BGE786449:BGE786458 BQA786449:BQA786458 BZW786449:BZW786458 CJS786449:CJS786458 CTO786449:CTO786458 DDK786449:DDK786458 DNG786449:DNG786458 DXC786449:DXC786458 EGY786449:EGY786458 EQU786449:EQU786458 FAQ786449:FAQ786458 FKM786449:FKM786458 FUI786449:FUI786458 GEE786449:GEE786458 GOA786449:GOA786458 GXW786449:GXW786458 HHS786449:HHS786458 HRO786449:HRO786458 IBK786449:IBK786458 ILG786449:ILG786458 IVC786449:IVC786458 JEY786449:JEY786458 JOU786449:JOU786458 JYQ786449:JYQ786458 KIM786449:KIM786458 KSI786449:KSI786458 LCE786449:LCE786458 LMA786449:LMA786458 LVW786449:LVW786458 MFS786449:MFS786458 MPO786449:MPO786458 MZK786449:MZK786458 NJG786449:NJG786458 NTC786449:NTC786458 OCY786449:OCY786458 OMU786449:OMU786458 OWQ786449:OWQ786458 PGM786449:PGM786458 PQI786449:PQI786458 QAE786449:QAE786458 QKA786449:QKA786458 QTW786449:QTW786458 RDS786449:RDS786458 RNO786449:RNO786458 RXK786449:RXK786458 SHG786449:SHG786458 SRC786449:SRC786458 TAY786449:TAY786458 TKU786449:TKU786458 TUQ786449:TUQ786458 UEM786449:UEM786458 UOI786449:UOI786458 UYE786449:UYE786458 VIA786449:VIA786458 VRW786449:VRW786458 WBS786449:WBS786458 WLO786449:WLO786458 WVK786449:WVK786458 B851985:B851994 IY851985:IY851994 SU851985:SU851994 ACQ851985:ACQ851994 AMM851985:AMM851994 AWI851985:AWI851994 BGE851985:BGE851994 BQA851985:BQA851994 BZW851985:BZW851994 CJS851985:CJS851994 CTO851985:CTO851994 DDK851985:DDK851994 DNG851985:DNG851994 DXC851985:DXC851994 EGY851985:EGY851994 EQU851985:EQU851994 FAQ851985:FAQ851994 FKM851985:FKM851994 FUI851985:FUI851994 GEE851985:GEE851994 GOA851985:GOA851994 GXW851985:GXW851994 HHS851985:HHS851994 HRO851985:HRO851994 IBK851985:IBK851994 ILG851985:ILG851994 IVC851985:IVC851994 JEY851985:JEY851994 JOU851985:JOU851994 JYQ851985:JYQ851994 KIM851985:KIM851994 KSI851985:KSI851994 LCE851985:LCE851994 LMA851985:LMA851994 LVW851985:LVW851994 MFS851985:MFS851994 MPO851985:MPO851994 MZK851985:MZK851994 NJG851985:NJG851994 NTC851985:NTC851994 OCY851985:OCY851994 OMU851985:OMU851994 OWQ851985:OWQ851994 PGM851985:PGM851994 PQI851985:PQI851994 QAE851985:QAE851994 QKA851985:QKA851994 QTW851985:QTW851994 RDS851985:RDS851994 RNO851985:RNO851994 RXK851985:RXK851994 SHG851985:SHG851994 SRC851985:SRC851994 TAY851985:TAY851994 TKU851985:TKU851994 TUQ851985:TUQ851994 UEM851985:UEM851994 UOI851985:UOI851994 UYE851985:UYE851994 VIA851985:VIA851994 VRW851985:VRW851994 WBS851985:WBS851994 WLO851985:WLO851994 WVK851985:WVK851994 B917521:B917530 IY917521:IY917530 SU917521:SU917530 ACQ917521:ACQ917530 AMM917521:AMM917530 AWI917521:AWI917530 BGE917521:BGE917530 BQA917521:BQA917530 BZW917521:BZW917530 CJS917521:CJS917530 CTO917521:CTO917530 DDK917521:DDK917530 DNG917521:DNG917530 DXC917521:DXC917530 EGY917521:EGY917530 EQU917521:EQU917530 FAQ917521:FAQ917530 FKM917521:FKM917530 FUI917521:FUI917530 GEE917521:GEE917530 GOA917521:GOA917530 GXW917521:GXW917530 HHS917521:HHS917530 HRO917521:HRO917530 IBK917521:IBK917530 ILG917521:ILG917530 IVC917521:IVC917530 JEY917521:JEY917530 JOU917521:JOU917530 JYQ917521:JYQ917530 KIM917521:KIM917530 KSI917521:KSI917530 LCE917521:LCE917530 LMA917521:LMA917530 LVW917521:LVW917530 MFS917521:MFS917530 MPO917521:MPO917530 MZK917521:MZK917530 NJG917521:NJG917530 NTC917521:NTC917530 OCY917521:OCY917530 OMU917521:OMU917530 OWQ917521:OWQ917530 PGM917521:PGM917530 PQI917521:PQI917530 QAE917521:QAE917530 QKA917521:QKA917530 QTW917521:QTW917530 RDS917521:RDS917530 RNO917521:RNO917530 RXK917521:RXK917530 SHG917521:SHG917530 SRC917521:SRC917530 TAY917521:TAY917530 TKU917521:TKU917530 TUQ917521:TUQ917530 UEM917521:UEM917530 UOI917521:UOI917530 UYE917521:UYE917530 VIA917521:VIA917530 VRW917521:VRW917530 WBS917521:WBS917530 WLO917521:WLO917530 WVK917521:WVK917530 B983057:B983066 IY983057:IY983066 SU983057:SU983066 ACQ983057:ACQ983066 AMM983057:AMM983066 AWI983057:AWI983066 BGE983057:BGE983066 BQA983057:BQA983066 BZW983057:BZW983066 CJS983057:CJS983066 CTO983057:CTO983066 DDK983057:DDK983066 DNG983057:DNG983066 DXC983057:DXC983066 EGY983057:EGY983066 EQU983057:EQU983066 FAQ983057:FAQ983066 FKM983057:FKM983066 FUI983057:FUI983066 GEE983057:GEE983066 GOA983057:GOA983066 GXW983057:GXW983066 HHS983057:HHS983066 HRO983057:HRO983066 IBK983057:IBK983066 ILG983057:ILG983066 IVC983057:IVC983066 JEY983057:JEY983066 JOU983057:JOU983066 JYQ983057:JYQ983066 KIM983057:KIM983066 KSI983057:KSI983066 LCE983057:LCE983066 LMA983057:LMA983066 LVW983057:LVW983066 MFS983057:MFS983066 MPO983057:MPO983066 MZK983057:MZK983066 NJG983057:NJG983066 NTC983057:NTC983066 OCY983057:OCY983066 OMU983057:OMU983066 OWQ983057:OWQ983066 PGM983057:PGM983066 PQI983057:PQI983066 QAE983057:QAE983066 QKA983057:QKA983066 QTW983057:QTW983066 RDS983057:RDS983066 RNO983057:RNO983066 RXK983057:RXK983066 SHG983057:SHG983066 SRC983057:SRC983066 TAY983057:TAY983066 TKU983057:TKU983066 TUQ983057:TUQ983066 UEM983057:UEM983066 UOI983057:UOI983066 UYE983057:UYE983066 VIA983057:VIA983066 VRW983057:VRW983066 WBS983057:WBS983066 WLO983057:WLO983066 WVK983057:WVK983066 WVK983048:WVK983054 B65544:B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B131080:B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B196616:B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B262152:B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B327688:B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B393224:B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B458760:B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B524296:B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B589832:B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B655368:B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B720904:B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B786440:B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B851976:B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B917512:B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B983048:B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B8:B13"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4"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7E2B-DC6E-4990-B341-56E2E82C8995}">
  <sheetPr>
    <tabColor rgb="FFFFFF00"/>
    <pageSetUpPr fitToPage="1"/>
  </sheetPr>
  <dimension ref="A1:O39"/>
  <sheetViews>
    <sheetView view="pageBreakPreview" zoomScale="60" zoomScaleNormal="80" workbookViewId="0">
      <selection activeCell="A2" sqref="A2"/>
    </sheetView>
  </sheetViews>
  <sheetFormatPr defaultRowHeight="15.75"/>
  <cols>
    <col min="1" max="1" width="34.375" style="2395" customWidth="1"/>
    <col min="2" max="2" width="36.75" style="2395" customWidth="1"/>
    <col min="3" max="3" width="36" style="2395" bestFit="1" customWidth="1"/>
    <col min="4" max="4" width="34.75" style="2395" customWidth="1"/>
    <col min="5" max="13" width="24" style="2395" customWidth="1"/>
    <col min="14" max="14" width="20.625" style="2395" customWidth="1"/>
    <col min="15" max="15" width="21.125" style="2395" customWidth="1"/>
    <col min="16" max="16384" width="9" style="2395"/>
  </cols>
  <sheetData>
    <row r="1" spans="1:15" ht="20.25">
      <c r="A1" s="2186" t="str">
        <f>+封面!A3&amp;" "&amp;封面!A2</f>
        <v xml:space="preserve"> 中央再保險股份有限公司 年度檢查報表</v>
      </c>
      <c r="B1" s="2394"/>
    </row>
    <row r="2" spans="1:15" ht="21">
      <c r="A2" s="2394" t="s">
        <v>8574</v>
      </c>
      <c r="B2" s="2396"/>
    </row>
    <row r="3" spans="1:15" ht="10.5" customHeight="1">
      <c r="A3" s="2397"/>
      <c r="B3" s="2398"/>
    </row>
    <row r="4" spans="1:15" ht="33" customHeight="1">
      <c r="A4" s="2472" t="s">
        <v>5871</v>
      </c>
      <c r="B4" s="2399"/>
      <c r="C4" s="2399"/>
      <c r="D4" s="2399"/>
      <c r="E4" s="2399"/>
      <c r="F4" s="2399"/>
      <c r="G4" s="2399"/>
      <c r="H4" s="2399"/>
      <c r="I4" s="2399"/>
      <c r="J4" s="2399"/>
      <c r="K4" s="2399"/>
      <c r="L4" s="2399"/>
      <c r="M4" s="2400" t="s">
        <v>5809</v>
      </c>
    </row>
    <row r="5" spans="1:15" ht="19.5">
      <c r="A5" s="3302" t="s">
        <v>5810</v>
      </c>
      <c r="B5" s="3302" t="s">
        <v>5811</v>
      </c>
      <c r="C5" s="3302"/>
      <c r="D5" s="3302"/>
      <c r="E5" s="3302"/>
      <c r="F5" s="3302"/>
      <c r="G5" s="3302"/>
      <c r="H5" s="3302"/>
      <c r="I5" s="3302"/>
      <c r="J5" s="3302" t="s">
        <v>5812</v>
      </c>
      <c r="K5" s="3302"/>
      <c r="L5" s="3302"/>
      <c r="M5" s="3302"/>
    </row>
    <row r="6" spans="1:15" ht="19.5">
      <c r="A6" s="3302"/>
      <c r="B6" s="3302" t="s">
        <v>5813</v>
      </c>
      <c r="C6" s="3302"/>
      <c r="D6" s="3302"/>
      <c r="E6" s="3302"/>
      <c r="F6" s="3302"/>
      <c r="G6" s="3302"/>
      <c r="H6" s="3302"/>
      <c r="I6" s="3302"/>
      <c r="J6" s="3302" t="s">
        <v>5814</v>
      </c>
      <c r="K6" s="3302"/>
      <c r="L6" s="3302"/>
      <c r="M6" s="3302"/>
    </row>
    <row r="7" spans="1:15" ht="19.5">
      <c r="A7" s="3302"/>
      <c r="B7" s="3302" t="s">
        <v>5815</v>
      </c>
      <c r="C7" s="3302"/>
      <c r="D7" s="3302"/>
      <c r="E7" s="3302"/>
      <c r="F7" s="3302" t="s">
        <v>5816</v>
      </c>
      <c r="G7" s="3302"/>
      <c r="H7" s="3302"/>
      <c r="I7" s="3302"/>
      <c r="J7" s="3302" t="s">
        <v>5815</v>
      </c>
      <c r="K7" s="3302"/>
      <c r="L7" s="3302" t="s">
        <v>5816</v>
      </c>
      <c r="M7" s="3302"/>
    </row>
    <row r="8" spans="1:15" ht="42" customHeight="1">
      <c r="A8" s="3302"/>
      <c r="B8" s="3303" t="s">
        <v>5817</v>
      </c>
      <c r="C8" s="3304"/>
      <c r="D8" s="3305" t="s">
        <v>5818</v>
      </c>
      <c r="E8" s="3304"/>
      <c r="F8" s="3305" t="s">
        <v>5819</v>
      </c>
      <c r="G8" s="3304"/>
      <c r="H8" s="3305" t="s">
        <v>5820</v>
      </c>
      <c r="I8" s="3304"/>
      <c r="J8" s="3302"/>
      <c r="K8" s="3302"/>
      <c r="L8" s="3302"/>
      <c r="M8" s="3302"/>
    </row>
    <row r="9" spans="1:15" ht="19.5">
      <c r="A9" s="3302"/>
      <c r="B9" s="2401" t="s">
        <v>5821</v>
      </c>
      <c r="C9" s="2401" t="s">
        <v>5822</v>
      </c>
      <c r="D9" s="2401" t="s">
        <v>5821</v>
      </c>
      <c r="E9" s="2401" t="s">
        <v>5822</v>
      </c>
      <c r="F9" s="2401" t="s">
        <v>5821</v>
      </c>
      <c r="G9" s="2401" t="s">
        <v>5822</v>
      </c>
      <c r="H9" s="2401" t="s">
        <v>5821</v>
      </c>
      <c r="I9" s="2401" t="s">
        <v>5822</v>
      </c>
      <c r="J9" s="2401" t="s">
        <v>5821</v>
      </c>
      <c r="K9" s="2401" t="s">
        <v>5822</v>
      </c>
      <c r="L9" s="2401" t="s">
        <v>5821</v>
      </c>
      <c r="M9" s="2401" t="s">
        <v>5822</v>
      </c>
    </row>
    <row r="10" spans="1:15" ht="19.5">
      <c r="A10" s="2402" t="s">
        <v>5823</v>
      </c>
      <c r="B10" s="2403"/>
      <c r="C10" s="2403"/>
      <c r="D10" s="2403"/>
      <c r="E10" s="2403"/>
      <c r="F10" s="2403"/>
      <c r="G10" s="2403"/>
      <c r="H10" s="2403"/>
      <c r="I10" s="2403"/>
      <c r="J10" s="2403"/>
      <c r="K10" s="2403"/>
      <c r="L10" s="2403"/>
      <c r="M10" s="2403"/>
      <c r="N10" s="2404"/>
      <c r="O10" s="2404"/>
    </row>
    <row r="11" spans="1:15" ht="19.149999999999999" customHeight="1">
      <c r="A11" s="2402" t="s">
        <v>5824</v>
      </c>
      <c r="B11" s="2403"/>
      <c r="C11" s="2403"/>
      <c r="D11" s="2403"/>
      <c r="E11" s="2403"/>
      <c r="F11" s="2405"/>
      <c r="G11" s="2405"/>
      <c r="H11" s="2403"/>
      <c r="I11" s="2403"/>
      <c r="J11" s="2403"/>
      <c r="K11" s="2403"/>
      <c r="L11" s="2406"/>
      <c r="M11" s="2406"/>
    </row>
    <row r="12" spans="1:15" ht="18.75">
      <c r="A12" s="2407"/>
      <c r="B12" s="2408"/>
      <c r="C12" s="2409"/>
      <c r="D12" s="2408"/>
      <c r="E12" s="2409"/>
      <c r="F12" s="2408"/>
      <c r="G12" s="2399"/>
      <c r="H12" s="2408"/>
      <c r="I12" s="2399"/>
      <c r="J12" s="2408"/>
      <c r="K12" s="2399"/>
      <c r="L12" s="2408"/>
      <c r="M12" s="2400"/>
    </row>
    <row r="13" spans="1:15" ht="19.5">
      <c r="A13" s="3302" t="s">
        <v>5825</v>
      </c>
      <c r="B13" s="3302" t="s">
        <v>5811</v>
      </c>
      <c r="C13" s="3302"/>
      <c r="D13" s="3302"/>
      <c r="E13" s="3302"/>
      <c r="F13" s="3302"/>
      <c r="G13" s="3302"/>
      <c r="H13" s="3302"/>
      <c r="I13" s="3302"/>
      <c r="J13" s="3302" t="s">
        <v>5812</v>
      </c>
      <c r="K13" s="3302"/>
      <c r="L13" s="3302"/>
      <c r="M13" s="3302"/>
    </row>
    <row r="14" spans="1:15" ht="19.5">
      <c r="A14" s="3302"/>
      <c r="B14" s="3302" t="s">
        <v>5813</v>
      </c>
      <c r="C14" s="3302"/>
      <c r="D14" s="3302"/>
      <c r="E14" s="3302"/>
      <c r="F14" s="3302"/>
      <c r="G14" s="3302"/>
      <c r="H14" s="3302"/>
      <c r="I14" s="3302"/>
      <c r="J14" s="3302" t="s">
        <v>5814</v>
      </c>
      <c r="K14" s="3302"/>
      <c r="L14" s="3302"/>
      <c r="M14" s="3302"/>
    </row>
    <row r="15" spans="1:15" ht="19.5">
      <c r="A15" s="3302"/>
      <c r="B15" s="3302" t="s">
        <v>5815</v>
      </c>
      <c r="C15" s="3302"/>
      <c r="D15" s="3302"/>
      <c r="E15" s="3302"/>
      <c r="F15" s="3302" t="s">
        <v>5816</v>
      </c>
      <c r="G15" s="3302"/>
      <c r="H15" s="3302"/>
      <c r="I15" s="3302"/>
      <c r="J15" s="3302" t="s">
        <v>5815</v>
      </c>
      <c r="K15" s="3302"/>
      <c r="L15" s="3302" t="s">
        <v>5816</v>
      </c>
      <c r="M15" s="3302"/>
    </row>
    <row r="16" spans="1:15" ht="19.5">
      <c r="A16" s="3302"/>
      <c r="B16" s="3303" t="s">
        <v>5817</v>
      </c>
      <c r="C16" s="3304"/>
      <c r="D16" s="3305" t="s">
        <v>5818</v>
      </c>
      <c r="E16" s="3304"/>
      <c r="F16" s="3305" t="s">
        <v>5819</v>
      </c>
      <c r="G16" s="3304"/>
      <c r="H16" s="3305" t="s">
        <v>5820</v>
      </c>
      <c r="I16" s="3304"/>
      <c r="J16" s="3302"/>
      <c r="K16" s="3302"/>
      <c r="L16" s="3302"/>
      <c r="M16" s="3302"/>
    </row>
    <row r="17" spans="1:15" ht="19.5">
      <c r="A17" s="3302"/>
      <c r="B17" s="2401" t="s">
        <v>5821</v>
      </c>
      <c r="C17" s="2401" t="s">
        <v>5822</v>
      </c>
      <c r="D17" s="2401" t="s">
        <v>5821</v>
      </c>
      <c r="E17" s="2401" t="s">
        <v>5822</v>
      </c>
      <c r="F17" s="2401" t="s">
        <v>5821</v>
      </c>
      <c r="G17" s="2401" t="s">
        <v>5822</v>
      </c>
      <c r="H17" s="2401" t="s">
        <v>5821</v>
      </c>
      <c r="I17" s="2401" t="s">
        <v>5822</v>
      </c>
      <c r="J17" s="2401" t="s">
        <v>5821</v>
      </c>
      <c r="K17" s="2401" t="s">
        <v>5822</v>
      </c>
      <c r="L17" s="2401" t="s">
        <v>5821</v>
      </c>
      <c r="M17" s="2401" t="s">
        <v>5822</v>
      </c>
    </row>
    <row r="18" spans="1:15" ht="19.5">
      <c r="A18" s="2402" t="s">
        <v>5823</v>
      </c>
      <c r="B18" s="2403"/>
      <c r="C18" s="2403"/>
      <c r="D18" s="2403"/>
      <c r="E18" s="2403"/>
      <c r="F18" s="2403"/>
      <c r="G18" s="2403"/>
      <c r="H18" s="2403"/>
      <c r="I18" s="2403"/>
      <c r="J18" s="2403"/>
      <c r="K18" s="2403"/>
      <c r="L18" s="2403"/>
      <c r="M18" s="2403"/>
      <c r="N18" s="2404"/>
      <c r="O18" s="2404"/>
    </row>
    <row r="19" spans="1:15" ht="19.5">
      <c r="A19" s="2402" t="s">
        <v>5824</v>
      </c>
      <c r="B19" s="2403"/>
      <c r="C19" s="2403"/>
      <c r="D19" s="2403"/>
      <c r="E19" s="2403"/>
      <c r="F19" s="2406"/>
      <c r="G19" s="2406"/>
      <c r="H19" s="2403"/>
      <c r="I19" s="2403"/>
      <c r="J19" s="2403"/>
      <c r="K19" s="2403"/>
      <c r="L19" s="2406"/>
      <c r="M19" s="2406"/>
      <c r="N19" s="2404"/>
      <c r="O19" s="2404"/>
    </row>
    <row r="20" spans="1:15" ht="18.75">
      <c r="A20" s="2407"/>
      <c r="B20" s="2408"/>
      <c r="C20" s="2409"/>
      <c r="D20" s="2408"/>
      <c r="E20" s="2409"/>
      <c r="F20" s="2408"/>
      <c r="G20" s="2409"/>
      <c r="H20" s="2408"/>
      <c r="I20" s="2409"/>
      <c r="J20" s="2408"/>
      <c r="K20" s="2409"/>
      <c r="L20" s="2408"/>
      <c r="M20" s="2409"/>
      <c r="N20" s="2404"/>
      <c r="O20" s="2404"/>
    </row>
    <row r="23" spans="1:15" ht="19.5">
      <c r="A23" s="2472" t="s">
        <v>5872</v>
      </c>
      <c r="B23" s="2410"/>
      <c r="C23" s="2410"/>
      <c r="D23" s="2411" t="s">
        <v>5826</v>
      </c>
      <c r="E23" s="2412"/>
      <c r="F23" s="2412"/>
    </row>
    <row r="24" spans="1:15" ht="16.5">
      <c r="A24" s="3308" t="s">
        <v>5827</v>
      </c>
      <c r="B24" s="3308"/>
      <c r="C24" s="2413" t="s">
        <v>5828</v>
      </c>
      <c r="D24" s="2414" t="s">
        <v>5829</v>
      </c>
      <c r="E24" s="2415"/>
      <c r="F24" s="2416"/>
      <c r="G24" s="2414" t="s">
        <v>5830</v>
      </c>
      <c r="H24" s="2414" t="s">
        <v>5831</v>
      </c>
      <c r="I24" s="2414" t="s">
        <v>5832</v>
      </c>
    </row>
    <row r="25" spans="1:15" ht="18.75">
      <c r="A25" s="3308"/>
      <c r="B25" s="3308"/>
      <c r="C25" s="2417">
        <f>G25/I25</f>
        <v>0</v>
      </c>
      <c r="D25" s="2417">
        <f>H25/I25</f>
        <v>0</v>
      </c>
      <c r="E25" s="2418"/>
      <c r="F25" s="2419"/>
      <c r="G25" s="2403"/>
      <c r="H25" s="2403"/>
      <c r="I25" s="2420">
        <v>2.6824076956215239E-4</v>
      </c>
    </row>
    <row r="26" spans="1:15" ht="20.25">
      <c r="A26" s="2421"/>
      <c r="B26" s="2422"/>
      <c r="C26" s="2423"/>
      <c r="D26" s="2423"/>
      <c r="E26" s="2419"/>
      <c r="F26" s="2419"/>
    </row>
    <row r="27" spans="1:15">
      <c r="A27" s="2412"/>
      <c r="B27" s="2424"/>
      <c r="C27" s="2412"/>
      <c r="D27" s="2412"/>
      <c r="E27" s="2412"/>
      <c r="F27" s="2412"/>
    </row>
    <row r="28" spans="1:15" ht="19.5">
      <c r="A28" s="2472" t="s">
        <v>5873</v>
      </c>
      <c r="B28" s="2424"/>
      <c r="C28" s="2411" t="s">
        <v>5833</v>
      </c>
      <c r="D28" s="2412"/>
      <c r="E28" s="2412"/>
    </row>
    <row r="29" spans="1:15" ht="16.5">
      <c r="A29" s="3306" t="s">
        <v>5834</v>
      </c>
      <c r="B29" s="2425" t="s">
        <v>5835</v>
      </c>
      <c r="C29" s="2425" t="s">
        <v>5836</v>
      </c>
    </row>
    <row r="30" spans="1:15" ht="16.5">
      <c r="A30" s="3307"/>
      <c r="B30" s="2426" t="s">
        <v>5837</v>
      </c>
      <c r="C30" s="2417">
        <f>'表30-5-3-2'!J23+'表30-5-3-2'!F37</f>
        <v>0</v>
      </c>
    </row>
    <row r="31" spans="1:15" ht="16.5">
      <c r="A31" s="3307"/>
      <c r="B31" s="2426" t="s">
        <v>5838</v>
      </c>
      <c r="C31" s="2417">
        <f>'表30-5-3-2'!K23+'表30-5-3-2'!G37</f>
        <v>0</v>
      </c>
    </row>
    <row r="32" spans="1:15" ht="16.5">
      <c r="A32" s="3307"/>
      <c r="B32" s="2426" t="s">
        <v>5839</v>
      </c>
      <c r="C32" s="2417">
        <f>'表30-5-3-2'!L23+'表30-5-3-2'!H37</f>
        <v>0</v>
      </c>
    </row>
    <row r="33" spans="1:3" ht="16.5">
      <c r="A33" s="3307"/>
      <c r="B33" s="2426" t="s">
        <v>5840</v>
      </c>
      <c r="C33" s="2417">
        <f>'表30-5-3-2'!M23+'表30-5-3-2'!I37</f>
        <v>0</v>
      </c>
    </row>
    <row r="34" spans="1:3">
      <c r="A34" s="2427"/>
      <c r="B34" s="2427"/>
      <c r="C34" s="2427"/>
    </row>
    <row r="35" spans="1:3" ht="16.5">
      <c r="A35" s="3306" t="s">
        <v>5834</v>
      </c>
      <c r="B35" s="2425" t="s">
        <v>5835</v>
      </c>
      <c r="C35" s="2425" t="s">
        <v>5841</v>
      </c>
    </row>
    <row r="36" spans="1:3" ht="16.5">
      <c r="A36" s="3307"/>
      <c r="B36" s="2426" t="s">
        <v>5837</v>
      </c>
      <c r="C36" s="2417">
        <f>'表30-5-3-3'!J23+'表30-5-3-3'!F37</f>
        <v>0</v>
      </c>
    </row>
    <row r="37" spans="1:3" ht="16.5">
      <c r="A37" s="3307"/>
      <c r="B37" s="2426" t="s">
        <v>5838</v>
      </c>
      <c r="C37" s="2417">
        <f>'表30-5-3-3'!K23+'表30-5-3-3'!G37</f>
        <v>0</v>
      </c>
    </row>
    <row r="38" spans="1:3" ht="16.5">
      <c r="A38" s="3307"/>
      <c r="B38" s="2426" t="s">
        <v>5839</v>
      </c>
      <c r="C38" s="2417">
        <f>'表30-5-3-3'!L23+'表30-5-3-3'!H37</f>
        <v>0</v>
      </c>
    </row>
    <row r="39" spans="1:3" ht="16.5">
      <c r="A39" s="3307"/>
      <c r="B39" s="2426" t="s">
        <v>5840</v>
      </c>
      <c r="C39" s="2417">
        <f>'表30-5-3-3'!M23+'表30-5-3-3'!I37</f>
        <v>0</v>
      </c>
    </row>
  </sheetData>
  <mergeCells count="29">
    <mergeCell ref="A29:A33"/>
    <mergeCell ref="A35:A39"/>
    <mergeCell ref="J15:K16"/>
    <mergeCell ref="L15:M16"/>
    <mergeCell ref="B16:C16"/>
    <mergeCell ref="D16:E16"/>
    <mergeCell ref="F16:G16"/>
    <mergeCell ref="H16:I16"/>
    <mergeCell ref="A13:A17"/>
    <mergeCell ref="B13:I13"/>
    <mergeCell ref="A24:B25"/>
    <mergeCell ref="J13:M13"/>
    <mergeCell ref="B14:I14"/>
    <mergeCell ref="J14:M14"/>
    <mergeCell ref="B15:E15"/>
    <mergeCell ref="F15:I15"/>
    <mergeCell ref="A5:A9"/>
    <mergeCell ref="B5:I5"/>
    <mergeCell ref="J5:M5"/>
    <mergeCell ref="B6:I6"/>
    <mergeCell ref="J6:M6"/>
    <mergeCell ref="B7:E7"/>
    <mergeCell ref="F7:I7"/>
    <mergeCell ref="J7:K8"/>
    <mergeCell ref="L7:M8"/>
    <mergeCell ref="B8:C8"/>
    <mergeCell ref="D8:E8"/>
    <mergeCell ref="F8:G8"/>
    <mergeCell ref="H8:I8"/>
  </mergeCells>
  <phoneticPr fontId="30" type="noConversion"/>
  <pageMargins left="0.70866141732283472" right="0.70866141732283472" top="0.74803149606299213" bottom="0.74803149606299213" header="0.31496062992125984" footer="0.31496062992125984"/>
  <pageSetup paperSize="9" scale="36" orientation="landscape" r:id="rId1"/>
  <headerFooter scaleWithDoc="0">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82AA0-57AC-4B51-A090-55AFA5F2FC44}">
  <sheetPr>
    <tabColor rgb="FFFFFF00"/>
  </sheetPr>
  <dimension ref="A1:AE38"/>
  <sheetViews>
    <sheetView zoomScale="80" zoomScaleNormal="80" zoomScaleSheetLayoutView="70" workbookViewId="0"/>
  </sheetViews>
  <sheetFormatPr defaultRowHeight="15.75"/>
  <cols>
    <col min="1" max="1" width="3.75" style="2395" customWidth="1"/>
    <col min="2" max="2" width="43.625" style="2395" customWidth="1"/>
    <col min="3" max="3" width="24.5" style="2395" customWidth="1"/>
    <col min="4" max="4" width="40.875" style="2395" customWidth="1"/>
    <col min="5" max="5" width="25" style="2395" bestFit="1" customWidth="1"/>
    <col min="6" max="6" width="18.75" style="2395" bestFit="1" customWidth="1"/>
    <col min="7" max="7" width="16.375" style="2395" customWidth="1"/>
    <col min="8" max="8" width="18.375" style="2395" customWidth="1"/>
    <col min="9" max="9" width="16.25" style="2395" customWidth="1"/>
    <col min="10" max="13" width="13.875" style="2395" customWidth="1"/>
    <col min="14" max="14" width="5" style="2395" customWidth="1"/>
    <col min="15" max="15" width="15.875" style="2395" bestFit="1" customWidth="1"/>
    <col min="16" max="16" width="17.375" style="2395" bestFit="1" customWidth="1"/>
    <col min="17" max="18" width="22.625" style="2395" bestFit="1" customWidth="1"/>
    <col min="19" max="20" width="23.875" style="2395" bestFit="1" customWidth="1"/>
    <col min="21" max="22" width="15.25" style="2395" customWidth="1"/>
    <col min="23" max="23" width="9" style="2395"/>
    <col min="24" max="24" width="19.625" style="2395" bestFit="1" customWidth="1"/>
    <col min="25" max="25" width="11.5" style="2395" bestFit="1" customWidth="1"/>
    <col min="26" max="26" width="12.25" style="2395" bestFit="1" customWidth="1"/>
    <col min="27" max="27" width="14.5" style="2395" bestFit="1" customWidth="1"/>
    <col min="28" max="28" width="14.375" style="2395" bestFit="1" customWidth="1"/>
    <col min="29" max="29" width="11.875" style="2395" bestFit="1" customWidth="1"/>
    <col min="30" max="30" width="11.625" style="2395" bestFit="1" customWidth="1"/>
    <col min="31" max="31" width="11.75" style="2395" bestFit="1" customWidth="1"/>
    <col min="32" max="16384" width="9" style="2395"/>
  </cols>
  <sheetData>
    <row r="1" spans="1:31" ht="16.5">
      <c r="A1" s="2186" t="str">
        <f>+封面!A3&amp;" "&amp;封面!A2</f>
        <v xml:space="preserve"> 中央再保險股份有限公司 年度檢查報表</v>
      </c>
    </row>
    <row r="2" spans="1:31" ht="19.5">
      <c r="B2" s="2428" t="s">
        <v>5869</v>
      </c>
      <c r="J2" s="2429"/>
    </row>
    <row r="3" spans="1:31" ht="6.75" customHeight="1"/>
    <row r="4" spans="1:31" ht="20.25" thickBot="1">
      <c r="B4" s="2500" t="s">
        <v>5908</v>
      </c>
      <c r="C4" s="2399"/>
      <c r="D4" s="2399"/>
      <c r="E4" s="2399"/>
      <c r="F4" s="2399"/>
      <c r="G4" s="2399"/>
      <c r="H4" s="2399"/>
      <c r="I4" s="2473"/>
      <c r="J4" s="2473"/>
      <c r="K4" s="2473"/>
      <c r="L4" s="2473"/>
      <c r="M4" s="2474" t="s">
        <v>5874</v>
      </c>
      <c r="U4" s="2473"/>
    </row>
    <row r="5" spans="1:31" ht="18.75" customHeight="1" thickBot="1">
      <c r="B5" s="3309" t="s">
        <v>5842</v>
      </c>
      <c r="C5" s="3311" t="s">
        <v>5843</v>
      </c>
      <c r="D5" s="3311"/>
      <c r="E5" s="3311"/>
      <c r="F5" s="3311"/>
      <c r="G5" s="3311" t="s">
        <v>5844</v>
      </c>
      <c r="H5" s="3312"/>
      <c r="I5" s="3313" t="s">
        <v>5845</v>
      </c>
      <c r="J5" s="3315" t="s">
        <v>5846</v>
      </c>
      <c r="K5" s="3315"/>
      <c r="L5" s="3315"/>
      <c r="M5" s="3316"/>
    </row>
    <row r="6" spans="1:31" ht="19.5">
      <c r="B6" s="3310"/>
      <c r="C6" s="3317" t="s">
        <v>5847</v>
      </c>
      <c r="D6" s="3317"/>
      <c r="E6" s="3317"/>
      <c r="F6" s="3317"/>
      <c r="G6" s="3317" t="s">
        <v>5848</v>
      </c>
      <c r="H6" s="3318"/>
      <c r="I6" s="3314"/>
      <c r="J6" s="3319" t="s">
        <v>5849</v>
      </c>
      <c r="K6" s="3319" t="s">
        <v>5850</v>
      </c>
      <c r="L6" s="3319" t="s">
        <v>5851</v>
      </c>
      <c r="M6" s="3320" t="s">
        <v>5852</v>
      </c>
      <c r="O6" s="3321" t="s">
        <v>5875</v>
      </c>
      <c r="P6" s="3322"/>
      <c r="Q6" s="3322"/>
      <c r="R6" s="3322"/>
      <c r="S6" s="3322"/>
      <c r="T6" s="3322"/>
      <c r="U6" s="3322"/>
      <c r="V6" s="3323"/>
      <c r="X6" s="3321" t="s">
        <v>5876</v>
      </c>
      <c r="Y6" s="3322"/>
      <c r="Z6" s="3322"/>
      <c r="AA6" s="3322"/>
      <c r="AB6" s="3322"/>
      <c r="AC6" s="3322"/>
      <c r="AD6" s="3322"/>
      <c r="AE6" s="3323"/>
    </row>
    <row r="7" spans="1:31" ht="24.75" customHeight="1">
      <c r="B7" s="3310"/>
      <c r="C7" s="3317" t="s">
        <v>5853</v>
      </c>
      <c r="D7" s="3317"/>
      <c r="E7" s="3317" t="s">
        <v>5854</v>
      </c>
      <c r="F7" s="3317"/>
      <c r="G7" s="3317" t="s">
        <v>5853</v>
      </c>
      <c r="H7" s="3318" t="s">
        <v>5854</v>
      </c>
      <c r="I7" s="3314"/>
      <c r="J7" s="3319"/>
      <c r="K7" s="3319"/>
      <c r="L7" s="3319"/>
      <c r="M7" s="3320"/>
      <c r="O7" s="3324" t="s">
        <v>5877</v>
      </c>
      <c r="P7" s="3325"/>
      <c r="Q7" s="3326" t="s">
        <v>5843</v>
      </c>
      <c r="R7" s="3327"/>
      <c r="S7" s="3327"/>
      <c r="T7" s="3328"/>
      <c r="U7" s="3326" t="s">
        <v>5844</v>
      </c>
      <c r="V7" s="3332"/>
      <c r="X7" s="3324" t="s">
        <v>5877</v>
      </c>
      <c r="Y7" s="3325"/>
      <c r="Z7" s="3326" t="s">
        <v>5843</v>
      </c>
      <c r="AA7" s="3327"/>
      <c r="AB7" s="3327"/>
      <c r="AC7" s="3328"/>
      <c r="AD7" s="3326" t="s">
        <v>5844</v>
      </c>
      <c r="AE7" s="3332"/>
    </row>
    <row r="8" spans="1:31" ht="38.25">
      <c r="B8" s="3310"/>
      <c r="C8" s="2430" t="s">
        <v>5855</v>
      </c>
      <c r="D8" s="2470" t="s">
        <v>5856</v>
      </c>
      <c r="E8" s="2470" t="s">
        <v>5857</v>
      </c>
      <c r="F8" s="2470" t="s">
        <v>5858</v>
      </c>
      <c r="G8" s="3317"/>
      <c r="H8" s="3318"/>
      <c r="I8" s="3314"/>
      <c r="J8" s="3319"/>
      <c r="K8" s="3319"/>
      <c r="L8" s="3319"/>
      <c r="M8" s="3320"/>
      <c r="O8" s="3324"/>
      <c r="P8" s="3325"/>
      <c r="Q8" s="3329"/>
      <c r="R8" s="3330"/>
      <c r="S8" s="3330"/>
      <c r="T8" s="3331"/>
      <c r="U8" s="3329"/>
      <c r="V8" s="3333"/>
      <c r="X8" s="3324"/>
      <c r="Y8" s="3325"/>
      <c r="Z8" s="3329"/>
      <c r="AA8" s="3330"/>
      <c r="AB8" s="3330"/>
      <c r="AC8" s="3331"/>
      <c r="AD8" s="3329"/>
      <c r="AE8" s="3333"/>
    </row>
    <row r="9" spans="1:31" ht="27.6" customHeight="1">
      <c r="B9" s="2431" t="s">
        <v>5823</v>
      </c>
      <c r="C9" s="2432">
        <f>'表30-5-3-1'!B10</f>
        <v>0</v>
      </c>
      <c r="D9" s="2432">
        <f>'表30-5-3-1'!D10</f>
        <v>0</v>
      </c>
      <c r="E9" s="2432">
        <f>'表30-5-3-1'!F10</f>
        <v>0</v>
      </c>
      <c r="F9" s="2432">
        <f>'表30-5-3-1'!H10</f>
        <v>0</v>
      </c>
      <c r="G9" s="2432">
        <f>'表30-5-3-1'!J10</f>
        <v>0</v>
      </c>
      <c r="H9" s="2433">
        <f>'表30-5-3-1'!L10</f>
        <v>0</v>
      </c>
      <c r="I9" s="2434">
        <f>ROUND((C9*Q$11+D9*R$11+E9*S$11+F9*T$11+G9*U$11+H9*V$11)/1000,0)*(1+$P$19)</f>
        <v>0</v>
      </c>
      <c r="J9" s="2432">
        <f>ROUND((C9*Q$12+D9*R$12+E9*S$12+F9*T$12+G9*U$12+H9*V$12)/1000*$P$18,0)*(1+$P$19)</f>
        <v>0</v>
      </c>
      <c r="K9" s="2432">
        <f>ROUND((C9*Q$13+D9*R$13+E9*S$13+F9*T$13+G9*U$13+H9*V$13)/1000*$P$18,0)*(1+$P$19)</f>
        <v>0</v>
      </c>
      <c r="L9" s="2432">
        <f>ROUND((C9*Q$14+D9*R$14+E9*S$14+F9*T$14+G9*U$14+H9*V$14)/1000*$P$18,0)*(1+$P$19)</f>
        <v>0</v>
      </c>
      <c r="M9" s="2435">
        <f>ROUND((C9*Q$15+D9*R$15+E9*S$15+F9*T$15+G9*U$15+H9*V$15)/1000*$P$18,0)*(1+$P$19)</f>
        <v>0</v>
      </c>
      <c r="O9" s="3324"/>
      <c r="P9" s="3325"/>
      <c r="Q9" s="3335" t="s">
        <v>5853</v>
      </c>
      <c r="R9" s="3335"/>
      <c r="S9" s="3335" t="s">
        <v>5854</v>
      </c>
      <c r="T9" s="3335"/>
      <c r="U9" s="3335" t="s">
        <v>5853</v>
      </c>
      <c r="V9" s="3334" t="s">
        <v>5854</v>
      </c>
      <c r="X9" s="3324"/>
      <c r="Y9" s="3325"/>
      <c r="Z9" s="3335" t="s">
        <v>5853</v>
      </c>
      <c r="AA9" s="3335"/>
      <c r="AB9" s="3335" t="s">
        <v>5854</v>
      </c>
      <c r="AC9" s="3335"/>
      <c r="AD9" s="3335" t="s">
        <v>5853</v>
      </c>
      <c r="AE9" s="3334" t="s">
        <v>5854</v>
      </c>
    </row>
    <row r="10" spans="1:31" ht="81" customHeight="1">
      <c r="B10" s="2431" t="s">
        <v>5824</v>
      </c>
      <c r="C10" s="2432">
        <f>'表30-5-3-1'!B11</f>
        <v>0</v>
      </c>
      <c r="D10" s="2432">
        <f>'表30-5-3-1'!D11</f>
        <v>0</v>
      </c>
      <c r="E10" s="2436"/>
      <c r="F10" s="2432">
        <f>'表30-5-3-1'!H11</f>
        <v>0</v>
      </c>
      <c r="G10" s="2432">
        <f>'表30-5-3-1'!J11</f>
        <v>0</v>
      </c>
      <c r="H10" s="2437"/>
      <c r="I10" s="2434">
        <f>ROUND((C10*Z$11+D10*AA$11+F10*AC$11+G10*AD$11)/1000,0)*(1+$Y$20)</f>
        <v>0</v>
      </c>
      <c r="J10" s="2432">
        <f>ROUND((C10*Z$12+D10*AA$12+F10*AC$12+G10*AD$12)/1000*$Y$19,0)*(1+$Y$20)</f>
        <v>0</v>
      </c>
      <c r="K10" s="2432">
        <f>ROUND((C10*Z$13+D10*AA$13+F10*AC$13+G10*AD$13)/1000*$Y$19,0)*(1+$Y$20)</f>
        <v>0</v>
      </c>
      <c r="L10" s="2432">
        <f>ROUND((C10*Z$14+D10*AA$14+F10*AC$14+G10*AD$14)/1000*$Y$19,0)*(1+$Y$20)</f>
        <v>0</v>
      </c>
      <c r="M10" s="2435">
        <f>ROUND((C10*Z$15+D10*AA$15+F10*AC$15+G10*AD$15)/1000*$Y$19,0)*(1+$Y$20)</f>
        <v>0</v>
      </c>
      <c r="O10" s="3324"/>
      <c r="P10" s="3325"/>
      <c r="Q10" s="2438" t="s">
        <v>5855</v>
      </c>
      <c r="R10" s="2471" t="s">
        <v>5856</v>
      </c>
      <c r="S10" s="2471" t="s">
        <v>5857</v>
      </c>
      <c r="T10" s="2471" t="s">
        <v>5858</v>
      </c>
      <c r="U10" s="3335"/>
      <c r="V10" s="3334"/>
      <c r="X10" s="3324"/>
      <c r="Y10" s="3325"/>
      <c r="Z10" s="2438" t="s">
        <v>5855</v>
      </c>
      <c r="AA10" s="2471" t="s">
        <v>5856</v>
      </c>
      <c r="AB10" s="2471" t="s">
        <v>5857</v>
      </c>
      <c r="AC10" s="2471" t="s">
        <v>5858</v>
      </c>
      <c r="AD10" s="3335"/>
      <c r="AE10" s="3334"/>
    </row>
    <row r="11" spans="1:31" ht="35.25" customHeight="1" thickBot="1">
      <c r="B11" s="2439" t="s">
        <v>5859</v>
      </c>
      <c r="C11" s="3336">
        <f>C9+C10</f>
        <v>0</v>
      </c>
      <c r="D11" s="3337"/>
      <c r="E11" s="3337"/>
      <c r="F11" s="3337"/>
      <c r="G11" s="3337"/>
      <c r="H11" s="3338"/>
      <c r="I11" s="2440">
        <f>I9+I10</f>
        <v>0</v>
      </c>
      <c r="J11" s="2441">
        <f t="shared" ref="J11:M11" si="0">J9+J10</f>
        <v>0</v>
      </c>
      <c r="K11" s="2441">
        <f t="shared" si="0"/>
        <v>0</v>
      </c>
      <c r="L11" s="2441">
        <f t="shared" si="0"/>
        <v>0</v>
      </c>
      <c r="M11" s="2442">
        <f t="shared" si="0"/>
        <v>0</v>
      </c>
      <c r="O11" s="3324" t="s">
        <v>5860</v>
      </c>
      <c r="P11" s="3325"/>
      <c r="Q11" s="2443">
        <v>0.51008129612036102</v>
      </c>
      <c r="R11" s="2443">
        <v>0.76951537080273136</v>
      </c>
      <c r="S11" s="2443">
        <v>0.18840227825338127</v>
      </c>
      <c r="T11" s="2443">
        <v>0.576417797391648</v>
      </c>
      <c r="U11" s="2443">
        <v>13.171990056751557</v>
      </c>
      <c r="V11" s="2540">
        <v>8.9480940794809403</v>
      </c>
      <c r="X11" s="3324" t="s">
        <v>5860</v>
      </c>
      <c r="Y11" s="3325"/>
      <c r="Z11" s="2443">
        <v>0.22945857540399353</v>
      </c>
      <c r="AA11" s="2443">
        <v>0.23361295006433341</v>
      </c>
      <c r="AB11" s="2444"/>
      <c r="AC11" s="2443">
        <v>0.21606568396792625</v>
      </c>
      <c r="AD11" s="2443">
        <v>13.171990056751557</v>
      </c>
      <c r="AE11" s="2544"/>
    </row>
    <row r="12" spans="1:31" ht="23.25" customHeight="1">
      <c r="O12" s="3339" t="s">
        <v>5861</v>
      </c>
      <c r="P12" s="2447" t="s">
        <v>5862</v>
      </c>
      <c r="Q12" s="2443">
        <v>2.2764739326853145</v>
      </c>
      <c r="R12" s="2443">
        <v>3.1045964959972259</v>
      </c>
      <c r="S12" s="2443">
        <v>0.84056401066893172</v>
      </c>
      <c r="T12" s="2443">
        <v>2.2672433364071485</v>
      </c>
      <c r="U12" s="2443">
        <v>75.268514610008921</v>
      </c>
      <c r="V12" s="2540">
        <v>24.810624493106239</v>
      </c>
      <c r="X12" s="3339" t="s">
        <v>5861</v>
      </c>
      <c r="Y12" s="2447" t="s">
        <v>5862</v>
      </c>
      <c r="Z12" s="2443">
        <v>0.79089977054142468</v>
      </c>
      <c r="AA12" s="2443">
        <v>0.75474953097707731</v>
      </c>
      <c r="AB12" s="2444"/>
      <c r="AC12" s="2443">
        <v>0.7442262447784127</v>
      </c>
      <c r="AD12" s="2443">
        <v>75.268514610008921</v>
      </c>
      <c r="AE12" s="2544"/>
    </row>
    <row r="13" spans="1:31" ht="23.25" customHeight="1">
      <c r="B13" s="2445"/>
      <c r="C13" s="2399"/>
      <c r="D13" s="2399"/>
      <c r="E13" s="2399"/>
      <c r="F13" s="2399"/>
      <c r="G13" s="2399"/>
      <c r="H13" s="2399"/>
      <c r="O13" s="3339"/>
      <c r="P13" s="2447" t="s">
        <v>5863</v>
      </c>
      <c r="Q13" s="2443">
        <v>5.159850148254578</v>
      </c>
      <c r="R13" s="2443">
        <v>7.2175234778738933</v>
      </c>
      <c r="S13" s="2443">
        <v>2.1065250206520596</v>
      </c>
      <c r="T13" s="2443">
        <v>6.1388495422210507</v>
      </c>
      <c r="U13" s="2443">
        <v>155.24131138314337</v>
      </c>
      <c r="V13" s="2540">
        <v>119.17234387672343</v>
      </c>
      <c r="X13" s="3339"/>
      <c r="Y13" s="2447" t="s">
        <v>5863</v>
      </c>
      <c r="Z13" s="2443">
        <v>2.1530049309183226</v>
      </c>
      <c r="AA13" s="2443">
        <v>2.0414177790237136</v>
      </c>
      <c r="AB13" s="2444"/>
      <c r="AC13" s="2443">
        <v>2.2566860325538967</v>
      </c>
      <c r="AD13" s="2443">
        <v>155.24131138314337</v>
      </c>
      <c r="AE13" s="2544"/>
    </row>
    <row r="14" spans="1:31" ht="23.25" customHeight="1">
      <c r="B14" s="2446"/>
      <c r="C14" s="2399"/>
      <c r="D14" s="2399"/>
      <c r="E14" s="2399"/>
      <c r="F14" s="2399"/>
      <c r="G14" s="2399"/>
      <c r="H14" s="2399"/>
      <c r="O14" s="3339"/>
      <c r="P14" s="2447" t="s">
        <v>5864</v>
      </c>
      <c r="Q14" s="2443">
        <v>7.4268781310117387</v>
      </c>
      <c r="R14" s="2443">
        <v>11.118170357460151</v>
      </c>
      <c r="S14" s="2443">
        <v>3.3545835517061326</v>
      </c>
      <c r="T14" s="2443">
        <v>9.4724658038027485</v>
      </c>
      <c r="U14" s="2443">
        <v>197.57985085127336</v>
      </c>
      <c r="V14" s="2540">
        <v>173.6743714517437</v>
      </c>
      <c r="X14" s="3339"/>
      <c r="Y14" s="2447" t="s">
        <v>5864</v>
      </c>
      <c r="Z14" s="2443">
        <v>3.5248742859932625</v>
      </c>
      <c r="AA14" s="2443">
        <v>3.676708429474048</v>
      </c>
      <c r="AB14" s="2444"/>
      <c r="AC14" s="2443">
        <v>3.93719690785999</v>
      </c>
      <c r="AD14" s="2443">
        <v>197.57985085127336</v>
      </c>
      <c r="AE14" s="2544"/>
    </row>
    <row r="15" spans="1:31" ht="23.25" customHeight="1" thickBot="1">
      <c r="B15" s="2500" t="s">
        <v>5909</v>
      </c>
      <c r="C15" s="2399"/>
      <c r="D15" s="2399"/>
      <c r="E15" s="2399"/>
      <c r="F15" s="2399"/>
      <c r="G15" s="2399"/>
      <c r="H15" s="2399"/>
      <c r="I15" s="2473"/>
      <c r="J15" s="2473"/>
      <c r="K15" s="2473"/>
      <c r="L15" s="2473"/>
      <c r="M15" s="2474" t="s">
        <v>5874</v>
      </c>
      <c r="O15" s="3340"/>
      <c r="P15" s="2541" t="s">
        <v>5865</v>
      </c>
      <c r="Q15" s="2542">
        <v>9.5097100901698788</v>
      </c>
      <c r="R15" s="2542">
        <v>14.965747211473808</v>
      </c>
      <c r="S15" s="2542">
        <v>4.6580545175406121</v>
      </c>
      <c r="T15" s="2542">
        <v>14.506514567689806</v>
      </c>
      <c r="U15" s="2542">
        <v>221.10126166690117</v>
      </c>
      <c r="V15" s="2543">
        <v>230.21005677210053</v>
      </c>
      <c r="X15" s="3340"/>
      <c r="Y15" s="2541" t="s">
        <v>5865</v>
      </c>
      <c r="Z15" s="2542">
        <v>5.1554948005663235</v>
      </c>
      <c r="AA15" s="2542">
        <v>5.3874740330220883</v>
      </c>
      <c r="AB15" s="2545"/>
      <c r="AC15" s="2542">
        <v>5.7377442742593754</v>
      </c>
      <c r="AD15" s="2542">
        <v>221.10126166690117</v>
      </c>
      <c r="AE15" s="2546"/>
    </row>
    <row r="16" spans="1:31" ht="37.5" customHeight="1">
      <c r="B16" s="3309" t="s">
        <v>5842</v>
      </c>
      <c r="C16" s="3351" t="s">
        <v>5843</v>
      </c>
      <c r="D16" s="3352"/>
      <c r="E16" s="3352"/>
      <c r="F16" s="3353"/>
      <c r="G16" s="3311" t="s">
        <v>5844</v>
      </c>
      <c r="H16" s="3351"/>
      <c r="I16" s="3354" t="s">
        <v>5845</v>
      </c>
      <c r="J16" s="3341" t="s">
        <v>5846</v>
      </c>
      <c r="K16" s="3315"/>
      <c r="L16" s="3315"/>
      <c r="M16" s="3316"/>
    </row>
    <row r="17" spans="2:25" ht="20.25" thickBot="1">
      <c r="B17" s="3310"/>
      <c r="C17" s="3317" t="s">
        <v>5847</v>
      </c>
      <c r="D17" s="3317"/>
      <c r="E17" s="3317"/>
      <c r="F17" s="3317"/>
      <c r="G17" s="3317" t="s">
        <v>5848</v>
      </c>
      <c r="H17" s="3356"/>
      <c r="I17" s="3355"/>
      <c r="J17" s="3357" t="s">
        <v>5849</v>
      </c>
      <c r="K17" s="3319" t="s">
        <v>5850</v>
      </c>
      <c r="L17" s="3319" t="s">
        <v>5851</v>
      </c>
      <c r="M17" s="3320" t="s">
        <v>5852</v>
      </c>
    </row>
    <row r="18" spans="2:25" ht="20.25" thickBot="1">
      <c r="B18" s="3310"/>
      <c r="C18" s="3317" t="s">
        <v>5853</v>
      </c>
      <c r="D18" s="3317"/>
      <c r="E18" s="3317" t="s">
        <v>5854</v>
      </c>
      <c r="F18" s="3317"/>
      <c r="G18" s="3317" t="s">
        <v>5853</v>
      </c>
      <c r="H18" s="3356" t="s">
        <v>5854</v>
      </c>
      <c r="I18" s="3355"/>
      <c r="J18" s="3357"/>
      <c r="K18" s="3319"/>
      <c r="L18" s="3319"/>
      <c r="M18" s="3320"/>
      <c r="O18" s="2547" t="s">
        <v>5878</v>
      </c>
      <c r="P18" s="2537">
        <v>0.93426920258915436</v>
      </c>
    </row>
    <row r="19" spans="2:25" ht="39" thickBot="1">
      <c r="B19" s="3310"/>
      <c r="C19" s="2430" t="s">
        <v>5855</v>
      </c>
      <c r="D19" s="2470" t="s">
        <v>5856</v>
      </c>
      <c r="E19" s="2470" t="s">
        <v>5857</v>
      </c>
      <c r="F19" s="2470" t="s">
        <v>5858</v>
      </c>
      <c r="G19" s="3317"/>
      <c r="H19" s="3356"/>
      <c r="I19" s="3355"/>
      <c r="J19" s="3357"/>
      <c r="K19" s="3319"/>
      <c r="L19" s="3319"/>
      <c r="M19" s="3320"/>
      <c r="O19" s="2538" t="s">
        <v>5879</v>
      </c>
      <c r="P19" s="2539">
        <v>0.03</v>
      </c>
      <c r="X19" s="2547" t="s">
        <v>5878</v>
      </c>
      <c r="Y19" s="2537">
        <v>0.93426920258915436</v>
      </c>
    </row>
    <row r="20" spans="2:25" ht="31.5" customHeight="1" thickBot="1">
      <c r="B20" s="2431" t="s">
        <v>5823</v>
      </c>
      <c r="C20" s="2432">
        <f>'表30-5-3-1'!C10</f>
        <v>0</v>
      </c>
      <c r="D20" s="2432">
        <f>'表30-5-3-1'!E10</f>
        <v>0</v>
      </c>
      <c r="E20" s="2432">
        <f>'表30-5-3-1'!G10</f>
        <v>0</v>
      </c>
      <c r="F20" s="2432">
        <f>'表30-5-3-1'!I10</f>
        <v>0</v>
      </c>
      <c r="G20" s="2432">
        <f>'表30-5-3-1'!K10</f>
        <v>0</v>
      </c>
      <c r="H20" s="2448">
        <f>'表30-5-3-1'!M10</f>
        <v>0</v>
      </c>
      <c r="I20" s="2449">
        <f>ROUND((C20*Q$11+D20*R$11+E20*S$11+F20*T$11+G20*U$11+H20*V$11)/1000,0)*(1+$P$19)</f>
        <v>0</v>
      </c>
      <c r="J20" s="2450">
        <f>ROUND((C20*Q$12+D20*R$12+E20*S$12+F20*T$12+G20*U$12+H20*V$12)/1000*$P$18,0)*(1+$P$19)</f>
        <v>0</v>
      </c>
      <c r="K20" s="2451">
        <f>ROUND((C20*Q$13+D20*R$13+E20*S$13+F20*T$13+G20*U$13+H20*V$13)/1000*$P$18,0)*(1+$P$19)</f>
        <v>0</v>
      </c>
      <c r="L20" s="2451">
        <f>ROUND((C20*Q$14+D20*R$14+E20*S$14+F20*T$14+G20*U$14+H20*V$14)/1000*$P$18,0)*(1+$P$19)</f>
        <v>0</v>
      </c>
      <c r="M20" s="2452">
        <f>ROUND((C20*Q$15+D20*R$15+E20*S$15+F20*T$15+G20*U$15+H20*V$15)/1000*$P$18,0)*(1+$P$19)</f>
        <v>0</v>
      </c>
      <c r="X20" s="2538" t="s">
        <v>5879</v>
      </c>
      <c r="Y20" s="2539">
        <v>0.03</v>
      </c>
    </row>
    <row r="21" spans="2:25" ht="31.5" customHeight="1" thickBot="1">
      <c r="B21" s="2439" t="s">
        <v>5824</v>
      </c>
      <c r="C21" s="2432">
        <f>'表30-5-3-1'!C11</f>
        <v>0</v>
      </c>
      <c r="D21" s="2432">
        <f>'表30-5-3-1'!E11</f>
        <v>0</v>
      </c>
      <c r="E21" s="2436"/>
      <c r="F21" s="2432">
        <f>'表30-5-3-1'!I11</f>
        <v>0</v>
      </c>
      <c r="G21" s="2432">
        <f>'表30-5-3-1'!K11</f>
        <v>0</v>
      </c>
      <c r="H21" s="2453"/>
      <c r="I21" s="2449">
        <f>ROUND((C21*Z$11+D21*AA$11+F21*AC$11+G21*AD$11)/1000,0)*(1+$Y$20)</f>
        <v>0</v>
      </c>
      <c r="J21" s="2441">
        <f>ROUND((C21*Z$12+D21*AA$12+F21*AC$12+G21*AD$12)/1000*$Y$19,0)*(1+$Y$20)</f>
        <v>0</v>
      </c>
      <c r="K21" s="2441">
        <f>ROUND((C21*Z$13+D21*AA$13+F21*AC$13+G21*AD$13)/1000*$Y$19,0)*(1+$Y$20)</f>
        <v>0</v>
      </c>
      <c r="L21" s="2441">
        <f>ROUND((C21*Z$14+D21*AA$14+F21*AC$14+G21*AD$14)/1000*$Y$19,0)*(1+$Y$20)</f>
        <v>0</v>
      </c>
      <c r="M21" s="2442">
        <f>ROUND((C21*Z$15+D21*AA$15+F21*AC$15+G21*AD$15)/1000*$Y$19,0)*(1+$Y$20)</f>
        <v>0</v>
      </c>
    </row>
    <row r="22" spans="2:25" ht="31.5" customHeight="1" thickBot="1">
      <c r="B22" s="2439" t="s">
        <v>5859</v>
      </c>
      <c r="C22" s="3342"/>
      <c r="D22" s="3343"/>
      <c r="E22" s="3343"/>
      <c r="F22" s="3343"/>
      <c r="G22" s="3343"/>
      <c r="H22" s="3343"/>
      <c r="I22" s="3344"/>
      <c r="J22" s="2432">
        <f>SUM(J20:J21)</f>
        <v>0</v>
      </c>
      <c r="K22" s="2432">
        <f t="shared" ref="K22:M22" si="1">SUM(K20:K21)</f>
        <v>0</v>
      </c>
      <c r="L22" s="2432">
        <f t="shared" si="1"/>
        <v>0</v>
      </c>
      <c r="M22" s="2435">
        <f t="shared" si="1"/>
        <v>0</v>
      </c>
    </row>
    <row r="23" spans="2:25" ht="27" customHeight="1">
      <c r="B23" s="2454" t="s">
        <v>5866</v>
      </c>
      <c r="C23" s="3345"/>
      <c r="D23" s="3346"/>
      <c r="E23" s="3346"/>
      <c r="F23" s="3346"/>
      <c r="G23" s="3346"/>
      <c r="H23" s="3346"/>
      <c r="I23" s="3347"/>
      <c r="J23" s="2455"/>
      <c r="K23" s="2455"/>
      <c r="L23" s="2455"/>
      <c r="M23" s="2456"/>
    </row>
    <row r="24" spans="2:25" ht="27" customHeight="1" thickBot="1">
      <c r="B24" s="2457" t="s">
        <v>5867</v>
      </c>
      <c r="C24" s="3348"/>
      <c r="D24" s="3349"/>
      <c r="E24" s="3349"/>
      <c r="F24" s="3349"/>
      <c r="G24" s="3349"/>
      <c r="H24" s="3349"/>
      <c r="I24" s="3350"/>
      <c r="J24" s="2441">
        <f>(J20+J21)-J23</f>
        <v>0</v>
      </c>
      <c r="K24" s="2441">
        <f t="shared" ref="K24:M24" si="2">(K20+K21)-K23</f>
        <v>0</v>
      </c>
      <c r="L24" s="2441">
        <f t="shared" si="2"/>
        <v>0</v>
      </c>
      <c r="M24" s="2442">
        <f t="shared" si="2"/>
        <v>0</v>
      </c>
    </row>
    <row r="26" spans="2:25" ht="29.25" customHeight="1">
      <c r="H26" s="2399"/>
    </row>
    <row r="27" spans="2:25" ht="16.5" thickBot="1"/>
    <row r="28" spans="2:25" ht="20.25" thickBot="1">
      <c r="B28" s="2501" t="s">
        <v>5910</v>
      </c>
      <c r="C28" s="2475"/>
      <c r="D28" s="2476"/>
      <c r="E28" s="2475"/>
      <c r="F28" s="2475"/>
      <c r="G28" s="2475"/>
      <c r="H28" s="2475"/>
      <c r="I28" s="2476" t="s">
        <v>5880</v>
      </c>
      <c r="O28" s="3358" t="s">
        <v>5881</v>
      </c>
      <c r="P28" s="3359"/>
      <c r="Q28" s="3359"/>
      <c r="R28" s="3359"/>
      <c r="S28" s="3359"/>
      <c r="T28" s="3360"/>
      <c r="U28" s="2399"/>
      <c r="V28" s="2399"/>
      <c r="W28" s="2399"/>
    </row>
    <row r="29" spans="2:25" ht="19.5">
      <c r="B29" s="3361" t="s">
        <v>5882</v>
      </c>
      <c r="C29" s="3362"/>
      <c r="D29" s="2477" t="s">
        <v>5883</v>
      </c>
      <c r="E29" s="3363" t="s">
        <v>5884</v>
      </c>
      <c r="F29" s="3365" t="s">
        <v>5885</v>
      </c>
      <c r="G29" s="3365"/>
      <c r="H29" s="3365"/>
      <c r="I29" s="3366"/>
      <c r="O29" s="3367" t="s">
        <v>5886</v>
      </c>
      <c r="P29" s="3368"/>
      <c r="Q29" s="3368"/>
      <c r="R29" s="3368"/>
      <c r="S29" s="3368"/>
      <c r="T29" s="3369"/>
      <c r="U29" s="2399"/>
      <c r="V29" s="2399"/>
      <c r="W29" s="2399"/>
    </row>
    <row r="30" spans="2:25" ht="19.5">
      <c r="B30" s="3370" t="s">
        <v>5887</v>
      </c>
      <c r="C30" s="3371"/>
      <c r="D30" s="2478" t="s">
        <v>5828</v>
      </c>
      <c r="E30" s="3364"/>
      <c r="F30" s="2479" t="s">
        <v>5888</v>
      </c>
      <c r="G30" s="2479" t="s">
        <v>5889</v>
      </c>
      <c r="H30" s="2479" t="s">
        <v>5890</v>
      </c>
      <c r="I30" s="2480" t="s">
        <v>5891</v>
      </c>
      <c r="O30" s="2526" t="s">
        <v>5892</v>
      </c>
      <c r="P30" s="2481" t="s">
        <v>5893</v>
      </c>
      <c r="Q30" s="2481" t="s">
        <v>5894</v>
      </c>
      <c r="R30" s="2481" t="s">
        <v>5895</v>
      </c>
      <c r="S30" s="2481" t="s">
        <v>5896</v>
      </c>
      <c r="T30" s="2548" t="s">
        <v>5897</v>
      </c>
      <c r="U30" s="2399"/>
      <c r="V30" s="2399"/>
      <c r="W30" s="2399"/>
    </row>
    <row r="31" spans="2:25" ht="20.25" thickBot="1">
      <c r="B31" s="3372"/>
      <c r="C31" s="3373"/>
      <c r="D31" s="2482">
        <f>'表30-5-3-1'!C25</f>
        <v>0</v>
      </c>
      <c r="E31" s="2483">
        <f>$D31*P$31/1000*(1+$P$34)</f>
        <v>0</v>
      </c>
      <c r="F31" s="2484">
        <f>$D31*Q$31/1000*(1+$P$34)</f>
        <v>0</v>
      </c>
      <c r="G31" s="2484">
        <f>$D31*R$31/1000*(1+$P$34)</f>
        <v>0</v>
      </c>
      <c r="H31" s="2484">
        <f>$D31*S$31/1000*(1+$P$34)</f>
        <v>0</v>
      </c>
      <c r="I31" s="2485">
        <f>$D31*T$31/1000*(1+$P$34)</f>
        <v>0</v>
      </c>
      <c r="O31" s="2528" t="s">
        <v>5898</v>
      </c>
      <c r="P31" s="2529">
        <v>3.150684931506849E-3</v>
      </c>
      <c r="Q31" s="2529">
        <v>0</v>
      </c>
      <c r="R31" s="2529">
        <v>4.1095890410958961E-4</v>
      </c>
      <c r="S31" s="2529">
        <v>2.7671232876712328E-2</v>
      </c>
      <c r="T31" s="2530">
        <v>0.1336986301369863</v>
      </c>
      <c r="U31" s="2399"/>
      <c r="V31" s="2399"/>
      <c r="W31" s="2399"/>
    </row>
    <row r="32" spans="2:25" ht="19.5" thickBot="1">
      <c r="B32" s="2486"/>
      <c r="C32" s="2487"/>
      <c r="D32" s="2488"/>
      <c r="E32" s="2488"/>
      <c r="F32" s="2475"/>
      <c r="G32" s="2475"/>
      <c r="H32" s="2475"/>
      <c r="I32" s="2475"/>
      <c r="O32" s="2475"/>
      <c r="P32" s="2475"/>
      <c r="Q32" s="2475"/>
      <c r="R32" s="2475"/>
      <c r="S32" s="2489"/>
      <c r="T32" s="2489"/>
      <c r="U32" s="2399"/>
      <c r="V32" s="2399"/>
      <c r="W32" s="2399"/>
    </row>
    <row r="33" spans="2:23" ht="20.25" thickBot="1">
      <c r="B33" s="2501" t="s">
        <v>5911</v>
      </c>
      <c r="C33" s="2475"/>
      <c r="D33" s="2475"/>
      <c r="E33" s="2476"/>
      <c r="F33" s="2475"/>
      <c r="G33" s="2475"/>
      <c r="H33" s="2475"/>
      <c r="I33" s="2476" t="s">
        <v>5880</v>
      </c>
      <c r="O33" s="2533" t="s">
        <v>5892</v>
      </c>
      <c r="P33" s="2534" t="s">
        <v>5899</v>
      </c>
      <c r="Q33" s="2549"/>
      <c r="R33" s="2475"/>
      <c r="S33" s="2489"/>
      <c r="T33" s="2489"/>
      <c r="U33" s="2399"/>
      <c r="V33" s="2399"/>
      <c r="W33" s="2399"/>
    </row>
    <row r="34" spans="2:23" ht="20.25" thickBot="1">
      <c r="B34" s="3361" t="s">
        <v>5882</v>
      </c>
      <c r="C34" s="3362"/>
      <c r="D34" s="2490" t="s">
        <v>5883</v>
      </c>
      <c r="E34" s="3374" t="s">
        <v>5884</v>
      </c>
      <c r="F34" s="3376" t="s">
        <v>5885</v>
      </c>
      <c r="G34" s="3376"/>
      <c r="H34" s="3376"/>
      <c r="I34" s="3377"/>
      <c r="O34" s="2535" t="s">
        <v>5900</v>
      </c>
      <c r="P34" s="2536">
        <v>0.08</v>
      </c>
      <c r="Q34" s="2550"/>
      <c r="R34" s="2489"/>
      <c r="S34" s="2489"/>
      <c r="T34" s="2489"/>
      <c r="U34" s="2399"/>
      <c r="V34" s="2399"/>
      <c r="W34" s="2399"/>
    </row>
    <row r="35" spans="2:23" ht="19.5">
      <c r="B35" s="3370" t="s">
        <v>5887</v>
      </c>
      <c r="C35" s="3371"/>
      <c r="D35" s="2491" t="s">
        <v>5901</v>
      </c>
      <c r="E35" s="3375"/>
      <c r="F35" s="2401" t="s">
        <v>5888</v>
      </c>
      <c r="G35" s="2401" t="s">
        <v>5889</v>
      </c>
      <c r="H35" s="2401" t="s">
        <v>5890</v>
      </c>
      <c r="I35" s="2492" t="s">
        <v>5891</v>
      </c>
    </row>
    <row r="36" spans="2:23" ht="19.5" thickBot="1">
      <c r="B36" s="3378"/>
      <c r="C36" s="3379"/>
      <c r="D36" s="2493">
        <f>'表30-5-3-1'!D25</f>
        <v>0</v>
      </c>
      <c r="E36" s="2483">
        <f>$D36*P$31/1000*(1+$P$34)</f>
        <v>0</v>
      </c>
      <c r="F36" s="2484">
        <f t="shared" ref="F36:I36" si="3">$D36*Q$31/1000*(1+$P$34)</f>
        <v>0</v>
      </c>
      <c r="G36" s="2484">
        <f t="shared" si="3"/>
        <v>0</v>
      </c>
      <c r="H36" s="2484">
        <f t="shared" si="3"/>
        <v>0</v>
      </c>
      <c r="I36" s="2485">
        <f t="shared" si="3"/>
        <v>0</v>
      </c>
    </row>
    <row r="37" spans="2:23" ht="20.25" thickBot="1">
      <c r="B37" s="3380" t="s">
        <v>5868</v>
      </c>
      <c r="C37" s="3381"/>
      <c r="D37" s="3382"/>
      <c r="E37" s="3383"/>
      <c r="F37" s="2494"/>
      <c r="G37" s="2494"/>
      <c r="H37" s="2494"/>
      <c r="I37" s="2495"/>
    </row>
    <row r="38" spans="2:23" ht="20.25" thickBot="1">
      <c r="B38" s="3386" t="s">
        <v>5902</v>
      </c>
      <c r="C38" s="3387"/>
      <c r="D38" s="3384"/>
      <c r="E38" s="3385"/>
      <c r="F38" s="2496">
        <f>F36-F37</f>
        <v>0</v>
      </c>
      <c r="G38" s="2496">
        <f>G36-G37</f>
        <v>0</v>
      </c>
      <c r="H38" s="2496">
        <f>H36-H37</f>
        <v>0</v>
      </c>
      <c r="I38" s="2497">
        <f>I36-I37</f>
        <v>0</v>
      </c>
    </row>
  </sheetData>
  <mergeCells count="65">
    <mergeCell ref="B34:C34"/>
    <mergeCell ref="E34:E35"/>
    <mergeCell ref="F34:I34"/>
    <mergeCell ref="B35:C36"/>
    <mergeCell ref="B37:C37"/>
    <mergeCell ref="D37:E38"/>
    <mergeCell ref="B38:C38"/>
    <mergeCell ref="O28:T28"/>
    <mergeCell ref="B29:C29"/>
    <mergeCell ref="E29:E30"/>
    <mergeCell ref="F29:I29"/>
    <mergeCell ref="O29:T29"/>
    <mergeCell ref="B30:C31"/>
    <mergeCell ref="M17:M19"/>
    <mergeCell ref="C18:D18"/>
    <mergeCell ref="E18:F18"/>
    <mergeCell ref="G18:G19"/>
    <mergeCell ref="H18:H19"/>
    <mergeCell ref="J17:J19"/>
    <mergeCell ref="K17:K19"/>
    <mergeCell ref="L17:L19"/>
    <mergeCell ref="C22:I24"/>
    <mergeCell ref="B16:B19"/>
    <mergeCell ref="C16:F16"/>
    <mergeCell ref="G16:H16"/>
    <mergeCell ref="I16:I19"/>
    <mergeCell ref="C17:F17"/>
    <mergeCell ref="G17:H17"/>
    <mergeCell ref="V9:V10"/>
    <mergeCell ref="Z9:AA9"/>
    <mergeCell ref="AB9:AC9"/>
    <mergeCell ref="AD9:AD10"/>
    <mergeCell ref="J16:M16"/>
    <mergeCell ref="C11:H11"/>
    <mergeCell ref="O11:P11"/>
    <mergeCell ref="X11:Y11"/>
    <mergeCell ref="O12:O15"/>
    <mergeCell ref="X12:X15"/>
    <mergeCell ref="O6:V6"/>
    <mergeCell ref="X6:AE6"/>
    <mergeCell ref="C7:D7"/>
    <mergeCell ref="E7:F7"/>
    <mergeCell ref="G7:G8"/>
    <mergeCell ref="H7:H8"/>
    <mergeCell ref="O7:P10"/>
    <mergeCell ref="Q7:T8"/>
    <mergeCell ref="U7:V8"/>
    <mergeCell ref="AE9:AE10"/>
    <mergeCell ref="X7:Y10"/>
    <mergeCell ref="Z7:AC8"/>
    <mergeCell ref="AD7:AE8"/>
    <mergeCell ref="Q9:R9"/>
    <mergeCell ref="S9:T9"/>
    <mergeCell ref="U9:U10"/>
    <mergeCell ref="B5:B8"/>
    <mergeCell ref="C5:F5"/>
    <mergeCell ref="G5:H5"/>
    <mergeCell ref="I5:I8"/>
    <mergeCell ref="J5:M5"/>
    <mergeCell ref="C6:F6"/>
    <mergeCell ref="G6:H6"/>
    <mergeCell ref="J6:J8"/>
    <mergeCell ref="K6:K8"/>
    <mergeCell ref="L6:L8"/>
    <mergeCell ref="M6:M8"/>
  </mergeCells>
  <phoneticPr fontId="30" type="noConversion"/>
  <pageMargins left="0.70866141732283472" right="0.70866141732283472" top="0.74803149606299213" bottom="0.74803149606299213" header="0.31496062992125984" footer="0.31496062992125984"/>
  <pageSetup paperSize="9" scale="40" fitToWidth="0" orientation="landscape" r:id="rId1"/>
  <headerFooter scaleWithDoc="0">
    <oddFooter>&amp;R&amp;A</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tabColor rgb="FFFFFF00"/>
  </sheetPr>
  <dimension ref="A1:AF38"/>
  <sheetViews>
    <sheetView topLeftCell="A10" workbookViewId="0">
      <selection activeCell="A38" sqref="A38:B38"/>
    </sheetView>
  </sheetViews>
  <sheetFormatPr defaultColWidth="15.625" defaultRowHeight="15.75"/>
  <cols>
    <col min="1" max="1" width="5.625" style="1555" customWidth="1"/>
    <col min="2" max="16384" width="15.625" style="1555"/>
  </cols>
  <sheetData>
    <row r="1" spans="1:32" ht="16.5">
      <c r="A1" s="2186" t="str">
        <f>+封面!A3&amp;" "&amp;封面!A2</f>
        <v xml:space="preserve"> 中央再保險股份有限公司 年度檢查報表</v>
      </c>
      <c r="H1" s="23"/>
      <c r="I1" s="23"/>
      <c r="J1" s="23"/>
      <c r="K1" s="23"/>
      <c r="L1" s="23"/>
      <c r="M1" s="23"/>
      <c r="N1" s="23"/>
      <c r="O1" s="23"/>
      <c r="P1" s="23"/>
      <c r="Q1" s="23"/>
      <c r="R1" s="23"/>
      <c r="S1" s="23"/>
      <c r="T1" s="23"/>
      <c r="U1" s="23"/>
      <c r="V1" s="23"/>
      <c r="W1" s="23"/>
      <c r="X1" s="23"/>
      <c r="Y1" s="23"/>
      <c r="Z1" s="23"/>
      <c r="AA1" s="23"/>
      <c r="AB1" s="23"/>
      <c r="AC1" s="23"/>
      <c r="AD1" s="23"/>
      <c r="AE1" s="23"/>
    </row>
    <row r="2" spans="1:32" ht="16.5">
      <c r="A2" s="1729" t="s">
        <v>3435</v>
      </c>
      <c r="B2" s="1730"/>
      <c r="C2" s="1730"/>
      <c r="D2" s="1730"/>
      <c r="E2" s="1730"/>
      <c r="F2" s="1730"/>
      <c r="G2" s="23"/>
      <c r="H2" s="23"/>
      <c r="I2" s="23"/>
      <c r="J2" s="23"/>
      <c r="K2" s="23"/>
      <c r="L2" s="23"/>
      <c r="M2" s="23"/>
      <c r="N2" s="23"/>
      <c r="O2" s="23"/>
      <c r="P2" s="23"/>
      <c r="Q2" s="23"/>
      <c r="R2" s="23"/>
      <c r="S2" s="23"/>
      <c r="T2" s="23"/>
      <c r="U2" s="23"/>
      <c r="V2" s="23"/>
      <c r="W2" s="23"/>
      <c r="X2" s="23"/>
      <c r="Z2" s="23"/>
      <c r="AA2" s="23"/>
      <c r="AB2" s="23"/>
      <c r="AC2" s="23"/>
      <c r="AD2" s="23"/>
      <c r="AE2" s="23"/>
      <c r="AF2" s="1558" t="s">
        <v>4453</v>
      </c>
    </row>
    <row r="3" spans="1:32" ht="15.75" customHeight="1">
      <c r="A3" s="2852" t="s">
        <v>3565</v>
      </c>
      <c r="B3" s="2850" t="s">
        <v>4438</v>
      </c>
      <c r="C3" s="2850" t="s">
        <v>4439</v>
      </c>
      <c r="D3" s="2850" t="s">
        <v>4440</v>
      </c>
      <c r="E3" s="2850" t="s">
        <v>4694</v>
      </c>
      <c r="F3" s="2850" t="s">
        <v>3568</v>
      </c>
      <c r="G3" s="2850" t="s">
        <v>3569</v>
      </c>
      <c r="H3" s="2850" t="s">
        <v>4442</v>
      </c>
      <c r="I3" s="2850" t="s">
        <v>4695</v>
      </c>
      <c r="J3" s="2850" t="s">
        <v>4696</v>
      </c>
      <c r="K3" s="2850"/>
      <c r="L3" s="2850" t="s">
        <v>4441</v>
      </c>
      <c r="M3" s="2850"/>
      <c r="N3" s="2850"/>
      <c r="O3" s="2850"/>
      <c r="P3" s="2850"/>
      <c r="Q3" s="2850" t="s">
        <v>4697</v>
      </c>
      <c r="R3" s="2850"/>
      <c r="S3" s="2850" t="s">
        <v>4443</v>
      </c>
      <c r="T3" s="2850" t="s">
        <v>4499</v>
      </c>
      <c r="U3" s="2850" t="s">
        <v>3576</v>
      </c>
      <c r="V3" s="2850" t="s">
        <v>3577</v>
      </c>
      <c r="W3" s="2850" t="s">
        <v>3578</v>
      </c>
      <c r="X3" s="2850" t="s">
        <v>4698</v>
      </c>
      <c r="Y3" s="2850" t="s">
        <v>4501</v>
      </c>
      <c r="Z3" s="2850" t="s">
        <v>4444</v>
      </c>
      <c r="AA3" s="2850"/>
      <c r="AB3" s="2850" t="s">
        <v>4699</v>
      </c>
      <c r="AC3" s="2850" t="s">
        <v>3582</v>
      </c>
      <c r="AD3" s="2850" t="s">
        <v>4700</v>
      </c>
      <c r="AE3" s="2850" t="s">
        <v>4701</v>
      </c>
      <c r="AF3" s="2850" t="s">
        <v>3449</v>
      </c>
    </row>
    <row r="4" spans="1:32" ht="33">
      <c r="A4" s="2852"/>
      <c r="B4" s="2850"/>
      <c r="C4" s="2850"/>
      <c r="D4" s="2850"/>
      <c r="E4" s="2850"/>
      <c r="F4" s="2850"/>
      <c r="G4" s="2850"/>
      <c r="H4" s="2850"/>
      <c r="I4" s="2850"/>
      <c r="J4" s="428" t="s">
        <v>4502</v>
      </c>
      <c r="K4" s="428" t="s">
        <v>4503</v>
      </c>
      <c r="L4" s="428" t="s">
        <v>3583</v>
      </c>
      <c r="M4" s="428" t="s">
        <v>3584</v>
      </c>
      <c r="N4" s="428" t="s">
        <v>4502</v>
      </c>
      <c r="O4" s="428" t="s">
        <v>4503</v>
      </c>
      <c r="P4" s="428" t="s">
        <v>4447</v>
      </c>
      <c r="Q4" s="428" t="s">
        <v>3583</v>
      </c>
      <c r="R4" s="428" t="s">
        <v>3584</v>
      </c>
      <c r="S4" s="2850"/>
      <c r="T4" s="2850"/>
      <c r="U4" s="2850"/>
      <c r="V4" s="2850"/>
      <c r="W4" s="2850"/>
      <c r="X4" s="2850"/>
      <c r="Y4" s="2850"/>
      <c r="Z4" s="428" t="s">
        <v>4448</v>
      </c>
      <c r="AA4" s="428" t="s">
        <v>4449</v>
      </c>
      <c r="AB4" s="2851"/>
      <c r="AC4" s="2850"/>
      <c r="AD4" s="2850"/>
      <c r="AE4" s="2850"/>
      <c r="AF4" s="2850"/>
    </row>
    <row r="5" spans="1:32">
      <c r="A5" s="2852"/>
      <c r="B5" s="1551" t="s">
        <v>66</v>
      </c>
      <c r="C5" s="1551" t="s">
        <v>67</v>
      </c>
      <c r="D5" s="1551" t="s">
        <v>68</v>
      </c>
      <c r="E5" s="1551" t="s">
        <v>69</v>
      </c>
      <c r="F5" s="1551" t="s">
        <v>70</v>
      </c>
      <c r="G5" s="1551" t="s">
        <v>71</v>
      </c>
      <c r="H5" s="1551" t="s">
        <v>72</v>
      </c>
      <c r="I5" s="1551" t="s">
        <v>454</v>
      </c>
      <c r="J5" s="1551" t="s">
        <v>74</v>
      </c>
      <c r="K5" s="1551" t="s">
        <v>75</v>
      </c>
      <c r="L5" s="1551" t="s">
        <v>225</v>
      </c>
      <c r="M5" s="1551" t="s">
        <v>226</v>
      </c>
      <c r="N5" s="1551" t="s">
        <v>274</v>
      </c>
      <c r="O5" s="1551" t="s">
        <v>275</v>
      </c>
      <c r="P5" s="1551" t="s">
        <v>276</v>
      </c>
      <c r="Q5" s="1551" t="s">
        <v>277</v>
      </c>
      <c r="R5" s="1551" t="s">
        <v>278</v>
      </c>
      <c r="S5" s="1551" t="s">
        <v>138</v>
      </c>
      <c r="T5" s="1551" t="s">
        <v>139</v>
      </c>
      <c r="U5" s="1551" t="s">
        <v>140</v>
      </c>
      <c r="V5" s="1551" t="s">
        <v>141</v>
      </c>
      <c r="W5" s="1551" t="s">
        <v>201</v>
      </c>
      <c r="X5" s="1551" t="s">
        <v>202</v>
      </c>
      <c r="Y5" s="1551" t="s">
        <v>817</v>
      </c>
      <c r="Z5" s="1551" t="s">
        <v>244</v>
      </c>
      <c r="AA5" s="1551" t="s">
        <v>245</v>
      </c>
      <c r="AB5" s="1551" t="s">
        <v>246</v>
      </c>
      <c r="AC5" s="1551" t="s">
        <v>247</v>
      </c>
      <c r="AD5" s="1551" t="s">
        <v>248</v>
      </c>
      <c r="AE5" s="1551" t="s">
        <v>249</v>
      </c>
      <c r="AF5" s="1551" t="s">
        <v>1401</v>
      </c>
    </row>
    <row r="6" spans="1:32">
      <c r="A6" s="1552">
        <v>1</v>
      </c>
      <c r="B6" s="1731"/>
      <c r="C6" s="1731"/>
      <c r="D6" s="1731"/>
      <c r="E6" s="1731"/>
      <c r="F6" s="1731"/>
      <c r="G6" s="1731"/>
      <c r="H6" s="1731"/>
      <c r="I6" s="1731"/>
      <c r="J6" s="1731"/>
      <c r="K6" s="1731"/>
      <c r="L6" s="1731"/>
      <c r="M6" s="1731"/>
      <c r="N6" s="1731"/>
      <c r="O6" s="1731"/>
      <c r="P6" s="1731"/>
      <c r="Q6" s="1731"/>
      <c r="R6" s="1731"/>
      <c r="S6" s="1731"/>
      <c r="T6" s="1731"/>
      <c r="U6" s="1732"/>
      <c r="V6" s="1731"/>
      <c r="W6" s="1733"/>
      <c r="X6" s="1733"/>
      <c r="Y6" s="1733"/>
      <c r="Z6" s="1734"/>
      <c r="AA6" s="1733"/>
      <c r="AB6" s="1732"/>
      <c r="AC6" s="1731"/>
      <c r="AD6" s="1731"/>
      <c r="AE6" s="1731"/>
      <c r="AF6" s="1731"/>
    </row>
    <row r="7" spans="1:32">
      <c r="A7" s="1552">
        <v>2</v>
      </c>
      <c r="B7" s="1731"/>
      <c r="C7" s="1731"/>
      <c r="D7" s="1731"/>
      <c r="E7" s="1731"/>
      <c r="F7" s="1731"/>
      <c r="G7" s="1731"/>
      <c r="H7" s="1731"/>
      <c r="I7" s="1731"/>
      <c r="J7" s="1731"/>
      <c r="K7" s="1731"/>
      <c r="L7" s="1731"/>
      <c r="M7" s="1731"/>
      <c r="N7" s="1731"/>
      <c r="O7" s="1731"/>
      <c r="P7" s="1731"/>
      <c r="Q7" s="1731"/>
      <c r="R7" s="1731"/>
      <c r="S7" s="1731"/>
      <c r="T7" s="1731"/>
      <c r="U7" s="1732"/>
      <c r="V7" s="1731"/>
      <c r="W7" s="1733"/>
      <c r="X7" s="1733"/>
      <c r="Y7" s="1733"/>
      <c r="Z7" s="1734"/>
      <c r="AA7" s="1733"/>
      <c r="AB7" s="1732"/>
      <c r="AC7" s="1731"/>
      <c r="AD7" s="1731"/>
      <c r="AE7" s="1731"/>
      <c r="AF7" s="1731"/>
    </row>
    <row r="8" spans="1:32">
      <c r="A8" s="1552">
        <v>3</v>
      </c>
      <c r="B8" s="1731"/>
      <c r="C8" s="1731"/>
      <c r="D8" s="1731"/>
      <c r="E8" s="1731"/>
      <c r="F8" s="1731"/>
      <c r="G8" s="1731"/>
      <c r="H8" s="1731"/>
      <c r="I8" s="1731"/>
      <c r="J8" s="1731"/>
      <c r="K8" s="1731"/>
      <c r="L8" s="1731"/>
      <c r="M8" s="1731"/>
      <c r="N8" s="1731"/>
      <c r="O8" s="1731"/>
      <c r="P8" s="1731"/>
      <c r="Q8" s="1731"/>
      <c r="R8" s="1731"/>
      <c r="S8" s="1731"/>
      <c r="T8" s="1731"/>
      <c r="U8" s="1732"/>
      <c r="V8" s="1731"/>
      <c r="W8" s="1733"/>
      <c r="X8" s="1733"/>
      <c r="Y8" s="1733"/>
      <c r="Z8" s="1734"/>
      <c r="AA8" s="1733"/>
      <c r="AB8" s="1732"/>
      <c r="AC8" s="1731"/>
      <c r="AD8" s="1731"/>
      <c r="AE8" s="1731"/>
      <c r="AF8" s="1731"/>
    </row>
    <row r="9" spans="1:32">
      <c r="A9" s="1552">
        <v>4</v>
      </c>
      <c r="B9" s="1731"/>
      <c r="C9" s="1731"/>
      <c r="D9" s="1731"/>
      <c r="E9" s="1731"/>
      <c r="F9" s="1731"/>
      <c r="G9" s="1731"/>
      <c r="H9" s="1731"/>
      <c r="I9" s="1731"/>
      <c r="J9" s="1731"/>
      <c r="K9" s="1731"/>
      <c r="L9" s="1731"/>
      <c r="M9" s="1731"/>
      <c r="N9" s="1731"/>
      <c r="O9" s="1731"/>
      <c r="P9" s="1731"/>
      <c r="Q9" s="1731"/>
      <c r="R9" s="1731"/>
      <c r="S9" s="1731"/>
      <c r="T9" s="1731"/>
      <c r="U9" s="1732"/>
      <c r="V9" s="1731"/>
      <c r="W9" s="1733"/>
      <c r="X9" s="1733"/>
      <c r="Y9" s="1733"/>
      <c r="Z9" s="1734"/>
      <c r="AA9" s="1733"/>
      <c r="AB9" s="1732"/>
      <c r="AC9" s="1731"/>
      <c r="AD9" s="1731"/>
      <c r="AE9" s="1731"/>
      <c r="AF9" s="1731"/>
    </row>
    <row r="10" spans="1:32">
      <c r="A10" s="1552">
        <v>5</v>
      </c>
      <c r="B10" s="1731"/>
      <c r="C10" s="1731"/>
      <c r="D10" s="1731"/>
      <c r="E10" s="1731"/>
      <c r="F10" s="1731"/>
      <c r="G10" s="1731"/>
      <c r="H10" s="1731"/>
      <c r="I10" s="1731"/>
      <c r="J10" s="1731"/>
      <c r="K10" s="1731"/>
      <c r="L10" s="1731"/>
      <c r="M10" s="1731"/>
      <c r="N10" s="1731"/>
      <c r="O10" s="1731"/>
      <c r="P10" s="1731"/>
      <c r="Q10" s="1731"/>
      <c r="R10" s="1731"/>
      <c r="S10" s="1731"/>
      <c r="T10" s="1731"/>
      <c r="U10" s="1732"/>
      <c r="V10" s="1731"/>
      <c r="W10" s="1733"/>
      <c r="X10" s="1733"/>
      <c r="Y10" s="1733"/>
      <c r="Z10" s="1734"/>
      <c r="AA10" s="1733"/>
      <c r="AB10" s="1732"/>
      <c r="AC10" s="1731"/>
      <c r="AD10" s="1731"/>
      <c r="AE10" s="1731"/>
      <c r="AF10" s="1731"/>
    </row>
    <row r="11" spans="1:32">
      <c r="A11" s="1552">
        <v>6</v>
      </c>
      <c r="B11" s="1731"/>
      <c r="C11" s="1731"/>
      <c r="D11" s="1731"/>
      <c r="E11" s="1731"/>
      <c r="F11" s="1731"/>
      <c r="G11" s="1731"/>
      <c r="H11" s="1731"/>
      <c r="I11" s="1731"/>
      <c r="J11" s="1731"/>
      <c r="K11" s="1731"/>
      <c r="L11" s="1731"/>
      <c r="M11" s="1731"/>
      <c r="N11" s="1731"/>
      <c r="O11" s="1731"/>
      <c r="P11" s="1731"/>
      <c r="Q11" s="1731"/>
      <c r="R11" s="1731"/>
      <c r="S11" s="1731"/>
      <c r="T11" s="1731"/>
      <c r="U11" s="1732"/>
      <c r="V11" s="1731"/>
      <c r="W11" s="1733"/>
      <c r="X11" s="1733"/>
      <c r="Y11" s="1733"/>
      <c r="Z11" s="1734"/>
      <c r="AA11" s="1733"/>
      <c r="AB11" s="1732"/>
      <c r="AC11" s="1731"/>
      <c r="AD11" s="1731"/>
      <c r="AE11" s="1731"/>
      <c r="AF11" s="1731"/>
    </row>
    <row r="12" spans="1:32">
      <c r="A12" s="1552">
        <v>7</v>
      </c>
      <c r="B12" s="1731"/>
      <c r="C12" s="1731"/>
      <c r="D12" s="1731"/>
      <c r="E12" s="1731"/>
      <c r="F12" s="1731"/>
      <c r="G12" s="1731"/>
      <c r="H12" s="1731"/>
      <c r="I12" s="1731"/>
      <c r="J12" s="1731"/>
      <c r="K12" s="1731"/>
      <c r="L12" s="1731"/>
      <c r="M12" s="1731"/>
      <c r="N12" s="1731"/>
      <c r="O12" s="1731"/>
      <c r="P12" s="1731"/>
      <c r="Q12" s="1731"/>
      <c r="R12" s="1731"/>
      <c r="S12" s="1731"/>
      <c r="T12" s="1731"/>
      <c r="U12" s="1732"/>
      <c r="V12" s="1731"/>
      <c r="W12" s="1733"/>
      <c r="X12" s="1733"/>
      <c r="Y12" s="1733"/>
      <c r="Z12" s="1734"/>
      <c r="AA12" s="1733"/>
      <c r="AB12" s="1732"/>
      <c r="AC12" s="1731"/>
      <c r="AD12" s="1731"/>
      <c r="AE12" s="1731"/>
      <c r="AF12" s="1731"/>
    </row>
    <row r="13" spans="1:32">
      <c r="A13" s="1552">
        <v>8</v>
      </c>
      <c r="B13" s="1731"/>
      <c r="C13" s="1731"/>
      <c r="D13" s="1731"/>
      <c r="E13" s="1731"/>
      <c r="F13" s="1731"/>
      <c r="G13" s="1731"/>
      <c r="H13" s="1731"/>
      <c r="I13" s="1731"/>
      <c r="J13" s="1731"/>
      <c r="K13" s="1731"/>
      <c r="L13" s="1731"/>
      <c r="M13" s="1731"/>
      <c r="N13" s="1731"/>
      <c r="O13" s="1731"/>
      <c r="P13" s="1731"/>
      <c r="Q13" s="1731"/>
      <c r="R13" s="1731"/>
      <c r="S13" s="1731"/>
      <c r="T13" s="1731"/>
      <c r="U13" s="1732"/>
      <c r="V13" s="1731"/>
      <c r="W13" s="1733"/>
      <c r="X13" s="1733"/>
      <c r="Y13" s="1733"/>
      <c r="Z13" s="1734"/>
      <c r="AA13" s="1733"/>
      <c r="AB13" s="1732"/>
      <c r="AC13" s="1731"/>
      <c r="AD13" s="1731"/>
      <c r="AE13" s="1731"/>
      <c r="AF13" s="1731"/>
    </row>
    <row r="14" spans="1:32">
      <c r="A14" s="1552">
        <v>9</v>
      </c>
      <c r="B14" s="1731"/>
      <c r="C14" s="1731"/>
      <c r="D14" s="1731"/>
      <c r="E14" s="1731"/>
      <c r="F14" s="1731"/>
      <c r="G14" s="1731"/>
      <c r="H14" s="1731"/>
      <c r="I14" s="1731"/>
      <c r="J14" s="1731"/>
      <c r="K14" s="1731"/>
      <c r="L14" s="1731"/>
      <c r="M14" s="1731"/>
      <c r="N14" s="1731"/>
      <c r="O14" s="1731"/>
      <c r="P14" s="1731"/>
      <c r="Q14" s="1731"/>
      <c r="R14" s="1731"/>
      <c r="S14" s="1731"/>
      <c r="T14" s="1731"/>
      <c r="U14" s="1732"/>
      <c r="V14" s="1731"/>
      <c r="W14" s="1733"/>
      <c r="X14" s="1733"/>
      <c r="Y14" s="1733"/>
      <c r="Z14" s="1734"/>
      <c r="AA14" s="1733"/>
      <c r="AB14" s="1732"/>
      <c r="AC14" s="1731"/>
      <c r="AD14" s="1731"/>
      <c r="AE14" s="1731"/>
      <c r="AF14" s="1731"/>
    </row>
    <row r="15" spans="1:32">
      <c r="A15" s="1552">
        <v>10</v>
      </c>
      <c r="B15" s="1731"/>
      <c r="C15" s="1731"/>
      <c r="D15" s="1731"/>
      <c r="E15" s="1731"/>
      <c r="F15" s="1731"/>
      <c r="G15" s="1731"/>
      <c r="H15" s="1731"/>
      <c r="I15" s="1731"/>
      <c r="J15" s="1731"/>
      <c r="K15" s="1731"/>
      <c r="L15" s="1731"/>
      <c r="M15" s="1731"/>
      <c r="N15" s="1731"/>
      <c r="O15" s="1731"/>
      <c r="P15" s="1731"/>
      <c r="Q15" s="1731"/>
      <c r="R15" s="1731"/>
      <c r="S15" s="1731"/>
      <c r="T15" s="1731"/>
      <c r="U15" s="1732"/>
      <c r="V15" s="1731"/>
      <c r="W15" s="1733"/>
      <c r="X15" s="1733"/>
      <c r="Y15" s="1733"/>
      <c r="Z15" s="1734"/>
      <c r="AA15" s="1733"/>
      <c r="AB15" s="1732"/>
      <c r="AC15" s="1731"/>
      <c r="AD15" s="1731"/>
      <c r="AE15" s="1731"/>
      <c r="AF15" s="1731"/>
    </row>
    <row r="16" spans="1:32" ht="16.5">
      <c r="A16" s="1552">
        <v>11</v>
      </c>
      <c r="B16" s="1735" t="s">
        <v>4702</v>
      </c>
      <c r="C16" s="1735" t="s">
        <v>4686</v>
      </c>
      <c r="D16" s="1736"/>
      <c r="E16" s="1736"/>
      <c r="F16" s="1736"/>
      <c r="G16" s="1736"/>
      <c r="H16" s="1736"/>
      <c r="I16" s="1736"/>
      <c r="J16" s="1736"/>
      <c r="K16" s="1736"/>
      <c r="L16" s="1736"/>
      <c r="M16" s="1736"/>
      <c r="N16" s="1736"/>
      <c r="O16" s="1736"/>
      <c r="P16" s="1736"/>
      <c r="Q16" s="1736"/>
      <c r="R16" s="1736"/>
      <c r="S16" s="1736"/>
      <c r="T16" s="1736"/>
      <c r="U16" s="1737"/>
      <c r="V16" s="1736"/>
      <c r="W16" s="1738">
        <f>SUMIF($D$6:$D$15,"J",W6:W15)</f>
        <v>0</v>
      </c>
      <c r="X16" s="1738">
        <f>SUMIF($D$6:$D$15,"J",X6:X15)</f>
        <v>0</v>
      </c>
      <c r="Y16" s="1738">
        <f>SUMIF($D$6:$D$15,"J",Y6:Y15)</f>
        <v>0</v>
      </c>
      <c r="Z16" s="1739"/>
      <c r="AA16" s="1739"/>
      <c r="AB16" s="1740"/>
      <c r="AC16" s="1740"/>
      <c r="AD16" s="1741">
        <f>SUMIF($D$6:$D$15,"J",AD6:AD15)</f>
        <v>0</v>
      </c>
      <c r="AE16" s="1741">
        <f>SUMIF($D$6:$D$15,"J",AE6:AE15)</f>
        <v>0</v>
      </c>
      <c r="AF16" s="1740"/>
    </row>
    <row r="17" spans="1:32">
      <c r="A17" s="453"/>
      <c r="B17" s="1742"/>
      <c r="C17" s="1743"/>
      <c r="D17" s="1743"/>
      <c r="E17" s="1743"/>
      <c r="F17" s="1743"/>
      <c r="G17" s="1743"/>
      <c r="H17" s="1743"/>
      <c r="I17" s="1743"/>
      <c r="J17" s="1743"/>
      <c r="K17" s="1743"/>
      <c r="L17" s="1742"/>
      <c r="M17" s="1743"/>
      <c r="N17" s="1743"/>
      <c r="O17" s="1743"/>
      <c r="P17" s="1743"/>
      <c r="Q17" s="1742"/>
      <c r="R17" s="1743"/>
      <c r="S17" s="1743"/>
      <c r="T17" s="1743"/>
      <c r="U17" s="1744"/>
      <c r="V17" s="1743"/>
      <c r="W17" s="1745"/>
      <c r="X17" s="1745"/>
      <c r="Y17" s="1745"/>
      <c r="Z17" s="1745"/>
      <c r="AA17" s="1745"/>
      <c r="AB17" s="1744"/>
      <c r="AC17" s="1743"/>
      <c r="AD17" s="1743"/>
      <c r="AE17" s="1743"/>
      <c r="AF17" s="1743"/>
    </row>
    <row r="18" spans="1:32" ht="16.5">
      <c r="A18" s="1746" t="s">
        <v>1402</v>
      </c>
      <c r="B18" s="23"/>
      <c r="C18" s="451"/>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row>
    <row r="19" spans="1:32" ht="15.75" customHeight="1">
      <c r="A19" s="453">
        <v>1</v>
      </c>
      <c r="B19" s="1747" t="s">
        <v>1403</v>
      </c>
      <c r="J19" s="23"/>
      <c r="K19" s="23"/>
      <c r="L19" s="23"/>
      <c r="M19" s="23"/>
      <c r="N19" s="23"/>
      <c r="O19" s="23"/>
      <c r="P19" s="23"/>
      <c r="Q19" s="23"/>
      <c r="R19" s="23"/>
      <c r="S19" s="23"/>
      <c r="T19" s="23"/>
      <c r="U19" s="23"/>
      <c r="V19" s="23"/>
      <c r="W19" s="23"/>
      <c r="X19" s="23"/>
      <c r="Y19" s="23"/>
      <c r="Z19" s="23"/>
      <c r="AA19" s="23"/>
      <c r="AB19" s="23"/>
      <c r="AC19" s="23"/>
      <c r="AD19" s="23"/>
      <c r="AE19" s="23"/>
    </row>
    <row r="20" spans="1:32" ht="15.75" customHeight="1">
      <c r="A20" s="453">
        <v>2</v>
      </c>
      <c r="B20" s="1748" t="s">
        <v>4703</v>
      </c>
      <c r="C20" s="1749"/>
      <c r="D20" s="1749"/>
      <c r="E20" s="1749"/>
      <c r="F20" s="1749"/>
      <c r="G20" s="1749"/>
      <c r="H20" s="1749"/>
      <c r="I20" s="1749"/>
      <c r="J20" s="1749"/>
      <c r="K20" s="1749"/>
      <c r="L20" s="1749"/>
      <c r="M20" s="1749"/>
      <c r="N20" s="1749"/>
      <c r="O20" s="1749"/>
      <c r="P20" s="1749"/>
      <c r="Q20" s="1749"/>
      <c r="R20" s="1749"/>
      <c r="S20" s="1749"/>
      <c r="T20" s="1749"/>
      <c r="U20" s="1749"/>
      <c r="V20" s="1749"/>
      <c r="W20" s="1749"/>
      <c r="X20" s="1749"/>
      <c r="Y20" s="1749"/>
      <c r="Z20" s="1749"/>
      <c r="AA20" s="1749"/>
      <c r="AB20" s="1749"/>
      <c r="AC20" s="1749"/>
      <c r="AD20" s="1749"/>
      <c r="AE20" s="23"/>
    </row>
    <row r="21" spans="1:32" ht="16.5">
      <c r="A21" s="453"/>
      <c r="B21" s="1748" t="s">
        <v>4704</v>
      </c>
      <c r="C21" s="1749"/>
      <c r="D21" s="1749"/>
      <c r="E21" s="1749"/>
      <c r="F21" s="1749"/>
      <c r="G21" s="1749"/>
      <c r="H21" s="1749"/>
      <c r="I21" s="1749"/>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23"/>
    </row>
    <row r="22" spans="1:32" ht="16.5">
      <c r="A22" s="453"/>
      <c r="B22" s="1748" t="s">
        <v>4705</v>
      </c>
      <c r="C22" s="1749"/>
      <c r="D22" s="1749"/>
      <c r="E22" s="1749"/>
      <c r="F22" s="1749"/>
      <c r="G22" s="1749"/>
      <c r="H22" s="1749"/>
      <c r="I22" s="1749"/>
      <c r="J22" s="1749"/>
      <c r="K22" s="1749"/>
      <c r="L22" s="1749"/>
      <c r="M22" s="1749"/>
      <c r="N22" s="1749"/>
      <c r="O22" s="1749"/>
      <c r="P22" s="1749"/>
      <c r="Q22" s="1749"/>
      <c r="R22" s="1749"/>
      <c r="S22" s="1749"/>
      <c r="T22" s="1749"/>
      <c r="U22" s="1749"/>
      <c r="V22" s="1749"/>
      <c r="W22" s="1749"/>
      <c r="X22" s="1749"/>
      <c r="Y22" s="1749"/>
      <c r="Z22" s="1749"/>
      <c r="AA22" s="1749"/>
      <c r="AB22" s="1749"/>
      <c r="AC22" s="1749"/>
      <c r="AD22" s="1749"/>
      <c r="AE22" s="23"/>
    </row>
    <row r="23" spans="1:32" ht="15.75" customHeight="1">
      <c r="A23" s="453">
        <v>3</v>
      </c>
      <c r="B23" s="1750" t="s">
        <v>4706</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23"/>
    </row>
    <row r="24" spans="1:32" ht="15.75" customHeight="1">
      <c r="A24" s="1751">
        <v>4</v>
      </c>
      <c r="B24" s="1750" t="s">
        <v>4707</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23"/>
    </row>
    <row r="25" spans="1:32" ht="15.75" customHeight="1">
      <c r="A25" s="1751">
        <v>5</v>
      </c>
      <c r="B25" s="1750" t="s">
        <v>4708</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23"/>
    </row>
    <row r="26" spans="1:32" ht="15.75" customHeight="1">
      <c r="A26" s="1751">
        <v>6</v>
      </c>
      <c r="B26" s="1752" t="s">
        <v>4709</v>
      </c>
      <c r="C26" s="1753"/>
      <c r="D26" s="1753"/>
      <c r="E26" s="1753"/>
      <c r="F26" s="1753"/>
      <c r="G26" s="1753"/>
      <c r="H26" s="1753"/>
      <c r="I26" s="1753"/>
      <c r="J26" s="1753"/>
      <c r="K26" s="1753"/>
      <c r="L26" s="1753"/>
      <c r="M26" s="1753"/>
      <c r="N26" s="1753"/>
      <c r="O26" s="1753"/>
      <c r="P26" s="1753"/>
      <c r="Q26" s="1753"/>
      <c r="R26" s="1753"/>
      <c r="S26" s="1753"/>
      <c r="T26" s="1753"/>
      <c r="U26" s="1753"/>
      <c r="V26" s="1753"/>
      <c r="W26" s="1753"/>
      <c r="X26" s="1753"/>
      <c r="Y26" s="1753"/>
      <c r="Z26" s="1753"/>
      <c r="AA26" s="1753"/>
      <c r="AB26" s="1753"/>
      <c r="AC26" s="1753"/>
      <c r="AD26" s="1753"/>
      <c r="AE26" s="23"/>
    </row>
    <row r="27" spans="1:32" ht="15.75" customHeight="1">
      <c r="A27" s="1751">
        <v>7</v>
      </c>
      <c r="B27" s="2177" t="s">
        <v>5607</v>
      </c>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23"/>
    </row>
    <row r="28" spans="1:32" ht="15.75" customHeight="1">
      <c r="A28" s="1751">
        <v>8</v>
      </c>
      <c r="B28" s="1754" t="s">
        <v>4710</v>
      </c>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23"/>
    </row>
    <row r="29" spans="1:32" ht="15.75" customHeight="1">
      <c r="A29" s="1751">
        <v>9</v>
      </c>
      <c r="B29" s="1750" t="s">
        <v>3611</v>
      </c>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23"/>
    </row>
    <row r="30" spans="1:32" ht="15.75" customHeight="1">
      <c r="A30" s="1751"/>
      <c r="B30" s="1750" t="s">
        <v>3612</v>
      </c>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23"/>
    </row>
    <row r="31" spans="1:32" ht="15.75" customHeight="1">
      <c r="A31" s="1751">
        <v>10</v>
      </c>
      <c r="B31" s="1754" t="s">
        <v>4711</v>
      </c>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23"/>
    </row>
    <row r="32" spans="1:32" ht="15.75" customHeight="1">
      <c r="A32" s="1751">
        <v>11</v>
      </c>
      <c r="B32" s="1750" t="s">
        <v>4712</v>
      </c>
      <c r="C32" s="451"/>
      <c r="D32" s="451"/>
      <c r="E32" s="451"/>
      <c r="F32" s="451"/>
      <c r="G32" s="451"/>
      <c r="H32" s="451"/>
      <c r="I32" s="451"/>
      <c r="J32" s="451"/>
      <c r="K32" s="451"/>
      <c r="L32" s="451"/>
      <c r="M32" s="451"/>
      <c r="N32" s="451"/>
      <c r="O32" s="451"/>
      <c r="P32" s="451"/>
      <c r="Q32" s="451"/>
      <c r="R32" s="451"/>
      <c r="S32" s="451"/>
      <c r="T32" s="451"/>
      <c r="U32" s="451"/>
      <c r="V32" s="451"/>
      <c r="W32" s="23"/>
      <c r="X32" s="23"/>
      <c r="Y32" s="23"/>
      <c r="Z32" s="23"/>
      <c r="AA32" s="23"/>
      <c r="AB32" s="23"/>
      <c r="AC32" s="23"/>
      <c r="AD32" s="23"/>
    </row>
    <row r="33" spans="1:14" ht="15.75" customHeight="1">
      <c r="A33" s="1751">
        <v>12</v>
      </c>
      <c r="B33" s="1750" t="s">
        <v>3620</v>
      </c>
      <c r="C33" s="451"/>
      <c r="D33" s="451"/>
      <c r="E33" s="451"/>
      <c r="F33" s="451"/>
      <c r="G33" s="451"/>
      <c r="H33" s="451"/>
      <c r="I33" s="451"/>
      <c r="J33" s="451"/>
      <c r="K33" s="451"/>
      <c r="L33" s="451"/>
      <c r="M33" s="451"/>
      <c r="N33" s="451"/>
    </row>
    <row r="34" spans="1:14" ht="15.75" customHeight="1">
      <c r="A34" s="1751">
        <v>13</v>
      </c>
      <c r="B34" s="1750" t="s">
        <v>4450</v>
      </c>
      <c r="C34" s="451"/>
      <c r="D34" s="451"/>
      <c r="E34" s="451"/>
      <c r="F34" s="451"/>
      <c r="G34" s="451"/>
      <c r="H34" s="451"/>
      <c r="I34" s="451"/>
      <c r="J34" s="451"/>
      <c r="K34" s="451"/>
      <c r="L34" s="451"/>
      <c r="M34" s="451"/>
      <c r="N34" s="451"/>
    </row>
    <row r="35" spans="1:14" ht="16.5">
      <c r="A35" s="1751">
        <v>14</v>
      </c>
      <c r="B35" s="1750" t="s">
        <v>4713</v>
      </c>
    </row>
    <row r="36" spans="1:14" ht="16.5">
      <c r="A36" s="1751" t="s">
        <v>1404</v>
      </c>
      <c r="B36" s="426" t="s">
        <v>4063</v>
      </c>
    </row>
    <row r="37" spans="1:14" ht="16.5">
      <c r="A37" s="450">
        <v>16</v>
      </c>
      <c r="B37" s="496" t="s">
        <v>4513</v>
      </c>
    </row>
    <row r="38" spans="1:14" ht="16.5">
      <c r="A38" s="2635">
        <v>17</v>
      </c>
      <c r="B38" s="2636" t="s">
        <v>8437</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2" type="noConversion"/>
  <pageMargins left="0.27559055118110237" right="0.35433070866141736" top="0.74803149606299213" bottom="0.74803149606299213" header="0.31496062992125984" footer="0.31496062992125984"/>
  <pageSetup paperSize="9" scale="50" fitToWidth="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7E32-AFB5-4B36-88A0-16D8DA082AB0}">
  <sheetPr>
    <tabColor rgb="FFFFFF00"/>
  </sheetPr>
  <dimension ref="A1:AE38"/>
  <sheetViews>
    <sheetView zoomScale="80" zoomScaleNormal="80" zoomScaleSheetLayoutView="80" workbookViewId="0"/>
  </sheetViews>
  <sheetFormatPr defaultRowHeight="15.75"/>
  <cols>
    <col min="1" max="1" width="3.625" style="2395" customWidth="1"/>
    <col min="2" max="2" width="43.75" style="2395" customWidth="1"/>
    <col min="3" max="3" width="16.5" style="2395" bestFit="1" customWidth="1"/>
    <col min="4" max="4" width="35.875" style="2395" customWidth="1"/>
    <col min="5" max="5" width="20.375" style="2395" customWidth="1"/>
    <col min="6" max="9" width="21" style="2395" customWidth="1"/>
    <col min="10" max="13" width="16" style="2395" customWidth="1"/>
    <col min="14" max="14" width="9" style="2395"/>
    <col min="15" max="15" width="21.375" style="2395" customWidth="1"/>
    <col min="16" max="16" width="14.125" style="2395" customWidth="1"/>
    <col min="17" max="22" width="18.625" style="2395" customWidth="1"/>
    <col min="23" max="23" width="9" style="2395"/>
    <col min="24" max="24" width="15.5" style="2395" bestFit="1" customWidth="1"/>
    <col min="25" max="25" width="16.75" style="2395" customWidth="1"/>
    <col min="26" max="26" width="16.5" style="2395" customWidth="1"/>
    <col min="27" max="28" width="14.25" style="2395" bestFit="1" customWidth="1"/>
    <col min="29" max="29" width="15.25" style="2395" customWidth="1"/>
    <col min="30" max="30" width="15.625" style="2395" customWidth="1"/>
    <col min="31" max="31" width="19.25" style="2395" customWidth="1"/>
    <col min="32" max="16384" width="9" style="2395"/>
  </cols>
  <sheetData>
    <row r="1" spans="1:31" ht="16.5">
      <c r="A1" s="2186" t="str">
        <f>+封面!A3&amp;" "&amp;封面!A2</f>
        <v xml:space="preserve"> 中央再保險股份有限公司 年度檢查報表</v>
      </c>
    </row>
    <row r="2" spans="1:31" ht="19.5">
      <c r="B2" s="2428" t="s">
        <v>5870</v>
      </c>
    </row>
    <row r="3" spans="1:31" ht="4.5" customHeight="1"/>
    <row r="4" spans="1:31" ht="20.25" thickBot="1">
      <c r="B4" s="2500" t="s">
        <v>5912</v>
      </c>
      <c r="C4" s="2399"/>
      <c r="D4" s="2399"/>
      <c r="E4" s="2399"/>
      <c r="F4" s="2399"/>
      <c r="G4" s="2399"/>
      <c r="H4" s="2399"/>
      <c r="I4" s="2473"/>
      <c r="J4" s="2473"/>
      <c r="K4" s="2473"/>
      <c r="L4" s="2473"/>
      <c r="M4" s="2474" t="s">
        <v>5874</v>
      </c>
    </row>
    <row r="5" spans="1:31" ht="20.25" thickBot="1">
      <c r="B5" s="3309" t="s">
        <v>5842</v>
      </c>
      <c r="C5" s="3311" t="s">
        <v>5843</v>
      </c>
      <c r="D5" s="3311"/>
      <c r="E5" s="3311"/>
      <c r="F5" s="3311"/>
      <c r="G5" s="3311" t="s">
        <v>5844</v>
      </c>
      <c r="H5" s="3351"/>
      <c r="I5" s="3354" t="s">
        <v>5845</v>
      </c>
      <c r="J5" s="3315" t="s">
        <v>5846</v>
      </c>
      <c r="K5" s="3315"/>
      <c r="L5" s="3315"/>
      <c r="M5" s="3316"/>
    </row>
    <row r="6" spans="1:31" ht="19.5">
      <c r="B6" s="3310"/>
      <c r="C6" s="3317" t="s">
        <v>5847</v>
      </c>
      <c r="D6" s="3317"/>
      <c r="E6" s="3317"/>
      <c r="F6" s="3317"/>
      <c r="G6" s="3317" t="s">
        <v>5848</v>
      </c>
      <c r="H6" s="3356"/>
      <c r="I6" s="3355"/>
      <c r="J6" s="3319" t="s">
        <v>5849</v>
      </c>
      <c r="K6" s="3319" t="s">
        <v>5850</v>
      </c>
      <c r="L6" s="3319" t="s">
        <v>5851</v>
      </c>
      <c r="M6" s="3320" t="s">
        <v>5852</v>
      </c>
      <c r="O6" s="3321" t="s">
        <v>5903</v>
      </c>
      <c r="P6" s="3322"/>
      <c r="Q6" s="3322"/>
      <c r="R6" s="3322"/>
      <c r="S6" s="3322"/>
      <c r="T6" s="3322"/>
      <c r="U6" s="3322"/>
      <c r="V6" s="3323"/>
      <c r="X6" s="3321" t="s">
        <v>5904</v>
      </c>
      <c r="Y6" s="3322"/>
      <c r="Z6" s="3322"/>
      <c r="AA6" s="3322"/>
      <c r="AB6" s="3322"/>
      <c r="AC6" s="3322"/>
      <c r="AD6" s="3322"/>
      <c r="AE6" s="3323"/>
    </row>
    <row r="7" spans="1:31" ht="19.5">
      <c r="B7" s="3310"/>
      <c r="C7" s="3317" t="s">
        <v>5853</v>
      </c>
      <c r="D7" s="3317"/>
      <c r="E7" s="3317" t="s">
        <v>5854</v>
      </c>
      <c r="F7" s="3317"/>
      <c r="G7" s="3317" t="s">
        <v>5853</v>
      </c>
      <c r="H7" s="3356" t="s">
        <v>5854</v>
      </c>
      <c r="I7" s="3355"/>
      <c r="J7" s="3319"/>
      <c r="K7" s="3319"/>
      <c r="L7" s="3319"/>
      <c r="M7" s="3320"/>
      <c r="O7" s="3324" t="s">
        <v>5877</v>
      </c>
      <c r="P7" s="3325"/>
      <c r="Q7" s="3326" t="s">
        <v>5843</v>
      </c>
      <c r="R7" s="3327"/>
      <c r="S7" s="3327"/>
      <c r="T7" s="3328"/>
      <c r="U7" s="3326" t="s">
        <v>5844</v>
      </c>
      <c r="V7" s="3332"/>
      <c r="X7" s="3324" t="s">
        <v>5877</v>
      </c>
      <c r="Y7" s="3325"/>
      <c r="Z7" s="3326" t="s">
        <v>5843</v>
      </c>
      <c r="AA7" s="3327"/>
      <c r="AB7" s="3327"/>
      <c r="AC7" s="3328"/>
      <c r="AD7" s="3326" t="s">
        <v>5844</v>
      </c>
      <c r="AE7" s="3332"/>
    </row>
    <row r="8" spans="1:31" ht="38.25">
      <c r="B8" s="3310"/>
      <c r="C8" s="2430" t="s">
        <v>5855</v>
      </c>
      <c r="D8" s="2470" t="s">
        <v>5856</v>
      </c>
      <c r="E8" s="2470" t="s">
        <v>5857</v>
      </c>
      <c r="F8" s="2470" t="s">
        <v>5858</v>
      </c>
      <c r="G8" s="3317"/>
      <c r="H8" s="3356"/>
      <c r="I8" s="3355"/>
      <c r="J8" s="3319"/>
      <c r="K8" s="3319"/>
      <c r="L8" s="3319"/>
      <c r="M8" s="3320"/>
      <c r="O8" s="3324"/>
      <c r="P8" s="3325"/>
      <c r="Q8" s="3329"/>
      <c r="R8" s="3330"/>
      <c r="S8" s="3330"/>
      <c r="T8" s="3331"/>
      <c r="U8" s="3329"/>
      <c r="V8" s="3333"/>
      <c r="X8" s="3324"/>
      <c r="Y8" s="3325"/>
      <c r="Z8" s="3329"/>
      <c r="AA8" s="3330"/>
      <c r="AB8" s="3330"/>
      <c r="AC8" s="3331"/>
      <c r="AD8" s="3329"/>
      <c r="AE8" s="3333"/>
    </row>
    <row r="9" spans="1:31" ht="39.75" customHeight="1">
      <c r="B9" s="2431" t="s">
        <v>5823</v>
      </c>
      <c r="C9" s="2432">
        <f>'表30-5-3-1'!B18</f>
        <v>0</v>
      </c>
      <c r="D9" s="2432">
        <f>'表30-5-3-1'!D18</f>
        <v>0</v>
      </c>
      <c r="E9" s="2432">
        <f>'表30-5-3-1'!F18</f>
        <v>0</v>
      </c>
      <c r="F9" s="2432">
        <f>'表30-5-3-1'!H18</f>
        <v>0</v>
      </c>
      <c r="G9" s="2432">
        <f>'表30-5-3-1'!J18</f>
        <v>0</v>
      </c>
      <c r="H9" s="2433">
        <f>'表30-5-3-1'!L18</f>
        <v>0</v>
      </c>
      <c r="I9" s="2434">
        <f>ROUND((C9*Q$11+D9*R$11+E9*S$11+F9*T$11+G9*U$11+H9*V$11)/1000,0)*(1+$P$19)</f>
        <v>0</v>
      </c>
      <c r="J9" s="2432">
        <f>ROUND((C9*Q$12+D9*R$12+E9*S$12+F9*T$12+G9*U$12+H9*V$12)/1000*$P$18,0)*(1+$P$19)</f>
        <v>0</v>
      </c>
      <c r="K9" s="2432">
        <f>ROUND((C9*Q$13+D9*R$13+E9*S$13+F9*T$13+G9*U$13+H9*V$13)/1000*$P$18,0)*(1+$P$19)</f>
        <v>0</v>
      </c>
      <c r="L9" s="2432">
        <f>ROUND((C9*Q$14+D9*R$14+E9*S$14+F9*T$14+G9*U$14+H9*V$14)/1000*$P$18,0)*(1+$P$19)</f>
        <v>0</v>
      </c>
      <c r="M9" s="2435">
        <f>ROUND((C9*Q$15+D9*R$15+E9*S$15+F9*T$15+G9*U$15+H9*V$15)/1000*$P$18,0)*(1+$P$19)</f>
        <v>0</v>
      </c>
      <c r="O9" s="3324"/>
      <c r="P9" s="3325"/>
      <c r="Q9" s="3335" t="s">
        <v>5853</v>
      </c>
      <c r="R9" s="3335"/>
      <c r="S9" s="3335" t="s">
        <v>5854</v>
      </c>
      <c r="T9" s="3335"/>
      <c r="U9" s="3335" t="s">
        <v>5853</v>
      </c>
      <c r="V9" s="3334" t="s">
        <v>5854</v>
      </c>
      <c r="X9" s="3324"/>
      <c r="Y9" s="3325"/>
      <c r="Z9" s="3335" t="s">
        <v>5853</v>
      </c>
      <c r="AA9" s="3335"/>
      <c r="AB9" s="3335" t="s">
        <v>5854</v>
      </c>
      <c r="AC9" s="3335"/>
      <c r="AD9" s="3335" t="s">
        <v>5853</v>
      </c>
      <c r="AE9" s="3334" t="s">
        <v>5854</v>
      </c>
    </row>
    <row r="10" spans="1:31" ht="38.25">
      <c r="B10" s="2431" t="s">
        <v>5824</v>
      </c>
      <c r="C10" s="2432">
        <f>'表30-5-3-1'!B19</f>
        <v>0</v>
      </c>
      <c r="D10" s="2432">
        <f>'表30-5-3-1'!D19</f>
        <v>0</v>
      </c>
      <c r="E10" s="2436">
        <f>'表30-5-3-1'!F19</f>
        <v>0</v>
      </c>
      <c r="F10" s="2432">
        <f>'表30-5-3-1'!H19</f>
        <v>0</v>
      </c>
      <c r="G10" s="2434">
        <f>'表30-5-3-1'!J19</f>
        <v>0</v>
      </c>
      <c r="H10" s="2437">
        <f>'表30-5-3-1'!L19</f>
        <v>0</v>
      </c>
      <c r="I10" s="2434">
        <f>ROUND((C10*Z$11+D10*AA$11+F10*AC$11+G10*AD$11)/1000,0)*(1+$Y$20)</f>
        <v>0</v>
      </c>
      <c r="J10" s="2432">
        <f>ROUND((C10*Z$12+D10*AA$12+F10*AC$12+G10*AD$12)/1000*$Y$19,0)*(1+$Y$20)</f>
        <v>0</v>
      </c>
      <c r="K10" s="2432">
        <f>ROUND((C10*Z$13+D10*AA$13+F10*AC$13+G10*AD$13)/1000*$Y$19,0)*(1+$Y$20)</f>
        <v>0</v>
      </c>
      <c r="L10" s="2432">
        <f>ROUND((C10*Z$14+D10*AA$14+F10*AC$14+G10*AD$14)/1000*$Y$19,0)*(1+$Y$20)</f>
        <v>0</v>
      </c>
      <c r="M10" s="2435">
        <f>ROUND((C10*Z$15+D10*AA$15+F10*AC$15+G10*AD$15)/1000*$Y$19,0)*(1+$Y$20)</f>
        <v>0</v>
      </c>
      <c r="O10" s="3324"/>
      <c r="P10" s="3325"/>
      <c r="Q10" s="2438" t="s">
        <v>5855</v>
      </c>
      <c r="R10" s="2471" t="s">
        <v>5856</v>
      </c>
      <c r="S10" s="2471" t="s">
        <v>5857</v>
      </c>
      <c r="T10" s="2471" t="s">
        <v>5858</v>
      </c>
      <c r="U10" s="3335"/>
      <c r="V10" s="3334"/>
      <c r="X10" s="3324"/>
      <c r="Y10" s="3325"/>
      <c r="Z10" s="2438" t="s">
        <v>5855</v>
      </c>
      <c r="AA10" s="2471" t="s">
        <v>5856</v>
      </c>
      <c r="AB10" s="2471" t="s">
        <v>5857</v>
      </c>
      <c r="AC10" s="2471" t="s">
        <v>5858</v>
      </c>
      <c r="AD10" s="3335"/>
      <c r="AE10" s="3334"/>
    </row>
    <row r="11" spans="1:31" ht="48" customHeight="1" thickBot="1">
      <c r="B11" s="2439" t="s">
        <v>5859</v>
      </c>
      <c r="C11" s="3336">
        <f>C9+C10</f>
        <v>0</v>
      </c>
      <c r="D11" s="3337"/>
      <c r="E11" s="3337"/>
      <c r="F11" s="3337"/>
      <c r="G11" s="3337"/>
      <c r="H11" s="3338"/>
      <c r="I11" s="2440">
        <f>I9+I10</f>
        <v>0</v>
      </c>
      <c r="J11" s="2441">
        <f t="shared" ref="J11:M11" si="0">J9+J10</f>
        <v>0</v>
      </c>
      <c r="K11" s="2441">
        <f t="shared" si="0"/>
        <v>0</v>
      </c>
      <c r="L11" s="2441">
        <f t="shared" si="0"/>
        <v>0</v>
      </c>
      <c r="M11" s="2442">
        <f t="shared" si="0"/>
        <v>0</v>
      </c>
      <c r="O11" s="3324" t="s">
        <v>5860</v>
      </c>
      <c r="P11" s="3325"/>
      <c r="Q11" s="2443">
        <v>0.21654772961573662</v>
      </c>
      <c r="R11" s="2443">
        <v>0.2799408684309671</v>
      </c>
      <c r="S11" s="2443">
        <v>0.10505116067176484</v>
      </c>
      <c r="T11" s="2443">
        <v>0.2350378637488906</v>
      </c>
      <c r="U11" s="2443">
        <v>4.2724029604387415</v>
      </c>
      <c r="V11" s="2540">
        <v>7.2681159420289845</v>
      </c>
      <c r="X11" s="3324" t="s">
        <v>5860</v>
      </c>
      <c r="Y11" s="3325"/>
      <c r="Z11" s="2443">
        <v>0.23434067275301471</v>
      </c>
      <c r="AA11" s="2443">
        <v>0.24439508622114883</v>
      </c>
      <c r="AB11" s="2444"/>
      <c r="AC11" s="2443">
        <v>0.21606568396792625</v>
      </c>
      <c r="AD11" s="2443">
        <v>4.2724029604387415</v>
      </c>
      <c r="AE11" s="2544"/>
    </row>
    <row r="12" spans="1:31" ht="18.75">
      <c r="O12" s="3339" t="s">
        <v>5861</v>
      </c>
      <c r="P12" s="2447" t="s">
        <v>5862</v>
      </c>
      <c r="Q12" s="2443">
        <v>0.51043393409423632</v>
      </c>
      <c r="R12" s="2443">
        <v>0.59098627779870838</v>
      </c>
      <c r="S12" s="2443">
        <v>0.19288081959406006</v>
      </c>
      <c r="T12" s="2443">
        <v>0.56204706548647754</v>
      </c>
      <c r="U12" s="2443">
        <v>24.56631702252276</v>
      </c>
      <c r="V12" s="2540">
        <v>7.6956521739130448</v>
      </c>
      <c r="X12" s="3339" t="s">
        <v>5861</v>
      </c>
      <c r="Y12" s="2447" t="s">
        <v>5862</v>
      </c>
      <c r="Z12" s="2443">
        <v>0.46868134550602925</v>
      </c>
      <c r="AA12" s="2443">
        <v>0.48160208167108731</v>
      </c>
      <c r="AB12" s="2444"/>
      <c r="AC12" s="2443">
        <v>0.48014596437316948</v>
      </c>
      <c r="AD12" s="2443">
        <v>24.56631702252276</v>
      </c>
      <c r="AE12" s="2544"/>
    </row>
    <row r="13" spans="1:31" ht="18.75">
      <c r="B13" s="2445"/>
      <c r="C13" s="2399"/>
      <c r="D13" s="2399"/>
      <c r="E13" s="2399"/>
      <c r="F13" s="2399"/>
      <c r="G13" s="2399"/>
      <c r="H13" s="2399"/>
      <c r="O13" s="3339"/>
      <c r="P13" s="2447" t="s">
        <v>5863</v>
      </c>
      <c r="Q13" s="2443">
        <v>1.2374155978042094</v>
      </c>
      <c r="R13" s="2443">
        <v>1.461913424028384</v>
      </c>
      <c r="S13" s="2443">
        <v>0.53472762932103257</v>
      </c>
      <c r="T13" s="2443">
        <v>1.4000081449390442</v>
      </c>
      <c r="U13" s="2443">
        <v>55.54123848570363</v>
      </c>
      <c r="V13" s="2540">
        <v>17.956521739130434</v>
      </c>
      <c r="X13" s="3339"/>
      <c r="Y13" s="2447" t="s">
        <v>5863</v>
      </c>
      <c r="Z13" s="2443">
        <v>0.94224478836107972</v>
      </c>
      <c r="AA13" s="2443">
        <v>0.99555057181262097</v>
      </c>
      <c r="AB13" s="2444"/>
      <c r="AC13" s="2443">
        <v>0.9842992269649975</v>
      </c>
      <c r="AD13" s="2443">
        <v>55.54123848570363</v>
      </c>
      <c r="AE13" s="2544"/>
    </row>
    <row r="14" spans="1:31" ht="18.75">
      <c r="B14" s="2446"/>
      <c r="C14" s="2399"/>
      <c r="D14" s="2399"/>
      <c r="E14" s="2399"/>
      <c r="F14" s="2399"/>
      <c r="G14" s="2399"/>
      <c r="H14" s="2399"/>
      <c r="O14" s="3339"/>
      <c r="P14" s="2447" t="s">
        <v>5864</v>
      </c>
      <c r="Q14" s="2443">
        <v>1.9411957190553535</v>
      </c>
      <c r="R14" s="2443">
        <v>2.3328405702580599</v>
      </c>
      <c r="S14" s="2443">
        <v>0.89551809097242163</v>
      </c>
      <c r="T14" s="2443">
        <v>2.1970930741744117</v>
      </c>
      <c r="U14" s="2443">
        <v>83.311857728555452</v>
      </c>
      <c r="V14" s="2540">
        <v>30.782608695652172</v>
      </c>
      <c r="X14" s="3339"/>
      <c r="Y14" s="2447" t="s">
        <v>5864</v>
      </c>
      <c r="Z14" s="2443">
        <v>1.3962798418200459</v>
      </c>
      <c r="AA14" s="2443">
        <v>1.4843407442549184</v>
      </c>
      <c r="AB14" s="2444"/>
      <c r="AC14" s="2443">
        <v>1.5364670859941423</v>
      </c>
      <c r="AD14" s="2443">
        <v>83.311857728555452</v>
      </c>
      <c r="AE14" s="2544"/>
    </row>
    <row r="15" spans="1:31" ht="20.25" thickBot="1">
      <c r="B15" s="2500" t="s">
        <v>5913</v>
      </c>
      <c r="C15" s="2399"/>
      <c r="D15" s="2399"/>
      <c r="E15" s="2399"/>
      <c r="F15" s="2399"/>
      <c r="G15" s="2399"/>
      <c r="H15" s="2399"/>
      <c r="I15" s="2473"/>
      <c r="J15" s="2473"/>
      <c r="K15" s="2473"/>
      <c r="L15" s="2473"/>
      <c r="M15" s="2474" t="s">
        <v>5874</v>
      </c>
      <c r="O15" s="3340"/>
      <c r="P15" s="2541" t="s">
        <v>5865</v>
      </c>
      <c r="Q15" s="2542">
        <v>2.7506717559522738</v>
      </c>
      <c r="R15" s="2542">
        <v>3.3281858802348316</v>
      </c>
      <c r="S15" s="2542">
        <v>1.3897751911822005</v>
      </c>
      <c r="T15" s="2542">
        <v>3.1576826042785737</v>
      </c>
      <c r="U15" s="2542">
        <v>108.9462754911879</v>
      </c>
      <c r="V15" s="2543">
        <v>52.586956521739125</v>
      </c>
      <c r="X15" s="3340"/>
      <c r="Y15" s="2541" t="s">
        <v>5865</v>
      </c>
      <c r="Z15" s="2542">
        <v>1.9674852316555191</v>
      </c>
      <c r="AA15" s="2542">
        <v>2.0989225051933955</v>
      </c>
      <c r="AB15" s="2545"/>
      <c r="AC15" s="2542">
        <v>2.1846641378979212</v>
      </c>
      <c r="AD15" s="2542">
        <v>108.9462754911879</v>
      </c>
      <c r="AE15" s="2546"/>
    </row>
    <row r="16" spans="1:31" ht="25.15" customHeight="1">
      <c r="B16" s="3309" t="s">
        <v>5842</v>
      </c>
      <c r="C16" s="3311" t="s">
        <v>5843</v>
      </c>
      <c r="D16" s="3311"/>
      <c r="E16" s="3311"/>
      <c r="F16" s="3311"/>
      <c r="G16" s="3311" t="s">
        <v>5844</v>
      </c>
      <c r="H16" s="3351"/>
      <c r="I16" s="3354" t="s">
        <v>5845</v>
      </c>
      <c r="J16" s="3315" t="s">
        <v>5846</v>
      </c>
      <c r="K16" s="3315"/>
      <c r="L16" s="3315"/>
      <c r="M16" s="3316"/>
    </row>
    <row r="17" spans="2:25" ht="20.25" thickBot="1">
      <c r="B17" s="3310"/>
      <c r="C17" s="3317" t="s">
        <v>5847</v>
      </c>
      <c r="D17" s="3317"/>
      <c r="E17" s="3317"/>
      <c r="F17" s="3317"/>
      <c r="G17" s="3317" t="s">
        <v>5848</v>
      </c>
      <c r="H17" s="3356"/>
      <c r="I17" s="3355"/>
      <c r="J17" s="3319" t="s">
        <v>5849</v>
      </c>
      <c r="K17" s="3319" t="s">
        <v>5850</v>
      </c>
      <c r="L17" s="3319" t="s">
        <v>5851</v>
      </c>
      <c r="M17" s="3320" t="s">
        <v>5852</v>
      </c>
    </row>
    <row r="18" spans="2:25" ht="20.25" thickBot="1">
      <c r="B18" s="3310"/>
      <c r="C18" s="3317" t="s">
        <v>5853</v>
      </c>
      <c r="D18" s="3317"/>
      <c r="E18" s="3317" t="s">
        <v>5854</v>
      </c>
      <c r="F18" s="3317"/>
      <c r="G18" s="3317" t="s">
        <v>5853</v>
      </c>
      <c r="H18" s="3356" t="s">
        <v>5854</v>
      </c>
      <c r="I18" s="3355"/>
      <c r="J18" s="3319"/>
      <c r="K18" s="3319"/>
      <c r="L18" s="3319"/>
      <c r="M18" s="3320"/>
      <c r="O18" s="2547" t="s">
        <v>5878</v>
      </c>
      <c r="P18" s="2537">
        <v>0.91207132453546369</v>
      </c>
    </row>
    <row r="19" spans="2:25" ht="39" thickBot="1">
      <c r="B19" s="3310"/>
      <c r="C19" s="2430" t="s">
        <v>5855</v>
      </c>
      <c r="D19" s="2470" t="s">
        <v>5856</v>
      </c>
      <c r="E19" s="2470" t="s">
        <v>5857</v>
      </c>
      <c r="F19" s="2470" t="s">
        <v>5858</v>
      </c>
      <c r="G19" s="3317"/>
      <c r="H19" s="3356"/>
      <c r="I19" s="3355"/>
      <c r="J19" s="3319"/>
      <c r="K19" s="3319"/>
      <c r="L19" s="3319"/>
      <c r="M19" s="3320"/>
      <c r="O19" s="2538" t="s">
        <v>5879</v>
      </c>
      <c r="P19" s="2539">
        <v>0.03</v>
      </c>
      <c r="X19" s="2547" t="s">
        <v>5878</v>
      </c>
      <c r="Y19" s="2537">
        <v>0.91207132453546369</v>
      </c>
    </row>
    <row r="20" spans="2:25" ht="24.6" customHeight="1" thickBot="1">
      <c r="B20" s="2431" t="s">
        <v>5823</v>
      </c>
      <c r="C20" s="2432">
        <f>'表30-5-3-1'!C18</f>
        <v>0</v>
      </c>
      <c r="D20" s="2432">
        <f>'表30-5-3-1'!E18</f>
        <v>0</v>
      </c>
      <c r="E20" s="2432">
        <f>'表30-5-3-1'!G18</f>
        <v>0</v>
      </c>
      <c r="F20" s="2432">
        <f>'表30-5-3-1'!I18</f>
        <v>0</v>
      </c>
      <c r="G20" s="2432">
        <f>'表30-5-3-1'!K18</f>
        <v>0</v>
      </c>
      <c r="H20" s="2448">
        <f>'表30-5-3-1'!M18</f>
        <v>0</v>
      </c>
      <c r="I20" s="2449">
        <f>ROUND((C20*Q$11+D20*R$11+E20*S$11+F20*T$11+G20*U$11+H20*V$11)/1000,0)*(1+$P$19)</f>
        <v>0</v>
      </c>
      <c r="J20" s="2451">
        <f>ROUND((C20*Q$12+D20*R$12+E20*S$12+F20*T$12+G20*U$12+H20*V$12)/1000*$P$18,0)*(1+$P$19)</f>
        <v>0</v>
      </c>
      <c r="K20" s="2451">
        <f>ROUND((C20*Q$13+D20*R$13+E20*S$13+F20*T$13+G20*U$13+H20*V$13)/1000*$P$18,0)*(1+$P$19)</f>
        <v>0</v>
      </c>
      <c r="L20" s="2451">
        <f>ROUND((C20*Q$14+D20*R$14+E20*S$14+F20*T$14+G20*U$14+H20*V$14)/1000*$P$18,0)*(1+$P$19)</f>
        <v>0</v>
      </c>
      <c r="M20" s="2452">
        <f>ROUND((C20*Q$15+D20*R$15+E20*S$15+F20*T$15+G20*U$15+H20*V$15)/1000*$P$18,0)*(1+$P$19)</f>
        <v>0</v>
      </c>
      <c r="X20" s="2538" t="s">
        <v>5879</v>
      </c>
      <c r="Y20" s="2539">
        <v>0.03</v>
      </c>
    </row>
    <row r="21" spans="2:25" ht="24.6" customHeight="1" thickBot="1">
      <c r="B21" s="2439" t="s">
        <v>5824</v>
      </c>
      <c r="C21" s="2441">
        <f>'表30-5-3-1'!C19</f>
        <v>0</v>
      </c>
      <c r="D21" s="2441">
        <f>'表30-5-3-1'!E19</f>
        <v>0</v>
      </c>
      <c r="E21" s="2458"/>
      <c r="F21" s="2441">
        <f>'表30-5-3-1'!I19</f>
        <v>0</v>
      </c>
      <c r="G21" s="2441">
        <f>'表30-5-3-1'!K19</f>
        <v>0</v>
      </c>
      <c r="H21" s="2459"/>
      <c r="I21" s="2440">
        <f>ROUND((C21*Z$11+D21*AA$11+F21*AC$11+G21*AD$11)/1000,0)*(1+$Y$20)</f>
        <v>0</v>
      </c>
      <c r="J21" s="2441">
        <f>ROUND((C21*Z$12+D21*AA$12+F21*AC$12+G21*AD$12)/1000*$Y$19,0)*(1+$Y$20)</f>
        <v>0</v>
      </c>
      <c r="K21" s="2441">
        <f>ROUND((C21*Z$13+D21*AA$13+F21*AC$13+G21*AD$13)/1000*$Y$19,0)*(1+$Y$20)</f>
        <v>0</v>
      </c>
      <c r="L21" s="2441">
        <f>ROUND((C21*Z$14+D21*AA$14+F21*AC$14+G21*AD$14)/1000*$Y$19,0)*(1+$Y$20)</f>
        <v>0</v>
      </c>
      <c r="M21" s="2442">
        <f>ROUND((C21*Z$15+D21*AA$15+F21*AC$15+G21*AD$15)/1000*$Y$19,0)*(1+$Y$20)</f>
        <v>0</v>
      </c>
    </row>
    <row r="22" spans="2:25" ht="24.6" customHeight="1">
      <c r="B22" s="2460" t="s">
        <v>5859</v>
      </c>
      <c r="C22" s="3342"/>
      <c r="D22" s="3343"/>
      <c r="E22" s="3343"/>
      <c r="F22" s="3343"/>
      <c r="G22" s="3343"/>
      <c r="H22" s="3343"/>
      <c r="I22" s="3344"/>
      <c r="J22" s="2432">
        <f>SUM(J20:J21)</f>
        <v>0</v>
      </c>
      <c r="K22" s="2432">
        <f t="shared" ref="K22:M22" si="1">SUM(K20:K21)</f>
        <v>0</v>
      </c>
      <c r="L22" s="2432">
        <f t="shared" si="1"/>
        <v>0</v>
      </c>
      <c r="M22" s="2435">
        <f t="shared" si="1"/>
        <v>0</v>
      </c>
    </row>
    <row r="23" spans="2:25" ht="24.6" customHeight="1">
      <c r="B23" s="2454" t="s">
        <v>5866</v>
      </c>
      <c r="C23" s="3345"/>
      <c r="D23" s="3346"/>
      <c r="E23" s="3346"/>
      <c r="F23" s="3346"/>
      <c r="G23" s="3346"/>
      <c r="H23" s="3346"/>
      <c r="I23" s="3347"/>
      <c r="J23" s="2455"/>
      <c r="K23" s="2455"/>
      <c r="L23" s="2455"/>
      <c r="M23" s="2456"/>
    </row>
    <row r="24" spans="2:25" ht="24.6" customHeight="1" thickBot="1">
      <c r="B24" s="2457" t="s">
        <v>5867</v>
      </c>
      <c r="C24" s="3348"/>
      <c r="D24" s="3349"/>
      <c r="E24" s="3349"/>
      <c r="F24" s="3349"/>
      <c r="G24" s="3349"/>
      <c r="H24" s="3349"/>
      <c r="I24" s="3350"/>
      <c r="J24" s="2441">
        <f>(J20+J21)-J23</f>
        <v>0</v>
      </c>
      <c r="K24" s="2441">
        <f t="shared" ref="K24:M24" si="2">(K20+K21)-K23</f>
        <v>0</v>
      </c>
      <c r="L24" s="2441">
        <f t="shared" si="2"/>
        <v>0</v>
      </c>
      <c r="M24" s="2442">
        <f t="shared" si="2"/>
        <v>0</v>
      </c>
    </row>
    <row r="27" spans="2:25" ht="16.5" thickBot="1"/>
    <row r="28" spans="2:25" ht="20.25" thickBot="1">
      <c r="B28" s="2501" t="s">
        <v>5914</v>
      </c>
      <c r="C28" s="2475"/>
      <c r="D28" s="2476"/>
      <c r="E28" s="2475"/>
      <c r="F28" s="2475"/>
      <c r="G28" s="2475"/>
      <c r="H28" s="2475"/>
      <c r="I28" s="2476" t="s">
        <v>5880</v>
      </c>
      <c r="O28" s="3358" t="s">
        <v>5905</v>
      </c>
      <c r="P28" s="3359"/>
      <c r="Q28" s="3359"/>
      <c r="R28" s="3359"/>
      <c r="S28" s="3359"/>
      <c r="T28" s="3360"/>
      <c r="U28" s="2399"/>
      <c r="V28" s="2399"/>
      <c r="W28" s="2399"/>
    </row>
    <row r="29" spans="2:25" ht="19.5">
      <c r="B29" s="3361" t="s">
        <v>5882</v>
      </c>
      <c r="C29" s="3362"/>
      <c r="D29" s="2477" t="s">
        <v>5906</v>
      </c>
      <c r="E29" s="3363" t="s">
        <v>5884</v>
      </c>
      <c r="F29" s="3365" t="s">
        <v>5885</v>
      </c>
      <c r="G29" s="3365"/>
      <c r="H29" s="3365"/>
      <c r="I29" s="3366"/>
      <c r="O29" s="3388" t="s">
        <v>5886</v>
      </c>
      <c r="P29" s="3389"/>
      <c r="Q29" s="3389"/>
      <c r="R29" s="3389"/>
      <c r="S29" s="3389"/>
      <c r="T29" s="3390"/>
      <c r="U29" s="2399"/>
      <c r="V29" s="2399"/>
      <c r="W29" s="2399"/>
    </row>
    <row r="30" spans="2:25" ht="39">
      <c r="B30" s="3370" t="s">
        <v>5887</v>
      </c>
      <c r="C30" s="3371"/>
      <c r="D30" s="2478" t="s">
        <v>5828</v>
      </c>
      <c r="E30" s="3364"/>
      <c r="F30" s="2479" t="s">
        <v>5888</v>
      </c>
      <c r="G30" s="2479" t="s">
        <v>5889</v>
      </c>
      <c r="H30" s="2479" t="s">
        <v>5890</v>
      </c>
      <c r="I30" s="2480" t="s">
        <v>5891</v>
      </c>
      <c r="O30" s="2526" t="s">
        <v>5892</v>
      </c>
      <c r="P30" s="2498" t="s">
        <v>5893</v>
      </c>
      <c r="Q30" s="2498" t="s">
        <v>5894</v>
      </c>
      <c r="R30" s="2498" t="s">
        <v>5895</v>
      </c>
      <c r="S30" s="2498" t="s">
        <v>5896</v>
      </c>
      <c r="T30" s="2527" t="s">
        <v>5897</v>
      </c>
      <c r="U30" s="2399"/>
      <c r="V30" s="2399"/>
      <c r="W30" s="2399"/>
    </row>
    <row r="31" spans="2:25" ht="20.25" thickBot="1">
      <c r="B31" s="3372"/>
      <c r="C31" s="3373"/>
      <c r="D31" s="2482">
        <f>'表30-5-3-1'!C25</f>
        <v>0</v>
      </c>
      <c r="E31" s="2483">
        <f>$D31*P$31/1000*(1+$P$34)</f>
        <v>0</v>
      </c>
      <c r="F31" s="2484">
        <f>$D31*Q$31/1000*(1+$P$34)</f>
        <v>0</v>
      </c>
      <c r="G31" s="2484">
        <f>$D31*R$31/1000*(1+$P$34)</f>
        <v>0</v>
      </c>
      <c r="H31" s="2484">
        <f>$D31*S$31/1000*(1+$P$34)</f>
        <v>0</v>
      </c>
      <c r="I31" s="2485">
        <f>$D31*T$31/1000*(1+$P$34)</f>
        <v>0</v>
      </c>
      <c r="O31" s="2528" t="s">
        <v>5898</v>
      </c>
      <c r="P31" s="2529">
        <v>2.054794520547945E-3</v>
      </c>
      <c r="Q31" s="2529">
        <v>4.7945205479452066E-3</v>
      </c>
      <c r="R31" s="2529">
        <v>9.3150684931506845E-3</v>
      </c>
      <c r="S31" s="2529">
        <v>1.3424657534246574E-2</v>
      </c>
      <c r="T31" s="2530">
        <v>1.7260273972602738E-2</v>
      </c>
      <c r="U31" s="2399"/>
      <c r="V31" s="2399"/>
      <c r="W31" s="2399"/>
    </row>
    <row r="32" spans="2:25" ht="19.5" thickBot="1">
      <c r="B32" s="2486"/>
      <c r="C32" s="2487"/>
      <c r="D32" s="2488"/>
      <c r="E32" s="2488"/>
      <c r="F32" s="2475"/>
      <c r="G32" s="2475"/>
      <c r="H32" s="2475"/>
      <c r="I32" s="2475"/>
      <c r="O32" s="2399"/>
      <c r="P32" s="2399"/>
      <c r="Q32" s="2399"/>
      <c r="R32" s="2399"/>
      <c r="S32" s="2499"/>
      <c r="T32" s="2499"/>
      <c r="U32" s="2399"/>
      <c r="V32" s="2399"/>
      <c r="W32" s="2399"/>
    </row>
    <row r="33" spans="2:23" ht="20.25" thickBot="1">
      <c r="B33" s="2501" t="s">
        <v>5915</v>
      </c>
      <c r="C33" s="2475"/>
      <c r="D33" s="2475"/>
      <c r="E33" s="2476"/>
      <c r="F33" s="2475"/>
      <c r="G33" s="2475"/>
      <c r="H33" s="2475"/>
      <c r="I33" s="2476" t="s">
        <v>5880</v>
      </c>
      <c r="O33" s="2533" t="s">
        <v>5892</v>
      </c>
      <c r="P33" s="2534" t="s">
        <v>5899</v>
      </c>
      <c r="Q33" s="2531"/>
      <c r="R33" s="2399"/>
      <c r="S33" s="2499"/>
      <c r="T33" s="2499"/>
      <c r="U33" s="2399"/>
      <c r="V33" s="2399"/>
      <c r="W33" s="2399"/>
    </row>
    <row r="34" spans="2:23" ht="20.25" thickBot="1">
      <c r="B34" s="3361" t="s">
        <v>5882</v>
      </c>
      <c r="C34" s="3362"/>
      <c r="D34" s="2477" t="s">
        <v>5906</v>
      </c>
      <c r="E34" s="3374" t="s">
        <v>5884</v>
      </c>
      <c r="F34" s="3376" t="s">
        <v>5885</v>
      </c>
      <c r="G34" s="3376"/>
      <c r="H34" s="3376"/>
      <c r="I34" s="3377"/>
      <c r="O34" s="2535" t="s">
        <v>5907</v>
      </c>
      <c r="P34" s="2536">
        <v>0.08</v>
      </c>
      <c r="Q34" s="2532"/>
      <c r="R34" s="2499"/>
      <c r="S34" s="2499"/>
      <c r="T34" s="2499"/>
      <c r="U34" s="2399"/>
      <c r="V34" s="2399"/>
      <c r="W34" s="2399"/>
    </row>
    <row r="35" spans="2:23" ht="19.5">
      <c r="B35" s="3370" t="s">
        <v>5887</v>
      </c>
      <c r="C35" s="3371"/>
      <c r="D35" s="2491" t="s">
        <v>5901</v>
      </c>
      <c r="E35" s="3375"/>
      <c r="F35" s="2401" t="s">
        <v>5888</v>
      </c>
      <c r="G35" s="2401" t="s">
        <v>5889</v>
      </c>
      <c r="H35" s="2401" t="s">
        <v>5890</v>
      </c>
      <c r="I35" s="2492" t="s">
        <v>5891</v>
      </c>
    </row>
    <row r="36" spans="2:23" ht="19.5" thickBot="1">
      <c r="B36" s="3378"/>
      <c r="C36" s="3379"/>
      <c r="D36" s="2493">
        <f>'表30-5-3-1'!D25</f>
        <v>0</v>
      </c>
      <c r="E36" s="2483">
        <f>$D36*P$31/1000*(1+$P$34)</f>
        <v>0</v>
      </c>
      <c r="F36" s="2484">
        <f t="shared" ref="F36:I36" si="3">$D36*Q$31/1000*(1+$P$34)</f>
        <v>0</v>
      </c>
      <c r="G36" s="2484">
        <f t="shared" si="3"/>
        <v>0</v>
      </c>
      <c r="H36" s="2484">
        <f t="shared" si="3"/>
        <v>0</v>
      </c>
      <c r="I36" s="2485">
        <f t="shared" si="3"/>
        <v>0</v>
      </c>
    </row>
    <row r="37" spans="2:23" ht="20.25" thickBot="1">
      <c r="B37" s="3380" t="s">
        <v>5868</v>
      </c>
      <c r="C37" s="3381"/>
      <c r="D37" s="3382"/>
      <c r="E37" s="3383"/>
      <c r="F37" s="2494">
        <v>0</v>
      </c>
      <c r="G37" s="2494">
        <v>0</v>
      </c>
      <c r="H37" s="2494">
        <v>0</v>
      </c>
      <c r="I37" s="2495">
        <v>0</v>
      </c>
    </row>
    <row r="38" spans="2:23" ht="20.25" thickBot="1">
      <c r="B38" s="3386" t="s">
        <v>5902</v>
      </c>
      <c r="C38" s="3387"/>
      <c r="D38" s="3384"/>
      <c r="E38" s="3385"/>
      <c r="F38" s="2496">
        <f>F36-F37</f>
        <v>0</v>
      </c>
      <c r="G38" s="2496">
        <f>G36-G37</f>
        <v>0</v>
      </c>
      <c r="H38" s="2496">
        <f>H36-H37</f>
        <v>0</v>
      </c>
      <c r="I38" s="2497">
        <f>I36-I37</f>
        <v>0</v>
      </c>
    </row>
  </sheetData>
  <mergeCells count="65">
    <mergeCell ref="B34:C34"/>
    <mergeCell ref="E34:E35"/>
    <mergeCell ref="F34:I34"/>
    <mergeCell ref="B35:C36"/>
    <mergeCell ref="B37:C37"/>
    <mergeCell ref="D37:E38"/>
    <mergeCell ref="B38:C38"/>
    <mergeCell ref="O28:T28"/>
    <mergeCell ref="B29:C29"/>
    <mergeCell ref="E29:E30"/>
    <mergeCell ref="F29:I29"/>
    <mergeCell ref="O29:T29"/>
    <mergeCell ref="B30:C31"/>
    <mergeCell ref="M17:M19"/>
    <mergeCell ref="C18:D18"/>
    <mergeCell ref="E18:F18"/>
    <mergeCell ref="G18:G19"/>
    <mergeCell ref="H18:H19"/>
    <mergeCell ref="J17:J19"/>
    <mergeCell ref="K17:K19"/>
    <mergeCell ref="L17:L19"/>
    <mergeCell ref="C22:I24"/>
    <mergeCell ref="B16:B19"/>
    <mergeCell ref="C16:F16"/>
    <mergeCell ref="G16:H16"/>
    <mergeCell ref="I16:I19"/>
    <mergeCell ref="C17:F17"/>
    <mergeCell ref="G17:H17"/>
    <mergeCell ref="V9:V10"/>
    <mergeCell ref="Z9:AA9"/>
    <mergeCell ref="AB9:AC9"/>
    <mergeCell ref="AD9:AD10"/>
    <mergeCell ref="J16:M16"/>
    <mergeCell ref="C11:H11"/>
    <mergeCell ref="O11:P11"/>
    <mergeCell ref="X11:Y11"/>
    <mergeCell ref="O12:O15"/>
    <mergeCell ref="X12:X15"/>
    <mergeCell ref="O6:V6"/>
    <mergeCell ref="X6:AE6"/>
    <mergeCell ref="C7:D7"/>
    <mergeCell ref="E7:F7"/>
    <mergeCell ref="G7:G8"/>
    <mergeCell ref="H7:H8"/>
    <mergeCell ref="O7:P10"/>
    <mergeCell ref="Q7:T8"/>
    <mergeCell ref="U7:V8"/>
    <mergeCell ref="AE9:AE10"/>
    <mergeCell ref="X7:Y10"/>
    <mergeCell ref="Z7:AC8"/>
    <mergeCell ref="AD7:AE8"/>
    <mergeCell ref="Q9:R9"/>
    <mergeCell ref="S9:T9"/>
    <mergeCell ref="U9:U10"/>
    <mergeCell ref="B5:B8"/>
    <mergeCell ref="C5:F5"/>
    <mergeCell ref="G5:H5"/>
    <mergeCell ref="I5:I8"/>
    <mergeCell ref="J5:M5"/>
    <mergeCell ref="C6:F6"/>
    <mergeCell ref="G6:H6"/>
    <mergeCell ref="J6:J8"/>
    <mergeCell ref="K6:K8"/>
    <mergeCell ref="L6:L8"/>
    <mergeCell ref="M6:M8"/>
  </mergeCells>
  <phoneticPr fontId="30" type="noConversion"/>
  <pageMargins left="0.70866141732283472" right="0.70866141732283472" top="0.74803149606299213" bottom="0.74803149606299213" header="0.31496062992125984" footer="0.31496062992125984"/>
  <pageSetup paperSize="9" scale="40" orientation="landscape" r:id="rId1"/>
  <headerFooter scaleWithDoc="0">
    <oddFooter>&amp;R&amp;A</oddFooter>
  </headerFooter>
  <colBreaks count="1" manualBreakCount="1">
    <brk id="1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heetViews>
  <sheetFormatPr defaultColWidth="8.875" defaultRowHeight="13.5"/>
  <cols>
    <col min="1" max="1" width="42.5" style="550" customWidth="1"/>
    <col min="2" max="2" width="92.25" style="550" customWidth="1"/>
    <col min="3" max="3" width="11.375" style="551" customWidth="1"/>
    <col min="4" max="4" width="14.125" style="582" customWidth="1"/>
    <col min="5" max="5" width="9.625" style="582" customWidth="1"/>
    <col min="6" max="6" width="12.125" style="551" customWidth="1"/>
    <col min="7" max="16384" width="8.875" style="550"/>
  </cols>
  <sheetData>
    <row r="1" spans="1:6" s="30" customFormat="1" ht="16.5">
      <c r="A1" s="2186" t="str">
        <f>+封面!A3&amp;" "&amp;封面!A2</f>
        <v xml:space="preserve"> 中央再保險股份有限公司 年度檢查報表</v>
      </c>
      <c r="C1" s="520"/>
      <c r="D1" s="521"/>
      <c r="E1" s="520"/>
    </row>
    <row r="2" spans="1:6" s="30" customFormat="1" ht="17.25" thickBot="1">
      <c r="A2" s="522" t="s">
        <v>3753</v>
      </c>
      <c r="B2" s="523"/>
      <c r="C2" s="33"/>
      <c r="D2" s="33"/>
      <c r="E2" s="33"/>
      <c r="F2" s="33" t="s">
        <v>3707</v>
      </c>
    </row>
    <row r="3" spans="1:6" ht="38.25" customHeight="1">
      <c r="A3" s="2551" t="s">
        <v>3754</v>
      </c>
      <c r="B3" s="567" t="s">
        <v>3709</v>
      </c>
      <c r="C3" s="2552" t="s">
        <v>3755</v>
      </c>
      <c r="D3" s="2553" t="s">
        <v>6066</v>
      </c>
      <c r="E3" s="2552" t="s">
        <v>3756</v>
      </c>
      <c r="F3" s="2554" t="s">
        <v>3757</v>
      </c>
    </row>
    <row r="4" spans="1:6" ht="14.45" customHeight="1">
      <c r="A4" s="532" t="s">
        <v>3758</v>
      </c>
      <c r="B4" s="568" t="s">
        <v>3759</v>
      </c>
      <c r="C4" s="568">
        <f>'表23-1'!F9+'表23-1'!K9</f>
        <v>0</v>
      </c>
      <c r="D4" s="568">
        <v>7.8E-2</v>
      </c>
      <c r="E4" s="568">
        <f>'表30-8-6'!H8</f>
        <v>0</v>
      </c>
      <c r="F4" s="569">
        <f>ROUND(C4*MAX((D4-E4),0),0)</f>
        <v>0</v>
      </c>
    </row>
    <row r="5" spans="1:6" ht="14.45" customHeight="1">
      <c r="A5" s="570" t="s">
        <v>3760</v>
      </c>
      <c r="B5" s="571" t="s">
        <v>3759</v>
      </c>
      <c r="C5" s="571"/>
      <c r="D5" s="571"/>
      <c r="E5" s="571">
        <f>'表30-8-6'!$H$8</f>
        <v>0</v>
      </c>
      <c r="F5" s="572">
        <f>ROUND(C5*MAX((D5-E5),0),0)</f>
        <v>0</v>
      </c>
    </row>
    <row r="6" spans="1:6" ht="14.45" customHeight="1">
      <c r="A6" s="570" t="s">
        <v>3761</v>
      </c>
      <c r="B6" s="571"/>
      <c r="C6" s="571"/>
      <c r="D6" s="573"/>
      <c r="E6" s="573"/>
      <c r="F6" s="572">
        <f>SUM(F7:F8)</f>
        <v>0</v>
      </c>
    </row>
    <row r="7" spans="1:6" ht="14.45" customHeight="1">
      <c r="A7" s="574" t="s">
        <v>3762</v>
      </c>
      <c r="B7" s="571" t="s">
        <v>3759</v>
      </c>
      <c r="C7" s="571"/>
      <c r="D7" s="571"/>
      <c r="E7" s="571">
        <f>'表30-8-6'!$H$8</f>
        <v>0</v>
      </c>
      <c r="F7" s="572">
        <f>ROUND(C7*MAX((D7-E7),0),0)</f>
        <v>0</v>
      </c>
    </row>
    <row r="8" spans="1:6" ht="14.45" customHeight="1">
      <c r="A8" s="574" t="s">
        <v>3763</v>
      </c>
      <c r="B8" s="571" t="s">
        <v>3759</v>
      </c>
      <c r="C8" s="571"/>
      <c r="D8" s="571"/>
      <c r="E8" s="571">
        <f>'表30-8-6'!$H$8</f>
        <v>0</v>
      </c>
      <c r="F8" s="572">
        <f>ROUND(C8*MAX((D8-E8),0),0)</f>
        <v>0</v>
      </c>
    </row>
    <row r="9" spans="1:6" ht="14.45" customHeight="1">
      <c r="A9" s="570" t="s">
        <v>3764</v>
      </c>
      <c r="B9" s="571"/>
      <c r="C9" s="571"/>
      <c r="D9" s="573"/>
      <c r="E9" s="573"/>
      <c r="F9" s="572">
        <f>SUM(F10:F11)</f>
        <v>0</v>
      </c>
    </row>
    <row r="10" spans="1:6" ht="14.45" customHeight="1">
      <c r="A10" s="574" t="s">
        <v>3765</v>
      </c>
      <c r="B10" s="571" t="s">
        <v>3759</v>
      </c>
      <c r="C10" s="571"/>
      <c r="D10" s="571"/>
      <c r="E10" s="571">
        <f>'表30-8-6'!$H$8</f>
        <v>0</v>
      </c>
      <c r="F10" s="572">
        <f>ROUND(C10*MAX((D10-E10),0),0)</f>
        <v>0</v>
      </c>
    </row>
    <row r="11" spans="1:6" ht="14.45" customHeight="1">
      <c r="A11" s="574" t="s">
        <v>3766</v>
      </c>
      <c r="B11" s="571" t="s">
        <v>3759</v>
      </c>
      <c r="C11" s="571"/>
      <c r="D11" s="571"/>
      <c r="E11" s="571">
        <f>'表30-8-6'!$H$8</f>
        <v>0</v>
      </c>
      <c r="F11" s="572">
        <f>ROUND(C11*MAX((D11-E11),0),0)</f>
        <v>0</v>
      </c>
    </row>
    <row r="12" spans="1:6" ht="14.45" customHeight="1">
      <c r="A12" s="570" t="s">
        <v>3767</v>
      </c>
      <c r="B12" s="571"/>
      <c r="C12" s="3391"/>
      <c r="D12" s="3391"/>
      <c r="E12" s="3391"/>
      <c r="F12" s="572">
        <f>F13+F14</f>
        <v>0</v>
      </c>
    </row>
    <row r="13" spans="1:6" ht="14.25" customHeight="1">
      <c r="A13" s="570" t="s">
        <v>3768</v>
      </c>
      <c r="B13" s="575" t="s">
        <v>3769</v>
      </c>
      <c r="C13" s="3391"/>
      <c r="D13" s="3391"/>
      <c r="E13" s="3391"/>
      <c r="F13" s="572">
        <f>'表30-6-1'!L6</f>
        <v>0</v>
      </c>
    </row>
    <row r="14" spans="1:6" ht="14.25" customHeight="1" thickBot="1">
      <c r="A14" s="576" t="s">
        <v>3770</v>
      </c>
      <c r="B14" s="577" t="s">
        <v>3771</v>
      </c>
      <c r="C14" s="3392"/>
      <c r="D14" s="3392"/>
      <c r="E14" s="3392"/>
      <c r="F14" s="578">
        <f>'表30-6-1'!L14</f>
        <v>0</v>
      </c>
    </row>
    <row r="15" spans="1:6" ht="20.25" customHeight="1" thickTop="1" thickBot="1">
      <c r="A15" s="579" t="s">
        <v>3772</v>
      </c>
      <c r="B15" s="580"/>
      <c r="C15" s="581">
        <f>SUM(C4:C5,C7:C8,C10:C11)</f>
        <v>0</v>
      </c>
      <c r="D15" s="581"/>
      <c r="E15" s="581"/>
      <c r="F15" s="581">
        <f>SUM(F4:F5,F7:F8,F10:F11,F12)</f>
        <v>0</v>
      </c>
    </row>
    <row r="16" spans="1:6" ht="14.25">
      <c r="A16" s="550" t="s">
        <v>3773</v>
      </c>
    </row>
  </sheetData>
  <mergeCells count="1">
    <mergeCell ref="C12:E14"/>
  </mergeCells>
  <phoneticPr fontId="30"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heetViews>
  <sheetFormatPr defaultColWidth="9" defaultRowHeight="13.5"/>
  <cols>
    <col min="1" max="1" width="4" style="29" customWidth="1"/>
    <col min="2" max="2" width="34.375" style="29" customWidth="1"/>
    <col min="3" max="3" width="17.875" style="29" customWidth="1"/>
    <col min="4" max="4" width="18.125" style="29" customWidth="1"/>
    <col min="5" max="5" width="18.5" style="29" customWidth="1"/>
    <col min="6" max="6" width="16.25" style="29" customWidth="1"/>
    <col min="7" max="9" width="17.125" style="29" customWidth="1"/>
    <col min="10" max="10" width="16.875" style="29" customWidth="1"/>
    <col min="11" max="11" width="19.125" style="29" customWidth="1"/>
    <col min="12" max="12" width="16.125" style="29" bestFit="1" customWidth="1"/>
    <col min="13" max="16384" width="9" style="29"/>
  </cols>
  <sheetData>
    <row r="1" spans="1:12" ht="16.5">
      <c r="A1" s="2186" t="str">
        <f>+封面!A3&amp;" "&amp;封面!A2</f>
        <v xml:space="preserve"> 中央再保險股份有限公司 年度檢查報表</v>
      </c>
    </row>
    <row r="2" spans="1:12" ht="14.25">
      <c r="A2" s="457" t="s">
        <v>3720</v>
      </c>
      <c r="B2" s="457"/>
      <c r="C2" s="457"/>
      <c r="D2" s="457"/>
      <c r="E2" s="457"/>
      <c r="L2" s="29" t="s">
        <v>3721</v>
      </c>
    </row>
    <row r="3" spans="1:12" ht="14.25">
      <c r="A3" s="3398" t="s">
        <v>3722</v>
      </c>
      <c r="B3" s="3398" t="s">
        <v>3723</v>
      </c>
      <c r="C3" s="3398" t="s">
        <v>3724</v>
      </c>
      <c r="D3" s="3393" t="s">
        <v>3725</v>
      </c>
      <c r="E3" s="3394"/>
      <c r="F3" s="3394"/>
      <c r="G3" s="3394"/>
      <c r="H3" s="3395"/>
      <c r="I3" s="3393" t="s">
        <v>3726</v>
      </c>
      <c r="J3" s="3394"/>
      <c r="K3" s="3395"/>
      <c r="L3" s="553" t="s">
        <v>3727</v>
      </c>
    </row>
    <row r="4" spans="1:12" ht="28.5">
      <c r="A4" s="3398"/>
      <c r="B4" s="3399"/>
      <c r="C4" s="3399"/>
      <c r="D4" s="554" t="s">
        <v>3728</v>
      </c>
      <c r="E4" s="555" t="s">
        <v>3729</v>
      </c>
      <c r="F4" s="554" t="s">
        <v>3730</v>
      </c>
      <c r="G4" s="556" t="s">
        <v>3731</v>
      </c>
      <c r="H4" s="556" t="s">
        <v>3732</v>
      </c>
      <c r="I4" s="557" t="s">
        <v>3728</v>
      </c>
      <c r="J4" s="556" t="s">
        <v>3733</v>
      </c>
      <c r="K4" s="556" t="s">
        <v>3732</v>
      </c>
      <c r="L4" s="556" t="s">
        <v>3732</v>
      </c>
    </row>
    <row r="5" spans="1:12">
      <c r="A5" s="3398"/>
      <c r="B5" s="558" t="s">
        <v>122</v>
      </c>
      <c r="C5" s="558" t="s">
        <v>183</v>
      </c>
      <c r="D5" s="558" t="s">
        <v>68</v>
      </c>
      <c r="E5" s="558" t="s">
        <v>69</v>
      </c>
      <c r="F5" s="558" t="s">
        <v>70</v>
      </c>
      <c r="G5" s="558" t="s">
        <v>71</v>
      </c>
      <c r="H5" s="558" t="s">
        <v>72</v>
      </c>
      <c r="I5" s="558" t="s">
        <v>73</v>
      </c>
      <c r="J5" s="558" t="s">
        <v>74</v>
      </c>
      <c r="K5" s="558" t="s">
        <v>75</v>
      </c>
      <c r="L5" s="558" t="s">
        <v>225</v>
      </c>
    </row>
    <row r="6" spans="1:12" ht="14.25">
      <c r="A6" s="559">
        <v>1</v>
      </c>
      <c r="B6" s="559" t="s">
        <v>3734</v>
      </c>
      <c r="C6" s="560"/>
      <c r="D6" s="559">
        <f>SUM(D7:D13)</f>
        <v>0</v>
      </c>
      <c r="E6" s="559"/>
      <c r="F6" s="559"/>
      <c r="G6" s="559"/>
      <c r="H6" s="559">
        <f>SUM(H7:H13)</f>
        <v>0</v>
      </c>
      <c r="I6" s="559">
        <f>SUM(I7:I13)</f>
        <v>0</v>
      </c>
      <c r="J6" s="559"/>
      <c r="K6" s="559">
        <f>SUM(K7:K13)</f>
        <v>0</v>
      </c>
      <c r="L6" s="559">
        <f>SUM(L7:L13)</f>
        <v>0</v>
      </c>
    </row>
    <row r="7" spans="1:12">
      <c r="A7" s="559">
        <v>2</v>
      </c>
      <c r="B7" s="559"/>
      <c r="C7" s="561"/>
      <c r="D7" s="559"/>
      <c r="E7" s="559"/>
      <c r="F7" s="559"/>
      <c r="G7" s="559"/>
      <c r="H7" s="559">
        <f>IF(D7*(MAX(E7,F7)-G7)&lt;0,0,D7*(MAX(E7,F7)-G7))</f>
        <v>0</v>
      </c>
      <c r="I7" s="559"/>
      <c r="J7" s="559"/>
      <c r="K7" s="559">
        <f>IF(I7*(MAX(E7,F7)-J7)&lt;0,0,I7*(MAX(E7,F7)-J7))</f>
        <v>0</v>
      </c>
      <c r="L7" s="559">
        <f>H7+K7</f>
        <v>0</v>
      </c>
    </row>
    <row r="8" spans="1:12">
      <c r="A8" s="559">
        <v>3</v>
      </c>
      <c r="B8" s="559"/>
      <c r="C8" s="562"/>
      <c r="D8" s="559"/>
      <c r="E8" s="559"/>
      <c r="F8" s="559"/>
      <c r="G8" s="559"/>
      <c r="H8" s="559">
        <f t="shared" ref="H8:H21" si="0">IF(D8*(MAX(E8,F8)-G8)&lt;0,0,D8*(MAX(E8,F8)-G8))</f>
        <v>0</v>
      </c>
      <c r="I8" s="559"/>
      <c r="J8" s="559"/>
      <c r="K8" s="559">
        <f t="shared" ref="K8:K21" si="1">IF(I8*(MAX(E8,F8)-J8)&lt;0,0,I8*(MAX(E8,F8)-J8))</f>
        <v>0</v>
      </c>
      <c r="L8" s="559">
        <f t="shared" ref="L8:L21" si="2">H8+K8</f>
        <v>0</v>
      </c>
    </row>
    <row r="9" spans="1:12">
      <c r="A9" s="559">
        <v>4</v>
      </c>
      <c r="B9" s="559"/>
      <c r="C9" s="563"/>
      <c r="D9" s="563"/>
      <c r="E9" s="559"/>
      <c r="F9" s="559"/>
      <c r="G9" s="559"/>
      <c r="H9" s="559">
        <f>IF(D9*(MAX(E9,F9)-G9)&lt;0,0,D9*(MAX(E9,F9)-G9))</f>
        <v>0</v>
      </c>
      <c r="I9" s="559"/>
      <c r="J9" s="559"/>
      <c r="K9" s="559">
        <f>IF(I9*(MAX(E9,F9)-J9)&lt;0,0,I9*(MAX(E9,F9)-J9))</f>
        <v>0</v>
      </c>
      <c r="L9" s="559">
        <f>H9+K9</f>
        <v>0</v>
      </c>
    </row>
    <row r="10" spans="1:12">
      <c r="A10" s="559">
        <v>5</v>
      </c>
      <c r="B10" s="559"/>
      <c r="C10" s="563"/>
      <c r="D10" s="563"/>
      <c r="E10" s="559"/>
      <c r="F10" s="559"/>
      <c r="G10" s="559"/>
      <c r="H10" s="559">
        <f t="shared" si="0"/>
        <v>0</v>
      </c>
      <c r="I10" s="559"/>
      <c r="J10" s="559"/>
      <c r="K10" s="559">
        <f>IF(I10*(MAX(E10,F10)-J10)&lt;0,0,I10*(MAX(E10,F10)-J10))</f>
        <v>0</v>
      </c>
      <c r="L10" s="559">
        <f t="shared" si="2"/>
        <v>0</v>
      </c>
    </row>
    <row r="11" spans="1:12">
      <c r="A11" s="559">
        <v>6</v>
      </c>
      <c r="B11" s="559"/>
      <c r="C11" s="562"/>
      <c r="D11" s="559"/>
      <c r="E11" s="559"/>
      <c r="F11" s="559"/>
      <c r="G11" s="559"/>
      <c r="H11" s="559">
        <f t="shared" si="0"/>
        <v>0</v>
      </c>
      <c r="I11" s="559"/>
      <c r="J11" s="559"/>
      <c r="K11" s="559">
        <f t="shared" si="1"/>
        <v>0</v>
      </c>
      <c r="L11" s="559">
        <f t="shared" si="2"/>
        <v>0</v>
      </c>
    </row>
    <row r="12" spans="1:12">
      <c r="A12" s="559">
        <v>7</v>
      </c>
      <c r="B12" s="564"/>
      <c r="C12" s="563"/>
      <c r="D12" s="563"/>
      <c r="E12" s="559"/>
      <c r="F12" s="559"/>
      <c r="G12" s="559"/>
      <c r="H12" s="559">
        <f t="shared" si="0"/>
        <v>0</v>
      </c>
      <c r="I12" s="559"/>
      <c r="J12" s="559"/>
      <c r="K12" s="559">
        <f t="shared" si="1"/>
        <v>0</v>
      </c>
      <c r="L12" s="559">
        <f t="shared" si="2"/>
        <v>0</v>
      </c>
    </row>
    <row r="13" spans="1:12">
      <c r="A13" s="559">
        <v>8</v>
      </c>
      <c r="B13" s="564"/>
      <c r="C13" s="563"/>
      <c r="D13" s="563"/>
      <c r="E13" s="559"/>
      <c r="F13" s="559"/>
      <c r="G13" s="559"/>
      <c r="H13" s="559">
        <f t="shared" si="0"/>
        <v>0</v>
      </c>
      <c r="I13" s="559"/>
      <c r="J13" s="559"/>
      <c r="K13" s="559">
        <f t="shared" si="1"/>
        <v>0</v>
      </c>
      <c r="L13" s="559">
        <f t="shared" si="2"/>
        <v>0</v>
      </c>
    </row>
    <row r="14" spans="1:12" ht="14.25">
      <c r="A14" s="559">
        <v>9</v>
      </c>
      <c r="B14" s="559" t="s">
        <v>3735</v>
      </c>
      <c r="C14" s="561"/>
      <c r="D14" s="559">
        <f>SUM(D15:D21)</f>
        <v>0</v>
      </c>
      <c r="E14" s="559"/>
      <c r="F14" s="559"/>
      <c r="G14" s="559"/>
      <c r="H14" s="559">
        <f>SUM(H15:H21)</f>
        <v>0</v>
      </c>
      <c r="I14" s="559">
        <f>SUM(I15:I21)</f>
        <v>0</v>
      </c>
      <c r="J14" s="559"/>
      <c r="K14" s="559">
        <f>SUM(K15:K21)</f>
        <v>0</v>
      </c>
      <c r="L14" s="559">
        <f>SUM(L15:L21)</f>
        <v>0</v>
      </c>
    </row>
    <row r="15" spans="1:12">
      <c r="A15" s="559">
        <v>10</v>
      </c>
      <c r="B15" s="559"/>
      <c r="C15" s="562"/>
      <c r="D15" s="559"/>
      <c r="E15" s="559"/>
      <c r="F15" s="559"/>
      <c r="G15" s="559"/>
      <c r="H15" s="559">
        <f t="shared" si="0"/>
        <v>0</v>
      </c>
      <c r="I15" s="559"/>
      <c r="J15" s="559"/>
      <c r="K15" s="559">
        <f t="shared" si="1"/>
        <v>0</v>
      </c>
      <c r="L15" s="559">
        <f t="shared" si="2"/>
        <v>0</v>
      </c>
    </row>
    <row r="16" spans="1:12">
      <c r="A16" s="559">
        <v>11</v>
      </c>
      <c r="B16" s="559"/>
      <c r="C16" s="563"/>
      <c r="D16" s="563"/>
      <c r="E16" s="559"/>
      <c r="F16" s="559"/>
      <c r="G16" s="559"/>
      <c r="H16" s="559">
        <f t="shared" si="0"/>
        <v>0</v>
      </c>
      <c r="I16" s="559"/>
      <c r="J16" s="559"/>
      <c r="K16" s="559">
        <f t="shared" si="1"/>
        <v>0</v>
      </c>
      <c r="L16" s="559">
        <f t="shared" si="2"/>
        <v>0</v>
      </c>
    </row>
    <row r="17" spans="1:12">
      <c r="A17" s="559">
        <v>12</v>
      </c>
      <c r="B17" s="564"/>
      <c r="C17" s="563"/>
      <c r="D17" s="563"/>
      <c r="E17" s="559"/>
      <c r="F17" s="559"/>
      <c r="G17" s="559"/>
      <c r="H17" s="559">
        <f t="shared" si="0"/>
        <v>0</v>
      </c>
      <c r="I17" s="559"/>
      <c r="J17" s="559"/>
      <c r="K17" s="559">
        <f t="shared" si="1"/>
        <v>0</v>
      </c>
      <c r="L17" s="559">
        <f t="shared" si="2"/>
        <v>0</v>
      </c>
    </row>
    <row r="18" spans="1:12">
      <c r="A18" s="559">
        <v>13</v>
      </c>
      <c r="B18" s="564"/>
      <c r="C18" s="562"/>
      <c r="D18" s="559"/>
      <c r="E18" s="559"/>
      <c r="F18" s="559"/>
      <c r="G18" s="559"/>
      <c r="H18" s="559">
        <f t="shared" si="0"/>
        <v>0</v>
      </c>
      <c r="I18" s="559"/>
      <c r="J18" s="559"/>
      <c r="K18" s="559">
        <f t="shared" si="1"/>
        <v>0</v>
      </c>
      <c r="L18" s="559">
        <f t="shared" si="2"/>
        <v>0</v>
      </c>
    </row>
    <row r="19" spans="1:12">
      <c r="A19" s="559">
        <v>14</v>
      </c>
      <c r="B19" s="564"/>
      <c r="C19" s="563"/>
      <c r="D19" s="563"/>
      <c r="E19" s="559"/>
      <c r="F19" s="559"/>
      <c r="G19" s="559"/>
      <c r="H19" s="559">
        <f t="shared" si="0"/>
        <v>0</v>
      </c>
      <c r="I19" s="559"/>
      <c r="J19" s="559"/>
      <c r="K19" s="559">
        <f t="shared" si="1"/>
        <v>0</v>
      </c>
      <c r="L19" s="559">
        <f t="shared" si="2"/>
        <v>0</v>
      </c>
    </row>
    <row r="20" spans="1:12">
      <c r="A20" s="559">
        <v>15</v>
      </c>
      <c r="B20" s="564"/>
      <c r="C20" s="563"/>
      <c r="D20" s="563"/>
      <c r="E20" s="559"/>
      <c r="F20" s="559"/>
      <c r="G20" s="559"/>
      <c r="H20" s="559">
        <f t="shared" si="0"/>
        <v>0</v>
      </c>
      <c r="I20" s="559"/>
      <c r="J20" s="559"/>
      <c r="K20" s="559">
        <f t="shared" si="1"/>
        <v>0</v>
      </c>
      <c r="L20" s="559">
        <f t="shared" si="2"/>
        <v>0</v>
      </c>
    </row>
    <row r="21" spans="1:12">
      <c r="A21" s="559">
        <v>19</v>
      </c>
      <c r="B21" s="564"/>
      <c r="C21" s="560"/>
      <c r="D21" s="560"/>
      <c r="E21" s="559"/>
      <c r="F21" s="559"/>
      <c r="G21" s="559"/>
      <c r="H21" s="559">
        <f t="shared" si="0"/>
        <v>0</v>
      </c>
      <c r="I21" s="559"/>
      <c r="J21" s="559"/>
      <c r="K21" s="559">
        <f t="shared" si="1"/>
        <v>0</v>
      </c>
      <c r="L21" s="559">
        <f t="shared" si="2"/>
        <v>0</v>
      </c>
    </row>
    <row r="22" spans="1:12" ht="14.25">
      <c r="A22" s="3396" t="s">
        <v>3736</v>
      </c>
      <c r="B22" s="3396"/>
      <c r="C22" s="3396"/>
      <c r="D22" s="559">
        <f>D6+D14</f>
        <v>0</v>
      </c>
      <c r="E22" s="559"/>
      <c r="F22" s="559"/>
      <c r="G22" s="559"/>
      <c r="H22" s="559">
        <f>H6+H14</f>
        <v>0</v>
      </c>
      <c r="I22" s="559"/>
      <c r="J22" s="559"/>
      <c r="K22" s="559">
        <f>K6+K14</f>
        <v>0</v>
      </c>
      <c r="L22" s="559">
        <f>L6+L14</f>
        <v>0</v>
      </c>
    </row>
    <row r="23" spans="1:12" ht="14.25">
      <c r="A23" s="3397" t="s">
        <v>3737</v>
      </c>
      <c r="B23" s="3397"/>
      <c r="C23" s="3397"/>
      <c r="D23" s="3397"/>
      <c r="E23" s="3397"/>
      <c r="F23" s="3397"/>
      <c r="G23" s="3397"/>
      <c r="H23" s="565"/>
      <c r="I23" s="565"/>
      <c r="J23" s="565"/>
      <c r="K23" s="566"/>
    </row>
    <row r="24" spans="1:12" ht="14.25">
      <c r="A24" s="29" t="s">
        <v>3738</v>
      </c>
      <c r="K24" s="566"/>
    </row>
    <row r="25" spans="1:12" ht="14.25">
      <c r="A25" s="29" t="s">
        <v>3739</v>
      </c>
    </row>
    <row r="26" spans="1:12" ht="14.25">
      <c r="A26" s="29" t="s">
        <v>3740</v>
      </c>
    </row>
    <row r="27" spans="1:12" ht="14.25">
      <c r="A27" s="29" t="s">
        <v>3741</v>
      </c>
    </row>
    <row r="28" spans="1:12" ht="14.25">
      <c r="A28" s="29" t="s">
        <v>3742</v>
      </c>
    </row>
    <row r="31" spans="1:12" ht="14.25">
      <c r="B31" s="3393" t="s">
        <v>3743</v>
      </c>
      <c r="C31" s="3395"/>
    </row>
    <row r="32" spans="1:12" ht="14.25">
      <c r="B32" s="553" t="s">
        <v>3744</v>
      </c>
      <c r="C32" s="553" t="s">
        <v>3745</v>
      </c>
    </row>
    <row r="33" spans="2:3" ht="14.25">
      <c r="B33" s="559" t="s">
        <v>3746</v>
      </c>
      <c r="C33" s="559" t="s">
        <v>556</v>
      </c>
    </row>
    <row r="34" spans="2:3" ht="14.25">
      <c r="B34" s="559" t="s">
        <v>3747</v>
      </c>
      <c r="C34" s="559" t="s">
        <v>1140</v>
      </c>
    </row>
    <row r="35" spans="2:3" ht="14.25">
      <c r="B35" s="559" t="s">
        <v>3748</v>
      </c>
      <c r="C35" s="559" t="s">
        <v>1141</v>
      </c>
    </row>
    <row r="36" spans="2:3" ht="14.25">
      <c r="B36" s="559" t="s">
        <v>3749</v>
      </c>
      <c r="C36" s="559" t="s">
        <v>1142</v>
      </c>
    </row>
    <row r="37" spans="2:3" ht="14.25">
      <c r="B37" s="559" t="s">
        <v>3750</v>
      </c>
      <c r="C37" s="559" t="s">
        <v>1143</v>
      </c>
    </row>
    <row r="38" spans="2:3" ht="14.25">
      <c r="B38" s="559" t="s">
        <v>3751</v>
      </c>
      <c r="C38" s="559" t="s">
        <v>1144</v>
      </c>
    </row>
    <row r="39" spans="2:3" ht="14.25">
      <c r="B39" s="559" t="s">
        <v>3752</v>
      </c>
      <c r="C39" s="559" t="s">
        <v>1145</v>
      </c>
    </row>
  </sheetData>
  <mergeCells count="8">
    <mergeCell ref="I3:K3"/>
    <mergeCell ref="A22:C22"/>
    <mergeCell ref="B31:C31"/>
    <mergeCell ref="A23:G23"/>
    <mergeCell ref="A3:A5"/>
    <mergeCell ref="B3:B4"/>
    <mergeCell ref="C3:C4"/>
    <mergeCell ref="D3:H3"/>
  </mergeCells>
  <phoneticPr fontId="30" type="noConversion"/>
  <pageMargins left="0.7" right="0.7" top="0.75" bottom="0.75" header="0.3" footer="0.3"/>
  <pageSetup paperSize="9" scale="61"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tabColor rgb="FFFFFF00"/>
    <pageSetUpPr fitToPage="1"/>
  </sheetPr>
  <dimension ref="A1:F12"/>
  <sheetViews>
    <sheetView workbookViewId="0">
      <selection activeCell="B25" sqref="B25"/>
    </sheetView>
  </sheetViews>
  <sheetFormatPr defaultColWidth="9" defaultRowHeight="15.75"/>
  <cols>
    <col min="1" max="1" width="44.25" style="28" customWidth="1"/>
    <col min="2" max="2" width="60.5" style="28" customWidth="1"/>
    <col min="3" max="3" width="19" style="28" customWidth="1"/>
    <col min="4" max="5" width="13.625" style="28" customWidth="1"/>
    <col min="6" max="6" width="15.625" style="28" customWidth="1"/>
    <col min="7" max="16384" width="9" style="28"/>
  </cols>
  <sheetData>
    <row r="1" spans="1:6" ht="16.5">
      <c r="A1" s="2186" t="str">
        <f>+封面!A3&amp;" "&amp;封面!A2</f>
        <v xml:space="preserve"> 中央再保險股份有限公司 年度檢查報表</v>
      </c>
      <c r="B1" s="30"/>
      <c r="C1" s="520"/>
      <c r="D1" s="520"/>
      <c r="E1" s="521"/>
      <c r="F1" s="520"/>
    </row>
    <row r="2" spans="1:6" ht="16.5" thickBot="1">
      <c r="A2" s="522" t="s">
        <v>3706</v>
      </c>
      <c r="B2" s="523"/>
      <c r="C2" s="524"/>
      <c r="D2" s="524"/>
      <c r="E2" s="30"/>
      <c r="F2" s="525" t="s">
        <v>3707</v>
      </c>
    </row>
    <row r="3" spans="1:6" ht="30">
      <c r="A3" s="526" t="s">
        <v>3708</v>
      </c>
      <c r="B3" s="527" t="s">
        <v>3709</v>
      </c>
      <c r="C3" s="528" t="s">
        <v>3710</v>
      </c>
      <c r="D3" s="529" t="s">
        <v>3711</v>
      </c>
      <c r="E3" s="530" t="s">
        <v>3712</v>
      </c>
      <c r="F3" s="531" t="s">
        <v>3713</v>
      </c>
    </row>
    <row r="4" spans="1:6" ht="24" customHeight="1">
      <c r="A4" s="532" t="s">
        <v>3714</v>
      </c>
      <c r="B4" s="533"/>
      <c r="C4" s="534">
        <f>SUM(C5:C6)</f>
        <v>0</v>
      </c>
      <c r="D4" s="535">
        <f>SUM(D5:D6)</f>
        <v>0</v>
      </c>
      <c r="E4" s="536"/>
      <c r="F4" s="537">
        <f>SUM(F5:F6)</f>
        <v>0</v>
      </c>
    </row>
    <row r="5" spans="1:6" ht="33" customHeight="1">
      <c r="A5" s="538" t="s">
        <v>3715</v>
      </c>
      <c r="B5" s="1975" t="s">
        <v>5105</v>
      </c>
      <c r="C5" s="540">
        <f>'表20-1'!C47-'表20-1'!C20-'表20-1'!C21-'表20-1'!C22-'表20-1'!C37</f>
        <v>0</v>
      </c>
      <c r="D5" s="541"/>
      <c r="E5" s="542">
        <v>5.0000000000000001E-3</v>
      </c>
      <c r="F5" s="543">
        <f>ROUND((C5+D5)*E5,0)</f>
        <v>0</v>
      </c>
    </row>
    <row r="6" spans="1:6" ht="33" customHeight="1">
      <c r="A6" s="538" t="s">
        <v>3716</v>
      </c>
      <c r="B6" s="539" t="s">
        <v>3717</v>
      </c>
      <c r="C6" s="540">
        <f>'表20-2'!C20</f>
        <v>0</v>
      </c>
      <c r="D6" s="541"/>
      <c r="E6" s="542">
        <v>5.0000000000000001E-3</v>
      </c>
      <c r="F6" s="543">
        <f>ROUND((C6+D6)*E6,0)</f>
        <v>0</v>
      </c>
    </row>
    <row r="7" spans="1:6" ht="55.5" customHeight="1">
      <c r="A7" s="2706" t="s">
        <v>3718</v>
      </c>
      <c r="B7" s="2722" t="s">
        <v>8485</v>
      </c>
      <c r="C7" s="2723">
        <f>表03!H104-表03!H98-表03!H68-表03!H69-表03!H70-表03!H71-表03!H72-'表30-8-3'!D26-C8+C9</f>
        <v>0</v>
      </c>
      <c r="D7" s="2707"/>
      <c r="E7" s="2708">
        <v>2.5000000000000001E-3</v>
      </c>
      <c r="F7" s="2709">
        <f>ROUND(C7*E7,0)</f>
        <v>0</v>
      </c>
    </row>
    <row r="8" spans="1:6" ht="36" customHeight="1">
      <c r="A8" s="2710" t="s">
        <v>8483</v>
      </c>
      <c r="B8" s="2711"/>
      <c r="C8" s="2712"/>
      <c r="D8" s="2713"/>
      <c r="E8" s="2714"/>
      <c r="F8" s="2715"/>
    </row>
    <row r="9" spans="1:6" ht="19.5" customHeight="1" thickBot="1">
      <c r="A9" s="2716" t="s">
        <v>8484</v>
      </c>
      <c r="B9" s="2717"/>
      <c r="C9" s="2718"/>
      <c r="D9" s="2719"/>
      <c r="E9" s="2720"/>
      <c r="F9" s="2721"/>
    </row>
    <row r="10" spans="1:6" ht="17.25" thickTop="1" thickBot="1">
      <c r="A10" s="544" t="s">
        <v>3719</v>
      </c>
      <c r="B10" s="545"/>
      <c r="C10" s="546">
        <f>SUM(C5:C7)</f>
        <v>0</v>
      </c>
      <c r="D10" s="547">
        <f>SUM(D5:D7)</f>
        <v>0</v>
      </c>
      <c r="E10" s="548"/>
      <c r="F10" s="549">
        <f>SUM(F5:F7)</f>
        <v>0</v>
      </c>
    </row>
    <row r="11" spans="1:6">
      <c r="A11" s="424" t="s">
        <v>5801</v>
      </c>
      <c r="B11" s="550"/>
      <c r="C11" s="551"/>
      <c r="D11" s="551"/>
      <c r="E11" s="552"/>
      <c r="F11" s="551"/>
    </row>
    <row r="12" spans="1:6">
      <c r="A12" s="2724" t="s">
        <v>8486</v>
      </c>
    </row>
  </sheetData>
  <phoneticPr fontId="30" type="noConversion"/>
  <printOptions horizontalCentered="1"/>
  <pageMargins left="0.23622047244094491" right="0.23622047244094491" top="0.35433070866141736" bottom="0.35433070866141736" header="0.31496062992125984" footer="0.31496062992125984"/>
  <pageSetup paperSize="9" scale="7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tabColor rgb="FFFFFF00"/>
    <pageSetUpPr fitToPage="1"/>
  </sheetPr>
  <dimension ref="A1:L75"/>
  <sheetViews>
    <sheetView showGridLines="0" workbookViewId="0">
      <selection activeCell="H62" sqref="H62"/>
    </sheetView>
  </sheetViews>
  <sheetFormatPr defaultColWidth="15.625" defaultRowHeight="15.75"/>
  <cols>
    <col min="1" max="1" width="6" style="517" customWidth="1"/>
    <col min="2" max="2" width="7.5" style="517" customWidth="1"/>
    <col min="3" max="3" width="43.75" style="517" customWidth="1"/>
    <col min="4" max="4" width="77.75" style="517" customWidth="1"/>
    <col min="5" max="5" width="15.875" style="771" customWidth="1"/>
    <col min="6" max="6" width="15.625" style="2188"/>
    <col min="7" max="7" width="17.875" style="771" customWidth="1"/>
    <col min="8" max="8" width="19.375" style="517" customWidth="1"/>
    <col min="9" max="9" width="8.5" style="420" customWidth="1"/>
    <col min="10" max="10" width="8.5" style="517" customWidth="1"/>
    <col min="11" max="11" width="10.75" style="517" customWidth="1"/>
    <col min="12" max="12" width="19.5" style="517" customWidth="1"/>
    <col min="13" max="256" width="15.625" style="517"/>
    <col min="257" max="257" width="6" style="517" customWidth="1"/>
    <col min="258" max="258" width="7.5" style="517" customWidth="1"/>
    <col min="259" max="259" width="43.75" style="517" customWidth="1"/>
    <col min="260" max="260" width="74.625" style="517" customWidth="1"/>
    <col min="261" max="261" width="15.875" style="517" customWidth="1"/>
    <col min="262" max="262" width="15.625" style="517"/>
    <col min="263" max="263" width="17.875" style="517" customWidth="1"/>
    <col min="264" max="264" width="19.375" style="517" customWidth="1"/>
    <col min="265" max="266" width="8.5" style="517" customWidth="1"/>
    <col min="267" max="267" width="10.75" style="517" customWidth="1"/>
    <col min="268" max="268" width="19.5" style="517" customWidth="1"/>
    <col min="269" max="512" width="15.625" style="517"/>
    <col min="513" max="513" width="6" style="517" customWidth="1"/>
    <col min="514" max="514" width="7.5" style="517" customWidth="1"/>
    <col min="515" max="515" width="43.75" style="517" customWidth="1"/>
    <col min="516" max="516" width="74.625" style="517" customWidth="1"/>
    <col min="517" max="517" width="15.875" style="517" customWidth="1"/>
    <col min="518" max="518" width="15.625" style="517"/>
    <col min="519" max="519" width="17.875" style="517" customWidth="1"/>
    <col min="520" max="520" width="19.375" style="517" customWidth="1"/>
    <col min="521" max="522" width="8.5" style="517" customWidth="1"/>
    <col min="523" max="523" width="10.75" style="517" customWidth="1"/>
    <col min="524" max="524" width="19.5" style="517" customWidth="1"/>
    <col min="525" max="768" width="15.625" style="517"/>
    <col min="769" max="769" width="6" style="517" customWidth="1"/>
    <col min="770" max="770" width="7.5" style="517" customWidth="1"/>
    <col min="771" max="771" width="43.75" style="517" customWidth="1"/>
    <col min="772" max="772" width="74.625" style="517" customWidth="1"/>
    <col min="773" max="773" width="15.875" style="517" customWidth="1"/>
    <col min="774" max="774" width="15.625" style="517"/>
    <col min="775" max="775" width="17.875" style="517" customWidth="1"/>
    <col min="776" max="776" width="19.375" style="517" customWidth="1"/>
    <col min="777" max="778" width="8.5" style="517" customWidth="1"/>
    <col min="779" max="779" width="10.75" style="517" customWidth="1"/>
    <col min="780" max="780" width="19.5" style="517" customWidth="1"/>
    <col min="781" max="1024" width="15.625" style="517"/>
    <col min="1025" max="1025" width="6" style="517" customWidth="1"/>
    <col min="1026" max="1026" width="7.5" style="517" customWidth="1"/>
    <col min="1027" max="1027" width="43.75" style="517" customWidth="1"/>
    <col min="1028" max="1028" width="74.625" style="517" customWidth="1"/>
    <col min="1029" max="1029" width="15.875" style="517" customWidth="1"/>
    <col min="1030" max="1030" width="15.625" style="517"/>
    <col min="1031" max="1031" width="17.875" style="517" customWidth="1"/>
    <col min="1032" max="1032" width="19.375" style="517" customWidth="1"/>
    <col min="1033" max="1034" width="8.5" style="517" customWidth="1"/>
    <col min="1035" max="1035" width="10.75" style="517" customWidth="1"/>
    <col min="1036" max="1036" width="19.5" style="517" customWidth="1"/>
    <col min="1037" max="1280" width="15.625" style="517"/>
    <col min="1281" max="1281" width="6" style="517" customWidth="1"/>
    <col min="1282" max="1282" width="7.5" style="517" customWidth="1"/>
    <col min="1283" max="1283" width="43.75" style="517" customWidth="1"/>
    <col min="1284" max="1284" width="74.625" style="517" customWidth="1"/>
    <col min="1285" max="1285" width="15.875" style="517" customWidth="1"/>
    <col min="1286" max="1286" width="15.625" style="517"/>
    <col min="1287" max="1287" width="17.875" style="517" customWidth="1"/>
    <col min="1288" max="1288" width="19.375" style="517" customWidth="1"/>
    <col min="1289" max="1290" width="8.5" style="517" customWidth="1"/>
    <col min="1291" max="1291" width="10.75" style="517" customWidth="1"/>
    <col min="1292" max="1292" width="19.5" style="517" customWidth="1"/>
    <col min="1293" max="1536" width="15.625" style="517"/>
    <col min="1537" max="1537" width="6" style="517" customWidth="1"/>
    <col min="1538" max="1538" width="7.5" style="517" customWidth="1"/>
    <col min="1539" max="1539" width="43.75" style="517" customWidth="1"/>
    <col min="1540" max="1540" width="74.625" style="517" customWidth="1"/>
    <col min="1541" max="1541" width="15.875" style="517" customWidth="1"/>
    <col min="1542" max="1542" width="15.625" style="517"/>
    <col min="1543" max="1543" width="17.875" style="517" customWidth="1"/>
    <col min="1544" max="1544" width="19.375" style="517" customWidth="1"/>
    <col min="1545" max="1546" width="8.5" style="517" customWidth="1"/>
    <col min="1547" max="1547" width="10.75" style="517" customWidth="1"/>
    <col min="1548" max="1548" width="19.5" style="517" customWidth="1"/>
    <col min="1549" max="1792" width="15.625" style="517"/>
    <col min="1793" max="1793" width="6" style="517" customWidth="1"/>
    <col min="1794" max="1794" width="7.5" style="517" customWidth="1"/>
    <col min="1795" max="1795" width="43.75" style="517" customWidth="1"/>
    <col min="1796" max="1796" width="74.625" style="517" customWidth="1"/>
    <col min="1797" max="1797" width="15.875" style="517" customWidth="1"/>
    <col min="1798" max="1798" width="15.625" style="517"/>
    <col min="1799" max="1799" width="17.875" style="517" customWidth="1"/>
    <col min="1800" max="1800" width="19.375" style="517" customWidth="1"/>
    <col min="1801" max="1802" width="8.5" style="517" customWidth="1"/>
    <col min="1803" max="1803" width="10.75" style="517" customWidth="1"/>
    <col min="1804" max="1804" width="19.5" style="517" customWidth="1"/>
    <col min="1805" max="2048" width="15.625" style="517"/>
    <col min="2049" max="2049" width="6" style="517" customWidth="1"/>
    <col min="2050" max="2050" width="7.5" style="517" customWidth="1"/>
    <col min="2051" max="2051" width="43.75" style="517" customWidth="1"/>
    <col min="2052" max="2052" width="74.625" style="517" customWidth="1"/>
    <col min="2053" max="2053" width="15.875" style="517" customWidth="1"/>
    <col min="2054" max="2054" width="15.625" style="517"/>
    <col min="2055" max="2055" width="17.875" style="517" customWidth="1"/>
    <col min="2056" max="2056" width="19.375" style="517" customWidth="1"/>
    <col min="2057" max="2058" width="8.5" style="517" customWidth="1"/>
    <col min="2059" max="2059" width="10.75" style="517" customWidth="1"/>
    <col min="2060" max="2060" width="19.5" style="517" customWidth="1"/>
    <col min="2061" max="2304" width="15.625" style="517"/>
    <col min="2305" max="2305" width="6" style="517" customWidth="1"/>
    <col min="2306" max="2306" width="7.5" style="517" customWidth="1"/>
    <col min="2307" max="2307" width="43.75" style="517" customWidth="1"/>
    <col min="2308" max="2308" width="74.625" style="517" customWidth="1"/>
    <col min="2309" max="2309" width="15.875" style="517" customWidth="1"/>
    <col min="2310" max="2310" width="15.625" style="517"/>
    <col min="2311" max="2311" width="17.875" style="517" customWidth="1"/>
    <col min="2312" max="2312" width="19.375" style="517" customWidth="1"/>
    <col min="2313" max="2314" width="8.5" style="517" customWidth="1"/>
    <col min="2315" max="2315" width="10.75" style="517" customWidth="1"/>
    <col min="2316" max="2316" width="19.5" style="517" customWidth="1"/>
    <col min="2317" max="2560" width="15.625" style="517"/>
    <col min="2561" max="2561" width="6" style="517" customWidth="1"/>
    <col min="2562" max="2562" width="7.5" style="517" customWidth="1"/>
    <col min="2563" max="2563" width="43.75" style="517" customWidth="1"/>
    <col min="2564" max="2564" width="74.625" style="517" customWidth="1"/>
    <col min="2565" max="2565" width="15.875" style="517" customWidth="1"/>
    <col min="2566" max="2566" width="15.625" style="517"/>
    <col min="2567" max="2567" width="17.875" style="517" customWidth="1"/>
    <col min="2568" max="2568" width="19.375" style="517" customWidth="1"/>
    <col min="2569" max="2570" width="8.5" style="517" customWidth="1"/>
    <col min="2571" max="2571" width="10.75" style="517" customWidth="1"/>
    <col min="2572" max="2572" width="19.5" style="517" customWidth="1"/>
    <col min="2573" max="2816" width="15.625" style="517"/>
    <col min="2817" max="2817" width="6" style="517" customWidth="1"/>
    <col min="2818" max="2818" width="7.5" style="517" customWidth="1"/>
    <col min="2819" max="2819" width="43.75" style="517" customWidth="1"/>
    <col min="2820" max="2820" width="74.625" style="517" customWidth="1"/>
    <col min="2821" max="2821" width="15.875" style="517" customWidth="1"/>
    <col min="2822" max="2822" width="15.625" style="517"/>
    <col min="2823" max="2823" width="17.875" style="517" customWidth="1"/>
    <col min="2824" max="2824" width="19.375" style="517" customWidth="1"/>
    <col min="2825" max="2826" width="8.5" style="517" customWidth="1"/>
    <col min="2827" max="2827" width="10.75" style="517" customWidth="1"/>
    <col min="2828" max="2828" width="19.5" style="517" customWidth="1"/>
    <col min="2829" max="3072" width="15.625" style="517"/>
    <col min="3073" max="3073" width="6" style="517" customWidth="1"/>
    <col min="3074" max="3074" width="7.5" style="517" customWidth="1"/>
    <col min="3075" max="3075" width="43.75" style="517" customWidth="1"/>
    <col min="3076" max="3076" width="74.625" style="517" customWidth="1"/>
    <col min="3077" max="3077" width="15.875" style="517" customWidth="1"/>
    <col min="3078" max="3078" width="15.625" style="517"/>
    <col min="3079" max="3079" width="17.875" style="517" customWidth="1"/>
    <col min="3080" max="3080" width="19.375" style="517" customWidth="1"/>
    <col min="3081" max="3082" width="8.5" style="517" customWidth="1"/>
    <col min="3083" max="3083" width="10.75" style="517" customWidth="1"/>
    <col min="3084" max="3084" width="19.5" style="517" customWidth="1"/>
    <col min="3085" max="3328" width="15.625" style="517"/>
    <col min="3329" max="3329" width="6" style="517" customWidth="1"/>
    <col min="3330" max="3330" width="7.5" style="517" customWidth="1"/>
    <col min="3331" max="3331" width="43.75" style="517" customWidth="1"/>
    <col min="3332" max="3332" width="74.625" style="517" customWidth="1"/>
    <col min="3333" max="3333" width="15.875" style="517" customWidth="1"/>
    <col min="3334" max="3334" width="15.625" style="517"/>
    <col min="3335" max="3335" width="17.875" style="517" customWidth="1"/>
    <col min="3336" max="3336" width="19.375" style="517" customWidth="1"/>
    <col min="3337" max="3338" width="8.5" style="517" customWidth="1"/>
    <col min="3339" max="3339" width="10.75" style="517" customWidth="1"/>
    <col min="3340" max="3340" width="19.5" style="517" customWidth="1"/>
    <col min="3341" max="3584" width="15.625" style="517"/>
    <col min="3585" max="3585" width="6" style="517" customWidth="1"/>
    <col min="3586" max="3586" width="7.5" style="517" customWidth="1"/>
    <col min="3587" max="3587" width="43.75" style="517" customWidth="1"/>
    <col min="3588" max="3588" width="74.625" style="517" customWidth="1"/>
    <col min="3589" max="3589" width="15.875" style="517" customWidth="1"/>
    <col min="3590" max="3590" width="15.625" style="517"/>
    <col min="3591" max="3591" width="17.875" style="517" customWidth="1"/>
    <col min="3592" max="3592" width="19.375" style="517" customWidth="1"/>
    <col min="3593" max="3594" width="8.5" style="517" customWidth="1"/>
    <col min="3595" max="3595" width="10.75" style="517" customWidth="1"/>
    <col min="3596" max="3596" width="19.5" style="517" customWidth="1"/>
    <col min="3597" max="3840" width="15.625" style="517"/>
    <col min="3841" max="3841" width="6" style="517" customWidth="1"/>
    <col min="3842" max="3842" width="7.5" style="517" customWidth="1"/>
    <col min="3843" max="3843" width="43.75" style="517" customWidth="1"/>
    <col min="3844" max="3844" width="74.625" style="517" customWidth="1"/>
    <col min="3845" max="3845" width="15.875" style="517" customWidth="1"/>
    <col min="3846" max="3846" width="15.625" style="517"/>
    <col min="3847" max="3847" width="17.875" style="517" customWidth="1"/>
    <col min="3848" max="3848" width="19.375" style="517" customWidth="1"/>
    <col min="3849" max="3850" width="8.5" style="517" customWidth="1"/>
    <col min="3851" max="3851" width="10.75" style="517" customWidth="1"/>
    <col min="3852" max="3852" width="19.5" style="517" customWidth="1"/>
    <col min="3853" max="4096" width="15.625" style="517"/>
    <col min="4097" max="4097" width="6" style="517" customWidth="1"/>
    <col min="4098" max="4098" width="7.5" style="517" customWidth="1"/>
    <col min="4099" max="4099" width="43.75" style="517" customWidth="1"/>
    <col min="4100" max="4100" width="74.625" style="517" customWidth="1"/>
    <col min="4101" max="4101" width="15.875" style="517" customWidth="1"/>
    <col min="4102" max="4102" width="15.625" style="517"/>
    <col min="4103" max="4103" width="17.875" style="517" customWidth="1"/>
    <col min="4104" max="4104" width="19.375" style="517" customWidth="1"/>
    <col min="4105" max="4106" width="8.5" style="517" customWidth="1"/>
    <col min="4107" max="4107" width="10.75" style="517" customWidth="1"/>
    <col min="4108" max="4108" width="19.5" style="517" customWidth="1"/>
    <col min="4109" max="4352" width="15.625" style="517"/>
    <col min="4353" max="4353" width="6" style="517" customWidth="1"/>
    <col min="4354" max="4354" width="7.5" style="517" customWidth="1"/>
    <col min="4355" max="4355" width="43.75" style="517" customWidth="1"/>
    <col min="4356" max="4356" width="74.625" style="517" customWidth="1"/>
    <col min="4357" max="4357" width="15.875" style="517" customWidth="1"/>
    <col min="4358" max="4358" width="15.625" style="517"/>
    <col min="4359" max="4359" width="17.875" style="517" customWidth="1"/>
    <col min="4360" max="4360" width="19.375" style="517" customWidth="1"/>
    <col min="4361" max="4362" width="8.5" style="517" customWidth="1"/>
    <col min="4363" max="4363" width="10.75" style="517" customWidth="1"/>
    <col min="4364" max="4364" width="19.5" style="517" customWidth="1"/>
    <col min="4365" max="4608" width="15.625" style="517"/>
    <col min="4609" max="4609" width="6" style="517" customWidth="1"/>
    <col min="4610" max="4610" width="7.5" style="517" customWidth="1"/>
    <col min="4611" max="4611" width="43.75" style="517" customWidth="1"/>
    <col min="4612" max="4612" width="74.625" style="517" customWidth="1"/>
    <col min="4613" max="4613" width="15.875" style="517" customWidth="1"/>
    <col min="4614" max="4614" width="15.625" style="517"/>
    <col min="4615" max="4615" width="17.875" style="517" customWidth="1"/>
    <col min="4616" max="4616" width="19.375" style="517" customWidth="1"/>
    <col min="4617" max="4618" width="8.5" style="517" customWidth="1"/>
    <col min="4619" max="4619" width="10.75" style="517" customWidth="1"/>
    <col min="4620" max="4620" width="19.5" style="517" customWidth="1"/>
    <col min="4621" max="4864" width="15.625" style="517"/>
    <col min="4865" max="4865" width="6" style="517" customWidth="1"/>
    <col min="4866" max="4866" width="7.5" style="517" customWidth="1"/>
    <col min="4867" max="4867" width="43.75" style="517" customWidth="1"/>
    <col min="4868" max="4868" width="74.625" style="517" customWidth="1"/>
    <col min="4869" max="4869" width="15.875" style="517" customWidth="1"/>
    <col min="4870" max="4870" width="15.625" style="517"/>
    <col min="4871" max="4871" width="17.875" style="517" customWidth="1"/>
    <col min="4872" max="4872" width="19.375" style="517" customWidth="1"/>
    <col min="4873" max="4874" width="8.5" style="517" customWidth="1"/>
    <col min="4875" max="4875" width="10.75" style="517" customWidth="1"/>
    <col min="4876" max="4876" width="19.5" style="517" customWidth="1"/>
    <col min="4877" max="5120" width="15.625" style="517"/>
    <col min="5121" max="5121" width="6" style="517" customWidth="1"/>
    <col min="5122" max="5122" width="7.5" style="517" customWidth="1"/>
    <col min="5123" max="5123" width="43.75" style="517" customWidth="1"/>
    <col min="5124" max="5124" width="74.625" style="517" customWidth="1"/>
    <col min="5125" max="5125" width="15.875" style="517" customWidth="1"/>
    <col min="5126" max="5126" width="15.625" style="517"/>
    <col min="5127" max="5127" width="17.875" style="517" customWidth="1"/>
    <col min="5128" max="5128" width="19.375" style="517" customWidth="1"/>
    <col min="5129" max="5130" width="8.5" style="517" customWidth="1"/>
    <col min="5131" max="5131" width="10.75" style="517" customWidth="1"/>
    <col min="5132" max="5132" width="19.5" style="517" customWidth="1"/>
    <col min="5133" max="5376" width="15.625" style="517"/>
    <col min="5377" max="5377" width="6" style="517" customWidth="1"/>
    <col min="5378" max="5378" width="7.5" style="517" customWidth="1"/>
    <col min="5379" max="5379" width="43.75" style="517" customWidth="1"/>
    <col min="5380" max="5380" width="74.625" style="517" customWidth="1"/>
    <col min="5381" max="5381" width="15.875" style="517" customWidth="1"/>
    <col min="5382" max="5382" width="15.625" style="517"/>
    <col min="5383" max="5383" width="17.875" style="517" customWidth="1"/>
    <col min="5384" max="5384" width="19.375" style="517" customWidth="1"/>
    <col min="5385" max="5386" width="8.5" style="517" customWidth="1"/>
    <col min="5387" max="5387" width="10.75" style="517" customWidth="1"/>
    <col min="5388" max="5388" width="19.5" style="517" customWidth="1"/>
    <col min="5389" max="5632" width="15.625" style="517"/>
    <col min="5633" max="5633" width="6" style="517" customWidth="1"/>
    <col min="5634" max="5634" width="7.5" style="517" customWidth="1"/>
    <col min="5635" max="5635" width="43.75" style="517" customWidth="1"/>
    <col min="5636" max="5636" width="74.625" style="517" customWidth="1"/>
    <col min="5637" max="5637" width="15.875" style="517" customWidth="1"/>
    <col min="5638" max="5638" width="15.625" style="517"/>
    <col min="5639" max="5639" width="17.875" style="517" customWidth="1"/>
    <col min="5640" max="5640" width="19.375" style="517" customWidth="1"/>
    <col min="5641" max="5642" width="8.5" style="517" customWidth="1"/>
    <col min="5643" max="5643" width="10.75" style="517" customWidth="1"/>
    <col min="5644" max="5644" width="19.5" style="517" customWidth="1"/>
    <col min="5645" max="5888" width="15.625" style="517"/>
    <col min="5889" max="5889" width="6" style="517" customWidth="1"/>
    <col min="5890" max="5890" width="7.5" style="517" customWidth="1"/>
    <col min="5891" max="5891" width="43.75" style="517" customWidth="1"/>
    <col min="5892" max="5892" width="74.625" style="517" customWidth="1"/>
    <col min="5893" max="5893" width="15.875" style="517" customWidth="1"/>
    <col min="5894" max="5894" width="15.625" style="517"/>
    <col min="5895" max="5895" width="17.875" style="517" customWidth="1"/>
    <col min="5896" max="5896" width="19.375" style="517" customWidth="1"/>
    <col min="5897" max="5898" width="8.5" style="517" customWidth="1"/>
    <col min="5899" max="5899" width="10.75" style="517" customWidth="1"/>
    <col min="5900" max="5900" width="19.5" style="517" customWidth="1"/>
    <col min="5901" max="6144" width="15.625" style="517"/>
    <col min="6145" max="6145" width="6" style="517" customWidth="1"/>
    <col min="6146" max="6146" width="7.5" style="517" customWidth="1"/>
    <col min="6147" max="6147" width="43.75" style="517" customWidth="1"/>
    <col min="6148" max="6148" width="74.625" style="517" customWidth="1"/>
    <col min="6149" max="6149" width="15.875" style="517" customWidth="1"/>
    <col min="6150" max="6150" width="15.625" style="517"/>
    <col min="6151" max="6151" width="17.875" style="517" customWidth="1"/>
    <col min="6152" max="6152" width="19.375" style="517" customWidth="1"/>
    <col min="6153" max="6154" width="8.5" style="517" customWidth="1"/>
    <col min="6155" max="6155" width="10.75" style="517" customWidth="1"/>
    <col min="6156" max="6156" width="19.5" style="517" customWidth="1"/>
    <col min="6157" max="6400" width="15.625" style="517"/>
    <col min="6401" max="6401" width="6" style="517" customWidth="1"/>
    <col min="6402" max="6402" width="7.5" style="517" customWidth="1"/>
    <col min="6403" max="6403" width="43.75" style="517" customWidth="1"/>
    <col min="6404" max="6404" width="74.625" style="517" customWidth="1"/>
    <col min="6405" max="6405" width="15.875" style="517" customWidth="1"/>
    <col min="6406" max="6406" width="15.625" style="517"/>
    <col min="6407" max="6407" width="17.875" style="517" customWidth="1"/>
    <col min="6408" max="6408" width="19.375" style="517" customWidth="1"/>
    <col min="6409" max="6410" width="8.5" style="517" customWidth="1"/>
    <col min="6411" max="6411" width="10.75" style="517" customWidth="1"/>
    <col min="6412" max="6412" width="19.5" style="517" customWidth="1"/>
    <col min="6413" max="6656" width="15.625" style="517"/>
    <col min="6657" max="6657" width="6" style="517" customWidth="1"/>
    <col min="6658" max="6658" width="7.5" style="517" customWidth="1"/>
    <col min="6659" max="6659" width="43.75" style="517" customWidth="1"/>
    <col min="6660" max="6660" width="74.625" style="517" customWidth="1"/>
    <col min="6661" max="6661" width="15.875" style="517" customWidth="1"/>
    <col min="6662" max="6662" width="15.625" style="517"/>
    <col min="6663" max="6663" width="17.875" style="517" customWidth="1"/>
    <col min="6664" max="6664" width="19.375" style="517" customWidth="1"/>
    <col min="6665" max="6666" width="8.5" style="517" customWidth="1"/>
    <col min="6667" max="6667" width="10.75" style="517" customWidth="1"/>
    <col min="6668" max="6668" width="19.5" style="517" customWidth="1"/>
    <col min="6669" max="6912" width="15.625" style="517"/>
    <col min="6913" max="6913" width="6" style="517" customWidth="1"/>
    <col min="6914" max="6914" width="7.5" style="517" customWidth="1"/>
    <col min="6915" max="6915" width="43.75" style="517" customWidth="1"/>
    <col min="6916" max="6916" width="74.625" style="517" customWidth="1"/>
    <col min="6917" max="6917" width="15.875" style="517" customWidth="1"/>
    <col min="6918" max="6918" width="15.625" style="517"/>
    <col min="6919" max="6919" width="17.875" style="517" customWidth="1"/>
    <col min="6920" max="6920" width="19.375" style="517" customWidth="1"/>
    <col min="6921" max="6922" width="8.5" style="517" customWidth="1"/>
    <col min="6923" max="6923" width="10.75" style="517" customWidth="1"/>
    <col min="6924" max="6924" width="19.5" style="517" customWidth="1"/>
    <col min="6925" max="7168" width="15.625" style="517"/>
    <col min="7169" max="7169" width="6" style="517" customWidth="1"/>
    <col min="7170" max="7170" width="7.5" style="517" customWidth="1"/>
    <col min="7171" max="7171" width="43.75" style="517" customWidth="1"/>
    <col min="7172" max="7172" width="74.625" style="517" customWidth="1"/>
    <col min="7173" max="7173" width="15.875" style="517" customWidth="1"/>
    <col min="7174" max="7174" width="15.625" style="517"/>
    <col min="7175" max="7175" width="17.875" style="517" customWidth="1"/>
    <col min="7176" max="7176" width="19.375" style="517" customWidth="1"/>
    <col min="7177" max="7178" width="8.5" style="517" customWidth="1"/>
    <col min="7179" max="7179" width="10.75" style="517" customWidth="1"/>
    <col min="7180" max="7180" width="19.5" style="517" customWidth="1"/>
    <col min="7181" max="7424" width="15.625" style="517"/>
    <col min="7425" max="7425" width="6" style="517" customWidth="1"/>
    <col min="7426" max="7426" width="7.5" style="517" customWidth="1"/>
    <col min="7427" max="7427" width="43.75" style="517" customWidth="1"/>
    <col min="7428" max="7428" width="74.625" style="517" customWidth="1"/>
    <col min="7429" max="7429" width="15.875" style="517" customWidth="1"/>
    <col min="7430" max="7430" width="15.625" style="517"/>
    <col min="7431" max="7431" width="17.875" style="517" customWidth="1"/>
    <col min="7432" max="7432" width="19.375" style="517" customWidth="1"/>
    <col min="7433" max="7434" width="8.5" style="517" customWidth="1"/>
    <col min="7435" max="7435" width="10.75" style="517" customWidth="1"/>
    <col min="7436" max="7436" width="19.5" style="517" customWidth="1"/>
    <col min="7437" max="7680" width="15.625" style="517"/>
    <col min="7681" max="7681" width="6" style="517" customWidth="1"/>
    <col min="7682" max="7682" width="7.5" style="517" customWidth="1"/>
    <col min="7683" max="7683" width="43.75" style="517" customWidth="1"/>
    <col min="7684" max="7684" width="74.625" style="517" customWidth="1"/>
    <col min="7685" max="7685" width="15.875" style="517" customWidth="1"/>
    <col min="7686" max="7686" width="15.625" style="517"/>
    <col min="7687" max="7687" width="17.875" style="517" customWidth="1"/>
    <col min="7688" max="7688" width="19.375" style="517" customWidth="1"/>
    <col min="7689" max="7690" width="8.5" style="517" customWidth="1"/>
    <col min="7691" max="7691" width="10.75" style="517" customWidth="1"/>
    <col min="7692" max="7692" width="19.5" style="517" customWidth="1"/>
    <col min="7693" max="7936" width="15.625" style="517"/>
    <col min="7937" max="7937" width="6" style="517" customWidth="1"/>
    <col min="7938" max="7938" width="7.5" style="517" customWidth="1"/>
    <col min="7939" max="7939" width="43.75" style="517" customWidth="1"/>
    <col min="7940" max="7940" width="74.625" style="517" customWidth="1"/>
    <col min="7941" max="7941" width="15.875" style="517" customWidth="1"/>
    <col min="7942" max="7942" width="15.625" style="517"/>
    <col min="7943" max="7943" width="17.875" style="517" customWidth="1"/>
    <col min="7944" max="7944" width="19.375" style="517" customWidth="1"/>
    <col min="7945" max="7946" width="8.5" style="517" customWidth="1"/>
    <col min="7947" max="7947" width="10.75" style="517" customWidth="1"/>
    <col min="7948" max="7948" width="19.5" style="517" customWidth="1"/>
    <col min="7949" max="8192" width="15.625" style="517"/>
    <col min="8193" max="8193" width="6" style="517" customWidth="1"/>
    <col min="8194" max="8194" width="7.5" style="517" customWidth="1"/>
    <col min="8195" max="8195" width="43.75" style="517" customWidth="1"/>
    <col min="8196" max="8196" width="74.625" style="517" customWidth="1"/>
    <col min="8197" max="8197" width="15.875" style="517" customWidth="1"/>
    <col min="8198" max="8198" width="15.625" style="517"/>
    <col min="8199" max="8199" width="17.875" style="517" customWidth="1"/>
    <col min="8200" max="8200" width="19.375" style="517" customWidth="1"/>
    <col min="8201" max="8202" width="8.5" style="517" customWidth="1"/>
    <col min="8203" max="8203" width="10.75" style="517" customWidth="1"/>
    <col min="8204" max="8204" width="19.5" style="517" customWidth="1"/>
    <col min="8205" max="8448" width="15.625" style="517"/>
    <col min="8449" max="8449" width="6" style="517" customWidth="1"/>
    <col min="8450" max="8450" width="7.5" style="517" customWidth="1"/>
    <col min="8451" max="8451" width="43.75" style="517" customWidth="1"/>
    <col min="8452" max="8452" width="74.625" style="517" customWidth="1"/>
    <col min="8453" max="8453" width="15.875" style="517" customWidth="1"/>
    <col min="8454" max="8454" width="15.625" style="517"/>
    <col min="8455" max="8455" width="17.875" style="517" customWidth="1"/>
    <col min="8456" max="8456" width="19.375" style="517" customWidth="1"/>
    <col min="8457" max="8458" width="8.5" style="517" customWidth="1"/>
    <col min="8459" max="8459" width="10.75" style="517" customWidth="1"/>
    <col min="8460" max="8460" width="19.5" style="517" customWidth="1"/>
    <col min="8461" max="8704" width="15.625" style="517"/>
    <col min="8705" max="8705" width="6" style="517" customWidth="1"/>
    <col min="8706" max="8706" width="7.5" style="517" customWidth="1"/>
    <col min="8707" max="8707" width="43.75" style="517" customWidth="1"/>
    <col min="8708" max="8708" width="74.625" style="517" customWidth="1"/>
    <col min="8709" max="8709" width="15.875" style="517" customWidth="1"/>
    <col min="8710" max="8710" width="15.625" style="517"/>
    <col min="8711" max="8711" width="17.875" style="517" customWidth="1"/>
    <col min="8712" max="8712" width="19.375" style="517" customWidth="1"/>
    <col min="8713" max="8714" width="8.5" style="517" customWidth="1"/>
    <col min="8715" max="8715" width="10.75" style="517" customWidth="1"/>
    <col min="8716" max="8716" width="19.5" style="517" customWidth="1"/>
    <col min="8717" max="8960" width="15.625" style="517"/>
    <col min="8961" max="8961" width="6" style="517" customWidth="1"/>
    <col min="8962" max="8962" width="7.5" style="517" customWidth="1"/>
    <col min="8963" max="8963" width="43.75" style="517" customWidth="1"/>
    <col min="8964" max="8964" width="74.625" style="517" customWidth="1"/>
    <col min="8965" max="8965" width="15.875" style="517" customWidth="1"/>
    <col min="8966" max="8966" width="15.625" style="517"/>
    <col min="8967" max="8967" width="17.875" style="517" customWidth="1"/>
    <col min="8968" max="8968" width="19.375" style="517" customWidth="1"/>
    <col min="8969" max="8970" width="8.5" style="517" customWidth="1"/>
    <col min="8971" max="8971" width="10.75" style="517" customWidth="1"/>
    <col min="8972" max="8972" width="19.5" style="517" customWidth="1"/>
    <col min="8973" max="9216" width="15.625" style="517"/>
    <col min="9217" max="9217" width="6" style="517" customWidth="1"/>
    <col min="9218" max="9218" width="7.5" style="517" customWidth="1"/>
    <col min="9219" max="9219" width="43.75" style="517" customWidth="1"/>
    <col min="9220" max="9220" width="74.625" style="517" customWidth="1"/>
    <col min="9221" max="9221" width="15.875" style="517" customWidth="1"/>
    <col min="9222" max="9222" width="15.625" style="517"/>
    <col min="9223" max="9223" width="17.875" style="517" customWidth="1"/>
    <col min="9224" max="9224" width="19.375" style="517" customWidth="1"/>
    <col min="9225" max="9226" width="8.5" style="517" customWidth="1"/>
    <col min="9227" max="9227" width="10.75" style="517" customWidth="1"/>
    <col min="9228" max="9228" width="19.5" style="517" customWidth="1"/>
    <col min="9229" max="9472" width="15.625" style="517"/>
    <col min="9473" max="9473" width="6" style="517" customWidth="1"/>
    <col min="9474" max="9474" width="7.5" style="517" customWidth="1"/>
    <col min="9475" max="9475" width="43.75" style="517" customWidth="1"/>
    <col min="9476" max="9476" width="74.625" style="517" customWidth="1"/>
    <col min="9477" max="9477" width="15.875" style="517" customWidth="1"/>
    <col min="9478" max="9478" width="15.625" style="517"/>
    <col min="9479" max="9479" width="17.875" style="517" customWidth="1"/>
    <col min="9480" max="9480" width="19.375" style="517" customWidth="1"/>
    <col min="9481" max="9482" width="8.5" style="517" customWidth="1"/>
    <col min="9483" max="9483" width="10.75" style="517" customWidth="1"/>
    <col min="9484" max="9484" width="19.5" style="517" customWidth="1"/>
    <col min="9485" max="9728" width="15.625" style="517"/>
    <col min="9729" max="9729" width="6" style="517" customWidth="1"/>
    <col min="9730" max="9730" width="7.5" style="517" customWidth="1"/>
    <col min="9731" max="9731" width="43.75" style="517" customWidth="1"/>
    <col min="9732" max="9732" width="74.625" style="517" customWidth="1"/>
    <col min="9733" max="9733" width="15.875" style="517" customWidth="1"/>
    <col min="9734" max="9734" width="15.625" style="517"/>
    <col min="9735" max="9735" width="17.875" style="517" customWidth="1"/>
    <col min="9736" max="9736" width="19.375" style="517" customWidth="1"/>
    <col min="9737" max="9738" width="8.5" style="517" customWidth="1"/>
    <col min="9739" max="9739" width="10.75" style="517" customWidth="1"/>
    <col min="9740" max="9740" width="19.5" style="517" customWidth="1"/>
    <col min="9741" max="9984" width="15.625" style="517"/>
    <col min="9985" max="9985" width="6" style="517" customWidth="1"/>
    <col min="9986" max="9986" width="7.5" style="517" customWidth="1"/>
    <col min="9987" max="9987" width="43.75" style="517" customWidth="1"/>
    <col min="9988" max="9988" width="74.625" style="517" customWidth="1"/>
    <col min="9989" max="9989" width="15.875" style="517" customWidth="1"/>
    <col min="9990" max="9990" width="15.625" style="517"/>
    <col min="9991" max="9991" width="17.875" style="517" customWidth="1"/>
    <col min="9992" max="9992" width="19.375" style="517" customWidth="1"/>
    <col min="9993" max="9994" width="8.5" style="517" customWidth="1"/>
    <col min="9995" max="9995" width="10.75" style="517" customWidth="1"/>
    <col min="9996" max="9996" width="19.5" style="517" customWidth="1"/>
    <col min="9997" max="10240" width="15.625" style="517"/>
    <col min="10241" max="10241" width="6" style="517" customWidth="1"/>
    <col min="10242" max="10242" width="7.5" style="517" customWidth="1"/>
    <col min="10243" max="10243" width="43.75" style="517" customWidth="1"/>
    <col min="10244" max="10244" width="74.625" style="517" customWidth="1"/>
    <col min="10245" max="10245" width="15.875" style="517" customWidth="1"/>
    <col min="10246" max="10246" width="15.625" style="517"/>
    <col min="10247" max="10247" width="17.875" style="517" customWidth="1"/>
    <col min="10248" max="10248" width="19.375" style="517" customWidth="1"/>
    <col min="10249" max="10250" width="8.5" style="517" customWidth="1"/>
    <col min="10251" max="10251" width="10.75" style="517" customWidth="1"/>
    <col min="10252" max="10252" width="19.5" style="517" customWidth="1"/>
    <col min="10253" max="10496" width="15.625" style="517"/>
    <col min="10497" max="10497" width="6" style="517" customWidth="1"/>
    <col min="10498" max="10498" width="7.5" style="517" customWidth="1"/>
    <col min="10499" max="10499" width="43.75" style="517" customWidth="1"/>
    <col min="10500" max="10500" width="74.625" style="517" customWidth="1"/>
    <col min="10501" max="10501" width="15.875" style="517" customWidth="1"/>
    <col min="10502" max="10502" width="15.625" style="517"/>
    <col min="10503" max="10503" width="17.875" style="517" customWidth="1"/>
    <col min="10504" max="10504" width="19.375" style="517" customWidth="1"/>
    <col min="10505" max="10506" width="8.5" style="517" customWidth="1"/>
    <col min="10507" max="10507" width="10.75" style="517" customWidth="1"/>
    <col min="10508" max="10508" width="19.5" style="517" customWidth="1"/>
    <col min="10509" max="10752" width="15.625" style="517"/>
    <col min="10753" max="10753" width="6" style="517" customWidth="1"/>
    <col min="10754" max="10754" width="7.5" style="517" customWidth="1"/>
    <col min="10755" max="10755" width="43.75" style="517" customWidth="1"/>
    <col min="10756" max="10756" width="74.625" style="517" customWidth="1"/>
    <col min="10757" max="10757" width="15.875" style="517" customWidth="1"/>
    <col min="10758" max="10758" width="15.625" style="517"/>
    <col min="10759" max="10759" width="17.875" style="517" customWidth="1"/>
    <col min="10760" max="10760" width="19.375" style="517" customWidth="1"/>
    <col min="10761" max="10762" width="8.5" style="517" customWidth="1"/>
    <col min="10763" max="10763" width="10.75" style="517" customWidth="1"/>
    <col min="10764" max="10764" width="19.5" style="517" customWidth="1"/>
    <col min="10765" max="11008" width="15.625" style="517"/>
    <col min="11009" max="11009" width="6" style="517" customWidth="1"/>
    <col min="11010" max="11010" width="7.5" style="517" customWidth="1"/>
    <col min="11011" max="11011" width="43.75" style="517" customWidth="1"/>
    <col min="11012" max="11012" width="74.625" style="517" customWidth="1"/>
    <col min="11013" max="11013" width="15.875" style="517" customWidth="1"/>
    <col min="11014" max="11014" width="15.625" style="517"/>
    <col min="11015" max="11015" width="17.875" style="517" customWidth="1"/>
    <col min="11016" max="11016" width="19.375" style="517" customWidth="1"/>
    <col min="11017" max="11018" width="8.5" style="517" customWidth="1"/>
    <col min="11019" max="11019" width="10.75" style="517" customWidth="1"/>
    <col min="11020" max="11020" width="19.5" style="517" customWidth="1"/>
    <col min="11021" max="11264" width="15.625" style="517"/>
    <col min="11265" max="11265" width="6" style="517" customWidth="1"/>
    <col min="11266" max="11266" width="7.5" style="517" customWidth="1"/>
    <col min="11267" max="11267" width="43.75" style="517" customWidth="1"/>
    <col min="11268" max="11268" width="74.625" style="517" customWidth="1"/>
    <col min="11269" max="11269" width="15.875" style="517" customWidth="1"/>
    <col min="11270" max="11270" width="15.625" style="517"/>
    <col min="11271" max="11271" width="17.875" style="517" customWidth="1"/>
    <col min="11272" max="11272" width="19.375" style="517" customWidth="1"/>
    <col min="11273" max="11274" width="8.5" style="517" customWidth="1"/>
    <col min="11275" max="11275" width="10.75" style="517" customWidth="1"/>
    <col min="11276" max="11276" width="19.5" style="517" customWidth="1"/>
    <col min="11277" max="11520" width="15.625" style="517"/>
    <col min="11521" max="11521" width="6" style="517" customWidth="1"/>
    <col min="11522" max="11522" width="7.5" style="517" customWidth="1"/>
    <col min="11523" max="11523" width="43.75" style="517" customWidth="1"/>
    <col min="11524" max="11524" width="74.625" style="517" customWidth="1"/>
    <col min="11525" max="11525" width="15.875" style="517" customWidth="1"/>
    <col min="11526" max="11526" width="15.625" style="517"/>
    <col min="11527" max="11527" width="17.875" style="517" customWidth="1"/>
    <col min="11528" max="11528" width="19.375" style="517" customWidth="1"/>
    <col min="11529" max="11530" width="8.5" style="517" customWidth="1"/>
    <col min="11531" max="11531" width="10.75" style="517" customWidth="1"/>
    <col min="11532" max="11532" width="19.5" style="517" customWidth="1"/>
    <col min="11533" max="11776" width="15.625" style="517"/>
    <col min="11777" max="11777" width="6" style="517" customWidth="1"/>
    <col min="11778" max="11778" width="7.5" style="517" customWidth="1"/>
    <col min="11779" max="11779" width="43.75" style="517" customWidth="1"/>
    <col min="11780" max="11780" width="74.625" style="517" customWidth="1"/>
    <col min="11781" max="11781" width="15.875" style="517" customWidth="1"/>
    <col min="11782" max="11782" width="15.625" style="517"/>
    <col min="11783" max="11783" width="17.875" style="517" customWidth="1"/>
    <col min="11784" max="11784" width="19.375" style="517" customWidth="1"/>
    <col min="11785" max="11786" width="8.5" style="517" customWidth="1"/>
    <col min="11787" max="11787" width="10.75" style="517" customWidth="1"/>
    <col min="11788" max="11788" width="19.5" style="517" customWidth="1"/>
    <col min="11789" max="12032" width="15.625" style="517"/>
    <col min="12033" max="12033" width="6" style="517" customWidth="1"/>
    <col min="12034" max="12034" width="7.5" style="517" customWidth="1"/>
    <col min="12035" max="12035" width="43.75" style="517" customWidth="1"/>
    <col min="12036" max="12036" width="74.625" style="517" customWidth="1"/>
    <col min="12037" max="12037" width="15.875" style="517" customWidth="1"/>
    <col min="12038" max="12038" width="15.625" style="517"/>
    <col min="12039" max="12039" width="17.875" style="517" customWidth="1"/>
    <col min="12040" max="12040" width="19.375" style="517" customWidth="1"/>
    <col min="12041" max="12042" width="8.5" style="517" customWidth="1"/>
    <col min="12043" max="12043" width="10.75" style="517" customWidth="1"/>
    <col min="12044" max="12044" width="19.5" style="517" customWidth="1"/>
    <col min="12045" max="12288" width="15.625" style="517"/>
    <col min="12289" max="12289" width="6" style="517" customWidth="1"/>
    <col min="12290" max="12290" width="7.5" style="517" customWidth="1"/>
    <col min="12291" max="12291" width="43.75" style="517" customWidth="1"/>
    <col min="12292" max="12292" width="74.625" style="517" customWidth="1"/>
    <col min="12293" max="12293" width="15.875" style="517" customWidth="1"/>
    <col min="12294" max="12294" width="15.625" style="517"/>
    <col min="12295" max="12295" width="17.875" style="517" customWidth="1"/>
    <col min="12296" max="12296" width="19.375" style="517" customWidth="1"/>
    <col min="12297" max="12298" width="8.5" style="517" customWidth="1"/>
    <col min="12299" max="12299" width="10.75" style="517" customWidth="1"/>
    <col min="12300" max="12300" width="19.5" style="517" customWidth="1"/>
    <col min="12301" max="12544" width="15.625" style="517"/>
    <col min="12545" max="12545" width="6" style="517" customWidth="1"/>
    <col min="12546" max="12546" width="7.5" style="517" customWidth="1"/>
    <col min="12547" max="12547" width="43.75" style="517" customWidth="1"/>
    <col min="12548" max="12548" width="74.625" style="517" customWidth="1"/>
    <col min="12549" max="12549" width="15.875" style="517" customWidth="1"/>
    <col min="12550" max="12550" width="15.625" style="517"/>
    <col min="12551" max="12551" width="17.875" style="517" customWidth="1"/>
    <col min="12552" max="12552" width="19.375" style="517" customWidth="1"/>
    <col min="12553" max="12554" width="8.5" style="517" customWidth="1"/>
    <col min="12555" max="12555" width="10.75" style="517" customWidth="1"/>
    <col min="12556" max="12556" width="19.5" style="517" customWidth="1"/>
    <col min="12557" max="12800" width="15.625" style="517"/>
    <col min="12801" max="12801" width="6" style="517" customWidth="1"/>
    <col min="12802" max="12802" width="7.5" style="517" customWidth="1"/>
    <col min="12803" max="12803" width="43.75" style="517" customWidth="1"/>
    <col min="12804" max="12804" width="74.625" style="517" customWidth="1"/>
    <col min="12805" max="12805" width="15.875" style="517" customWidth="1"/>
    <col min="12806" max="12806" width="15.625" style="517"/>
    <col min="12807" max="12807" width="17.875" style="517" customWidth="1"/>
    <col min="12808" max="12808" width="19.375" style="517" customWidth="1"/>
    <col min="12809" max="12810" width="8.5" style="517" customWidth="1"/>
    <col min="12811" max="12811" width="10.75" style="517" customWidth="1"/>
    <col min="12812" max="12812" width="19.5" style="517" customWidth="1"/>
    <col min="12813" max="13056" width="15.625" style="517"/>
    <col min="13057" max="13057" width="6" style="517" customWidth="1"/>
    <col min="13058" max="13058" width="7.5" style="517" customWidth="1"/>
    <col min="13059" max="13059" width="43.75" style="517" customWidth="1"/>
    <col min="13060" max="13060" width="74.625" style="517" customWidth="1"/>
    <col min="13061" max="13061" width="15.875" style="517" customWidth="1"/>
    <col min="13062" max="13062" width="15.625" style="517"/>
    <col min="13063" max="13063" width="17.875" style="517" customWidth="1"/>
    <col min="13064" max="13064" width="19.375" style="517" customWidth="1"/>
    <col min="13065" max="13066" width="8.5" style="517" customWidth="1"/>
    <col min="13067" max="13067" width="10.75" style="517" customWidth="1"/>
    <col min="13068" max="13068" width="19.5" style="517" customWidth="1"/>
    <col min="13069" max="13312" width="15.625" style="517"/>
    <col min="13313" max="13313" width="6" style="517" customWidth="1"/>
    <col min="13314" max="13314" width="7.5" style="517" customWidth="1"/>
    <col min="13315" max="13315" width="43.75" style="517" customWidth="1"/>
    <col min="13316" max="13316" width="74.625" style="517" customWidth="1"/>
    <col min="13317" max="13317" width="15.875" style="517" customWidth="1"/>
    <col min="13318" max="13318" width="15.625" style="517"/>
    <col min="13319" max="13319" width="17.875" style="517" customWidth="1"/>
    <col min="13320" max="13320" width="19.375" style="517" customWidth="1"/>
    <col min="13321" max="13322" width="8.5" style="517" customWidth="1"/>
    <col min="13323" max="13323" width="10.75" style="517" customWidth="1"/>
    <col min="13324" max="13324" width="19.5" style="517" customWidth="1"/>
    <col min="13325" max="13568" width="15.625" style="517"/>
    <col min="13569" max="13569" width="6" style="517" customWidth="1"/>
    <col min="13570" max="13570" width="7.5" style="517" customWidth="1"/>
    <col min="13571" max="13571" width="43.75" style="517" customWidth="1"/>
    <col min="13572" max="13572" width="74.625" style="517" customWidth="1"/>
    <col min="13573" max="13573" width="15.875" style="517" customWidth="1"/>
    <col min="13574" max="13574" width="15.625" style="517"/>
    <col min="13575" max="13575" width="17.875" style="517" customWidth="1"/>
    <col min="13576" max="13576" width="19.375" style="517" customWidth="1"/>
    <col min="13577" max="13578" width="8.5" style="517" customWidth="1"/>
    <col min="13579" max="13579" width="10.75" style="517" customWidth="1"/>
    <col min="13580" max="13580" width="19.5" style="517" customWidth="1"/>
    <col min="13581" max="13824" width="15.625" style="517"/>
    <col min="13825" max="13825" width="6" style="517" customWidth="1"/>
    <col min="13826" max="13826" width="7.5" style="517" customWidth="1"/>
    <col min="13827" max="13827" width="43.75" style="517" customWidth="1"/>
    <col min="13828" max="13828" width="74.625" style="517" customWidth="1"/>
    <col min="13829" max="13829" width="15.875" style="517" customWidth="1"/>
    <col min="13830" max="13830" width="15.625" style="517"/>
    <col min="13831" max="13831" width="17.875" style="517" customWidth="1"/>
    <col min="13832" max="13832" width="19.375" style="517" customWidth="1"/>
    <col min="13833" max="13834" width="8.5" style="517" customWidth="1"/>
    <col min="13835" max="13835" width="10.75" style="517" customWidth="1"/>
    <col min="13836" max="13836" width="19.5" style="517" customWidth="1"/>
    <col min="13837" max="14080" width="15.625" style="517"/>
    <col min="14081" max="14081" width="6" style="517" customWidth="1"/>
    <col min="14082" max="14082" width="7.5" style="517" customWidth="1"/>
    <col min="14083" max="14083" width="43.75" style="517" customWidth="1"/>
    <col min="14084" max="14084" width="74.625" style="517" customWidth="1"/>
    <col min="14085" max="14085" width="15.875" style="517" customWidth="1"/>
    <col min="14086" max="14086" width="15.625" style="517"/>
    <col min="14087" max="14087" width="17.875" style="517" customWidth="1"/>
    <col min="14088" max="14088" width="19.375" style="517" customWidth="1"/>
    <col min="14089" max="14090" width="8.5" style="517" customWidth="1"/>
    <col min="14091" max="14091" width="10.75" style="517" customWidth="1"/>
    <col min="14092" max="14092" width="19.5" style="517" customWidth="1"/>
    <col min="14093" max="14336" width="15.625" style="517"/>
    <col min="14337" max="14337" width="6" style="517" customWidth="1"/>
    <col min="14338" max="14338" width="7.5" style="517" customWidth="1"/>
    <col min="14339" max="14339" width="43.75" style="517" customWidth="1"/>
    <col min="14340" max="14340" width="74.625" style="517" customWidth="1"/>
    <col min="14341" max="14341" width="15.875" style="517" customWidth="1"/>
    <col min="14342" max="14342" width="15.625" style="517"/>
    <col min="14343" max="14343" width="17.875" style="517" customWidth="1"/>
    <col min="14344" max="14344" width="19.375" style="517" customWidth="1"/>
    <col min="14345" max="14346" width="8.5" style="517" customWidth="1"/>
    <col min="14347" max="14347" width="10.75" style="517" customWidth="1"/>
    <col min="14348" max="14348" width="19.5" style="517" customWidth="1"/>
    <col min="14349" max="14592" width="15.625" style="517"/>
    <col min="14593" max="14593" width="6" style="517" customWidth="1"/>
    <col min="14594" max="14594" width="7.5" style="517" customWidth="1"/>
    <col min="14595" max="14595" width="43.75" style="517" customWidth="1"/>
    <col min="14596" max="14596" width="74.625" style="517" customWidth="1"/>
    <col min="14597" max="14597" width="15.875" style="517" customWidth="1"/>
    <col min="14598" max="14598" width="15.625" style="517"/>
    <col min="14599" max="14599" width="17.875" style="517" customWidth="1"/>
    <col min="14600" max="14600" width="19.375" style="517" customWidth="1"/>
    <col min="14601" max="14602" width="8.5" style="517" customWidth="1"/>
    <col min="14603" max="14603" width="10.75" style="517" customWidth="1"/>
    <col min="14604" max="14604" width="19.5" style="517" customWidth="1"/>
    <col min="14605" max="14848" width="15.625" style="517"/>
    <col min="14849" max="14849" width="6" style="517" customWidth="1"/>
    <col min="14850" max="14850" width="7.5" style="517" customWidth="1"/>
    <col min="14851" max="14851" width="43.75" style="517" customWidth="1"/>
    <col min="14852" max="14852" width="74.625" style="517" customWidth="1"/>
    <col min="14853" max="14853" width="15.875" style="517" customWidth="1"/>
    <col min="14854" max="14854" width="15.625" style="517"/>
    <col min="14855" max="14855" width="17.875" style="517" customWidth="1"/>
    <col min="14856" max="14856" width="19.375" style="517" customWidth="1"/>
    <col min="14857" max="14858" width="8.5" style="517" customWidth="1"/>
    <col min="14859" max="14859" width="10.75" style="517" customWidth="1"/>
    <col min="14860" max="14860" width="19.5" style="517" customWidth="1"/>
    <col min="14861" max="15104" width="15.625" style="517"/>
    <col min="15105" max="15105" width="6" style="517" customWidth="1"/>
    <col min="15106" max="15106" width="7.5" style="517" customWidth="1"/>
    <col min="15107" max="15107" width="43.75" style="517" customWidth="1"/>
    <col min="15108" max="15108" width="74.625" style="517" customWidth="1"/>
    <col min="15109" max="15109" width="15.875" style="517" customWidth="1"/>
    <col min="15110" max="15110" width="15.625" style="517"/>
    <col min="15111" max="15111" width="17.875" style="517" customWidth="1"/>
    <col min="15112" max="15112" width="19.375" style="517" customWidth="1"/>
    <col min="15113" max="15114" width="8.5" style="517" customWidth="1"/>
    <col min="15115" max="15115" width="10.75" style="517" customWidth="1"/>
    <col min="15116" max="15116" width="19.5" style="517" customWidth="1"/>
    <col min="15117" max="15360" width="15.625" style="517"/>
    <col min="15361" max="15361" width="6" style="517" customWidth="1"/>
    <col min="15362" max="15362" width="7.5" style="517" customWidth="1"/>
    <col min="15363" max="15363" width="43.75" style="517" customWidth="1"/>
    <col min="15364" max="15364" width="74.625" style="517" customWidth="1"/>
    <col min="15365" max="15365" width="15.875" style="517" customWidth="1"/>
    <col min="15366" max="15366" width="15.625" style="517"/>
    <col min="15367" max="15367" width="17.875" style="517" customWidth="1"/>
    <col min="15368" max="15368" width="19.375" style="517" customWidth="1"/>
    <col min="15369" max="15370" width="8.5" style="517" customWidth="1"/>
    <col min="15371" max="15371" width="10.75" style="517" customWidth="1"/>
    <col min="15372" max="15372" width="19.5" style="517" customWidth="1"/>
    <col min="15373" max="15616" width="15.625" style="517"/>
    <col min="15617" max="15617" width="6" style="517" customWidth="1"/>
    <col min="15618" max="15618" width="7.5" style="517" customWidth="1"/>
    <col min="15619" max="15619" width="43.75" style="517" customWidth="1"/>
    <col min="15620" max="15620" width="74.625" style="517" customWidth="1"/>
    <col min="15621" max="15621" width="15.875" style="517" customWidth="1"/>
    <col min="15622" max="15622" width="15.625" style="517"/>
    <col min="15623" max="15623" width="17.875" style="517" customWidth="1"/>
    <col min="15624" max="15624" width="19.375" style="517" customWidth="1"/>
    <col min="15625" max="15626" width="8.5" style="517" customWidth="1"/>
    <col min="15627" max="15627" width="10.75" style="517" customWidth="1"/>
    <col min="15628" max="15628" width="19.5" style="517" customWidth="1"/>
    <col min="15629" max="15872" width="15.625" style="517"/>
    <col min="15873" max="15873" width="6" style="517" customWidth="1"/>
    <col min="15874" max="15874" width="7.5" style="517" customWidth="1"/>
    <col min="15875" max="15875" width="43.75" style="517" customWidth="1"/>
    <col min="15876" max="15876" width="74.625" style="517" customWidth="1"/>
    <col min="15877" max="15877" width="15.875" style="517" customWidth="1"/>
    <col min="15878" max="15878" width="15.625" style="517"/>
    <col min="15879" max="15879" width="17.875" style="517" customWidth="1"/>
    <col min="15880" max="15880" width="19.375" style="517" customWidth="1"/>
    <col min="15881" max="15882" width="8.5" style="517" customWidth="1"/>
    <col min="15883" max="15883" width="10.75" style="517" customWidth="1"/>
    <col min="15884" max="15884" width="19.5" style="517" customWidth="1"/>
    <col min="15885" max="16128" width="15.625" style="517"/>
    <col min="16129" max="16129" width="6" style="517" customWidth="1"/>
    <col min="16130" max="16130" width="7.5" style="517" customWidth="1"/>
    <col min="16131" max="16131" width="43.75" style="517" customWidth="1"/>
    <col min="16132" max="16132" width="74.625" style="517" customWidth="1"/>
    <col min="16133" max="16133" width="15.875" style="517" customWidth="1"/>
    <col min="16134" max="16134" width="15.625" style="517"/>
    <col min="16135" max="16135" width="17.875" style="517" customWidth="1"/>
    <col min="16136" max="16136" width="19.375" style="517" customWidth="1"/>
    <col min="16137" max="16138" width="8.5" style="517" customWidth="1"/>
    <col min="16139" max="16139" width="10.75" style="517" customWidth="1"/>
    <col min="16140" max="16140" width="19.5" style="517" customWidth="1"/>
    <col min="16141" max="16384" width="15.625" style="517"/>
  </cols>
  <sheetData>
    <row r="1" spans="1:9" ht="16.5">
      <c r="A1" s="2186" t="str">
        <f>+封面!A3&amp;" "&amp;封面!A2</f>
        <v xml:space="preserve"> 中央再保險股份有限公司 年度檢查報表</v>
      </c>
      <c r="D1" s="2187"/>
    </row>
    <row r="2" spans="1:9" ht="16.5">
      <c r="A2" s="2189" t="s">
        <v>5613</v>
      </c>
      <c r="D2" s="420"/>
      <c r="G2" s="2054"/>
    </row>
    <row r="3" spans="1:9" ht="16.5">
      <c r="A3" s="2190" t="s">
        <v>5614</v>
      </c>
      <c r="B3" s="2191"/>
      <c r="C3" s="2191"/>
      <c r="E3" s="517"/>
      <c r="G3" s="2054"/>
    </row>
    <row r="4" spans="1:9" ht="17.25" thickBot="1">
      <c r="B4" s="2192" t="s">
        <v>5615</v>
      </c>
      <c r="E4" s="517"/>
      <c r="G4" s="2053" t="s">
        <v>5616</v>
      </c>
    </row>
    <row r="5" spans="1:9" ht="16.5">
      <c r="B5" s="2193" t="s">
        <v>5400</v>
      </c>
      <c r="C5" s="2725" t="s">
        <v>8487</v>
      </c>
      <c r="D5" s="2725" t="s">
        <v>8488</v>
      </c>
      <c r="E5" s="2725" t="s">
        <v>8489</v>
      </c>
      <c r="F5" s="2725" t="s">
        <v>8490</v>
      </c>
      <c r="G5" s="2726" t="s">
        <v>8491</v>
      </c>
    </row>
    <row r="6" spans="1:9" ht="16.5">
      <c r="B6" s="2727">
        <v>1</v>
      </c>
      <c r="C6" s="2728" t="s">
        <v>3554</v>
      </c>
      <c r="D6" s="2729" t="s">
        <v>8492</v>
      </c>
      <c r="E6" s="2730">
        <f ca="1">'表30-1'!B26</f>
        <v>0</v>
      </c>
      <c r="F6" s="2731"/>
      <c r="G6" s="2732"/>
    </row>
    <row r="7" spans="1:9" ht="16.5">
      <c r="B7" s="2727">
        <v>2</v>
      </c>
      <c r="C7" s="2733" t="s">
        <v>8493</v>
      </c>
      <c r="D7" s="2734" t="s">
        <v>8494</v>
      </c>
      <c r="E7" s="2735"/>
      <c r="F7" s="2736">
        <v>0.2</v>
      </c>
      <c r="G7" s="2737">
        <f ca="1">E6*F7</f>
        <v>0</v>
      </c>
    </row>
    <row r="8" spans="1:9" ht="17.25" thickBot="1">
      <c r="B8" s="2738">
        <v>3</v>
      </c>
      <c r="C8" s="2739" t="s">
        <v>8495</v>
      </c>
      <c r="D8" s="2740" t="s">
        <v>8496</v>
      </c>
      <c r="E8" s="2741"/>
      <c r="F8" s="2742">
        <v>1</v>
      </c>
      <c r="G8" s="2743">
        <f ca="1">E6*F8</f>
        <v>0</v>
      </c>
    </row>
    <row r="9" spans="1:9" ht="16.5" thickBot="1">
      <c r="C9" s="414"/>
      <c r="D9" s="420"/>
      <c r="G9" s="2054"/>
    </row>
    <row r="10" spans="1:9" ht="17.25" thickBot="1">
      <c r="B10" s="2193" t="s">
        <v>5400</v>
      </c>
      <c r="C10" s="2194" t="s">
        <v>8487</v>
      </c>
      <c r="D10" s="2195" t="s">
        <v>8488</v>
      </c>
      <c r="E10" s="2196" t="s">
        <v>8489</v>
      </c>
      <c r="F10" s="2195" t="s">
        <v>3540</v>
      </c>
      <c r="G10" s="2196" t="s">
        <v>8497</v>
      </c>
      <c r="H10" s="2197" t="s">
        <v>8498</v>
      </c>
    </row>
    <row r="11" spans="1:9" ht="16.5">
      <c r="A11" s="2198"/>
      <c r="B11" s="2199">
        <v>4</v>
      </c>
      <c r="C11" s="2744" t="s">
        <v>8499</v>
      </c>
      <c r="D11" s="2200" t="s">
        <v>8500</v>
      </c>
      <c r="E11" s="2201">
        <f>表03!O101</f>
        <v>0</v>
      </c>
      <c r="F11" s="2202">
        <v>1</v>
      </c>
      <c r="G11" s="2203">
        <f t="shared" ref="G11:G30" si="0">ROUND(E11*F11,0)</f>
        <v>0</v>
      </c>
      <c r="H11" s="2204"/>
    </row>
    <row r="12" spans="1:9" ht="33">
      <c r="A12" s="2205"/>
      <c r="B12" s="2206">
        <f>B11+1</f>
        <v>5</v>
      </c>
      <c r="C12" s="2745" t="s">
        <v>5617</v>
      </c>
      <c r="D12" s="1976" t="s">
        <v>5103</v>
      </c>
      <c r="E12" s="2207">
        <f>'表25-1'!R47-SUM('表25-1'!R20:R22,'表25-1'!R37)+SUM('表25-1'!AE26,'表25-1'!AE35)+'表25-2'!R20</f>
        <v>0</v>
      </c>
      <c r="F12" s="2208">
        <v>1</v>
      </c>
      <c r="G12" s="2209">
        <f t="shared" si="0"/>
        <v>0</v>
      </c>
      <c r="H12" s="2210"/>
    </row>
    <row r="13" spans="1:9" ht="16.5">
      <c r="A13" s="2205"/>
      <c r="B13" s="2306">
        <f t="shared" ref="B13:B14" si="1">B12+1</f>
        <v>6</v>
      </c>
      <c r="C13" s="2307" t="s">
        <v>5628</v>
      </c>
      <c r="D13" s="516" t="s">
        <v>3705</v>
      </c>
      <c r="E13" s="2207">
        <f>'表25-2'!AA20</f>
        <v>0</v>
      </c>
      <c r="F13" s="2208">
        <v>1</v>
      </c>
      <c r="G13" s="2209">
        <f t="shared" ref="G13" si="2">ROUND(E13*F13,0)</f>
        <v>0</v>
      </c>
      <c r="H13" s="2210"/>
    </row>
    <row r="14" spans="1:9" ht="33">
      <c r="A14" s="2211" t="s">
        <v>5618</v>
      </c>
      <c r="B14" s="2206">
        <f t="shared" si="1"/>
        <v>7</v>
      </c>
      <c r="C14" s="2745" t="s">
        <v>5777</v>
      </c>
      <c r="D14" s="516" t="s">
        <v>8501</v>
      </c>
      <c r="E14" s="2207">
        <f ca="1">'表30-8-8'!G13</f>
        <v>0</v>
      </c>
      <c r="F14" s="2208">
        <v>1</v>
      </c>
      <c r="G14" s="2209">
        <f t="shared" ca="1" si="0"/>
        <v>0</v>
      </c>
      <c r="H14" s="2210"/>
    </row>
    <row r="15" spans="1:9" ht="16.5">
      <c r="A15" s="2212" t="s">
        <v>5619</v>
      </c>
      <c r="B15" s="2206">
        <f>B14+1</f>
        <v>8</v>
      </c>
      <c r="C15" s="2746" t="s">
        <v>8502</v>
      </c>
      <c r="D15" s="2213"/>
      <c r="E15" s="2214"/>
      <c r="F15" s="2215"/>
      <c r="G15" s="2216"/>
      <c r="H15" s="2217"/>
    </row>
    <row r="16" spans="1:9" ht="33.75" thickBot="1">
      <c r="A16" s="2218"/>
      <c r="B16" s="2219">
        <f>B15+1</f>
        <v>9</v>
      </c>
      <c r="C16" s="2747" t="s">
        <v>8503</v>
      </c>
      <c r="D16" s="2220"/>
      <c r="E16" s="2221"/>
      <c r="F16" s="2222">
        <v>1</v>
      </c>
      <c r="G16" s="2223">
        <f t="shared" si="0"/>
        <v>0</v>
      </c>
      <c r="H16" s="2224"/>
      <c r="I16" s="2225"/>
    </row>
    <row r="17" spans="1:9" ht="16.5">
      <c r="A17" s="2226"/>
      <c r="B17" s="2227">
        <f t="shared" ref="B17:B32" si="3">B16+1</f>
        <v>10</v>
      </c>
      <c r="C17" s="2748" t="s">
        <v>8504</v>
      </c>
      <c r="D17" s="516" t="s">
        <v>8505</v>
      </c>
      <c r="E17" s="2228">
        <f>-'表30-8-5'!$J$12</f>
        <v>0</v>
      </c>
      <c r="F17" s="2229">
        <v>1</v>
      </c>
      <c r="G17" s="2228">
        <f t="shared" si="0"/>
        <v>0</v>
      </c>
      <c r="H17" s="2230" t="s">
        <v>8506</v>
      </c>
    </row>
    <row r="18" spans="1:9" ht="33">
      <c r="A18" s="2205"/>
      <c r="B18" s="2231">
        <f t="shared" si="3"/>
        <v>11</v>
      </c>
      <c r="C18" s="2749" t="s">
        <v>8507</v>
      </c>
      <c r="D18" s="516" t="s">
        <v>8508</v>
      </c>
      <c r="E18" s="2232">
        <f>IF('表30-8-5'!$I$7&gt;0,'表30-8-5'!$I$7,0)</f>
        <v>0</v>
      </c>
      <c r="F18" s="2208">
        <v>0.2</v>
      </c>
      <c r="G18" s="2232">
        <f t="shared" si="0"/>
        <v>0</v>
      </c>
      <c r="H18" s="2233" t="s">
        <v>8506</v>
      </c>
    </row>
    <row r="19" spans="1:9" ht="33">
      <c r="A19" s="2205"/>
      <c r="B19" s="2231">
        <f t="shared" si="3"/>
        <v>12</v>
      </c>
      <c r="C19" s="2749" t="s">
        <v>8509</v>
      </c>
      <c r="D19" s="516" t="s">
        <v>8510</v>
      </c>
      <c r="E19" s="2232">
        <f>IF('表30-8-5'!$I$8&gt;0,'表30-8-5'!$I$8,0)</f>
        <v>0</v>
      </c>
      <c r="F19" s="2208">
        <v>0.2</v>
      </c>
      <c r="G19" s="2232">
        <f t="shared" si="0"/>
        <v>0</v>
      </c>
      <c r="H19" s="2233" t="s">
        <v>8506</v>
      </c>
    </row>
    <row r="20" spans="1:9" ht="16.5">
      <c r="A20" s="2205"/>
      <c r="B20" s="2231">
        <f t="shared" si="3"/>
        <v>13</v>
      </c>
      <c r="C20" s="2749" t="s">
        <v>8511</v>
      </c>
      <c r="D20" s="516" t="s">
        <v>8512</v>
      </c>
      <c r="E20" s="2232">
        <f>+'表30-8-5'!J23</f>
        <v>0</v>
      </c>
      <c r="F20" s="2208">
        <v>0.2</v>
      </c>
      <c r="G20" s="2232">
        <f t="shared" si="0"/>
        <v>0</v>
      </c>
      <c r="H20" s="2233" t="s">
        <v>8506</v>
      </c>
    </row>
    <row r="21" spans="1:9" ht="16.5">
      <c r="A21" s="2205"/>
      <c r="B21" s="2234">
        <f>B20+1</f>
        <v>14</v>
      </c>
      <c r="C21" s="2308" t="s">
        <v>5629</v>
      </c>
      <c r="D21" s="1977" t="s">
        <v>5104</v>
      </c>
      <c r="E21" s="2232">
        <f>'表25-1'!AB47-SUM('表25-1'!AB20:AB22,'表25-1'!AB37)</f>
        <v>0</v>
      </c>
      <c r="F21" s="2208">
        <v>1</v>
      </c>
      <c r="G21" s="2232">
        <f>ROUND(E21*F21,0)</f>
        <v>0</v>
      </c>
      <c r="H21" s="2235"/>
    </row>
    <row r="22" spans="1:9" ht="33">
      <c r="A22" s="2205"/>
      <c r="B22" s="2231">
        <f>B21+1</f>
        <v>15</v>
      </c>
      <c r="C22" s="2749" t="s">
        <v>8513</v>
      </c>
      <c r="D22" s="518" t="s">
        <v>8514</v>
      </c>
      <c r="E22" s="2232">
        <f>'表30-8-7'!M27</f>
        <v>0</v>
      </c>
      <c r="F22" s="2208">
        <v>1</v>
      </c>
      <c r="G22" s="2232">
        <f t="shared" si="0"/>
        <v>0</v>
      </c>
      <c r="H22" s="2235"/>
    </row>
    <row r="23" spans="1:9" ht="33">
      <c r="A23" s="2205"/>
      <c r="B23" s="2231">
        <f t="shared" si="3"/>
        <v>16</v>
      </c>
      <c r="C23" s="2749" t="s">
        <v>8515</v>
      </c>
      <c r="D23" s="518" t="s">
        <v>8516</v>
      </c>
      <c r="E23" s="2232">
        <f>'表30-8-7'!M28</f>
        <v>0</v>
      </c>
      <c r="F23" s="2208">
        <v>1</v>
      </c>
      <c r="G23" s="2232">
        <f t="shared" si="0"/>
        <v>0</v>
      </c>
      <c r="H23" s="2235"/>
    </row>
    <row r="24" spans="1:9" ht="33">
      <c r="A24" s="2211" t="s">
        <v>5618</v>
      </c>
      <c r="B24" s="2231">
        <f t="shared" si="3"/>
        <v>17</v>
      </c>
      <c r="C24" s="2749" t="s">
        <v>8517</v>
      </c>
      <c r="D24" s="2236"/>
      <c r="E24" s="2237"/>
      <c r="F24" s="2208">
        <v>1</v>
      </c>
      <c r="G24" s="2232">
        <f t="shared" si="0"/>
        <v>0</v>
      </c>
      <c r="H24" s="2235"/>
    </row>
    <row r="25" spans="1:9" ht="33">
      <c r="A25" s="2238" t="s">
        <v>5620</v>
      </c>
      <c r="B25" s="2231">
        <f t="shared" si="3"/>
        <v>18</v>
      </c>
      <c r="C25" s="2750" t="s">
        <v>5715</v>
      </c>
      <c r="D25" s="2253" t="s">
        <v>8518</v>
      </c>
      <c r="E25" s="2232">
        <f>'表30-8-3'!D28</f>
        <v>0</v>
      </c>
      <c r="F25" s="2208">
        <v>1</v>
      </c>
      <c r="G25" s="2232">
        <f t="shared" ref="G25" si="4">ROUND(E25*F25,0)</f>
        <v>0</v>
      </c>
      <c r="H25" s="2235"/>
    </row>
    <row r="26" spans="1:9" ht="16.5">
      <c r="B26" s="2231">
        <f t="shared" si="3"/>
        <v>19</v>
      </c>
      <c r="C26" s="2749" t="s">
        <v>8519</v>
      </c>
      <c r="D26" s="2253" t="s">
        <v>8520</v>
      </c>
      <c r="E26" s="2208">
        <f>'表30-8-3'!C6</f>
        <v>0</v>
      </c>
      <c r="F26" s="2208">
        <v>1</v>
      </c>
      <c r="G26" s="2232">
        <f t="shared" si="0"/>
        <v>0</v>
      </c>
      <c r="H26" s="2235"/>
    </row>
    <row r="27" spans="1:9" ht="33">
      <c r="A27" s="2205"/>
      <c r="B27" s="2231">
        <f t="shared" si="3"/>
        <v>20</v>
      </c>
      <c r="C27" s="2749" t="s">
        <v>8521</v>
      </c>
      <c r="D27" s="2751"/>
      <c r="E27" s="2237"/>
      <c r="F27" s="2208">
        <v>1</v>
      </c>
      <c r="G27" s="2232">
        <f t="shared" si="0"/>
        <v>0</v>
      </c>
      <c r="H27" s="2235"/>
    </row>
    <row r="28" spans="1:9" ht="66">
      <c r="A28" s="2205"/>
      <c r="B28" s="2231">
        <f t="shared" si="3"/>
        <v>21</v>
      </c>
      <c r="C28" s="2749" t="s">
        <v>8522</v>
      </c>
      <c r="D28" s="2236"/>
      <c r="E28" s="2237"/>
      <c r="F28" s="2208">
        <v>1</v>
      </c>
      <c r="G28" s="2232">
        <f t="shared" si="0"/>
        <v>0</v>
      </c>
      <c r="H28" s="2235"/>
    </row>
    <row r="29" spans="1:9" ht="49.5">
      <c r="A29" s="2205"/>
      <c r="B29" s="2231">
        <f t="shared" si="3"/>
        <v>22</v>
      </c>
      <c r="C29" s="2749" t="s">
        <v>8523</v>
      </c>
      <c r="D29" s="2236"/>
      <c r="E29" s="2237"/>
      <c r="F29" s="2208">
        <v>1</v>
      </c>
      <c r="G29" s="2232">
        <f t="shared" si="0"/>
        <v>0</v>
      </c>
      <c r="H29" s="2235"/>
    </row>
    <row r="30" spans="1:9" ht="49.5">
      <c r="A30" s="2205"/>
      <c r="B30" s="2231">
        <f t="shared" si="3"/>
        <v>23</v>
      </c>
      <c r="C30" s="2749" t="s">
        <v>8524</v>
      </c>
      <c r="D30" s="2236"/>
      <c r="E30" s="2237"/>
      <c r="F30" s="2208">
        <v>1</v>
      </c>
      <c r="G30" s="2232">
        <f t="shared" si="0"/>
        <v>0</v>
      </c>
      <c r="H30" s="2235"/>
    </row>
    <row r="31" spans="1:9" ht="33.75" thickBot="1">
      <c r="A31" s="2218"/>
      <c r="B31" s="2239">
        <f t="shared" si="3"/>
        <v>24</v>
      </c>
      <c r="C31" s="2752" t="s">
        <v>8525</v>
      </c>
      <c r="D31" s="2255"/>
      <c r="E31" s="2753"/>
      <c r="F31" s="2754">
        <v>1</v>
      </c>
      <c r="G31" s="2256">
        <f>ROUND(E31*F31,0)</f>
        <v>0</v>
      </c>
      <c r="H31" s="2240"/>
    </row>
    <row r="32" spans="1:9" ht="17.25" thickBot="1">
      <c r="A32" s="2241" t="s">
        <v>5618</v>
      </c>
      <c r="B32" s="2242">
        <f t="shared" si="3"/>
        <v>25</v>
      </c>
      <c r="C32" s="2755" t="s">
        <v>8526</v>
      </c>
      <c r="D32" s="2756" t="str">
        <f>"自有資本額：第"&amp;B11&amp;"列至第"&amp;B16&amp;"列合計扣除第"&amp;B17&amp;"列至第"&amp;B32-1&amp;"列合計後之數額"</f>
        <v>自有資本額：第4列至第9列合計扣除第10列至第24列合計後之數額</v>
      </c>
      <c r="E32" s="2757"/>
      <c r="F32" s="2758"/>
      <c r="G32" s="2759">
        <f ca="1">SUM(G11:G16)-SUM(G17:G31)</f>
        <v>0</v>
      </c>
      <c r="H32" s="2243"/>
      <c r="I32" s="2244"/>
    </row>
    <row r="33" spans="1:9" ht="33">
      <c r="A33" s="2245" t="s">
        <v>5621</v>
      </c>
      <c r="B33" s="2246">
        <f>B32+1</f>
        <v>26</v>
      </c>
      <c r="C33" s="2247" t="s">
        <v>8527</v>
      </c>
      <c r="D33" s="2760" t="s">
        <v>8528</v>
      </c>
      <c r="E33" s="2248">
        <f>'表30-8-1'!M32</f>
        <v>0</v>
      </c>
      <c r="F33" s="2249">
        <v>1</v>
      </c>
      <c r="G33" s="2250">
        <f t="shared" ref="G33:G39" si="5">ROUND(E33*F33,0)</f>
        <v>0</v>
      </c>
      <c r="H33" s="2251"/>
    </row>
    <row r="34" spans="1:9" ht="49.5">
      <c r="A34" s="2238" t="s">
        <v>5619</v>
      </c>
      <c r="B34" s="2231">
        <f t="shared" ref="B34:B40" si="6">B33+1</f>
        <v>27</v>
      </c>
      <c r="C34" s="2252" t="s">
        <v>8529</v>
      </c>
      <c r="D34" s="2253" t="s">
        <v>8530</v>
      </c>
      <c r="E34" s="2254">
        <f>'表30-8-2'!M32</f>
        <v>0</v>
      </c>
      <c r="F34" s="2208">
        <v>1</v>
      </c>
      <c r="G34" s="2232">
        <f t="shared" si="5"/>
        <v>0</v>
      </c>
      <c r="H34" s="2235"/>
    </row>
    <row r="35" spans="1:9" ht="33.75" thickBot="1">
      <c r="A35" s="2218"/>
      <c r="B35" s="2239">
        <f t="shared" si="6"/>
        <v>28</v>
      </c>
      <c r="C35" s="2761" t="s">
        <v>8531</v>
      </c>
      <c r="D35" s="2255"/>
      <c r="E35" s="2753"/>
      <c r="F35" s="2754">
        <v>1</v>
      </c>
      <c r="G35" s="2256">
        <f>ROUND(E35*F35,0)</f>
        <v>0</v>
      </c>
      <c r="H35" s="2240"/>
      <c r="I35" s="2257"/>
    </row>
    <row r="36" spans="1:9" ht="66">
      <c r="A36" s="2205"/>
      <c r="B36" s="2227">
        <f t="shared" si="6"/>
        <v>29</v>
      </c>
      <c r="C36" s="2748" t="s">
        <v>8532</v>
      </c>
      <c r="D36" s="2258"/>
      <c r="E36" s="2762"/>
      <c r="F36" s="2229">
        <v>1</v>
      </c>
      <c r="G36" s="2228">
        <f>ROUND(E36*F36,0)</f>
        <v>0</v>
      </c>
      <c r="H36" s="2259"/>
    </row>
    <row r="37" spans="1:9" ht="49.5">
      <c r="A37" s="2211" t="s">
        <v>5621</v>
      </c>
      <c r="B37" s="2231">
        <f t="shared" si="6"/>
        <v>30</v>
      </c>
      <c r="C37" s="2749" t="s">
        <v>8533</v>
      </c>
      <c r="D37" s="2236"/>
      <c r="E37" s="2237"/>
      <c r="F37" s="2208">
        <v>1</v>
      </c>
      <c r="G37" s="2232">
        <f t="shared" si="5"/>
        <v>0</v>
      </c>
      <c r="H37" s="2235"/>
    </row>
    <row r="38" spans="1:9" ht="49.5">
      <c r="A38" s="2260" t="s">
        <v>5622</v>
      </c>
      <c r="B38" s="2231">
        <f t="shared" si="6"/>
        <v>31</v>
      </c>
      <c r="C38" s="2749" t="s">
        <v>8534</v>
      </c>
      <c r="D38" s="2236"/>
      <c r="E38" s="2237"/>
      <c r="F38" s="2208">
        <v>1</v>
      </c>
      <c r="G38" s="2232">
        <f t="shared" si="5"/>
        <v>0</v>
      </c>
      <c r="H38" s="2235"/>
    </row>
    <row r="39" spans="1:9" ht="33.75" thickBot="1">
      <c r="A39" s="2218"/>
      <c r="B39" s="2239">
        <f t="shared" si="6"/>
        <v>32</v>
      </c>
      <c r="C39" s="2752" t="s">
        <v>8535</v>
      </c>
      <c r="D39" s="2255"/>
      <c r="E39" s="2753"/>
      <c r="F39" s="2754">
        <v>1</v>
      </c>
      <c r="G39" s="2256">
        <f t="shared" si="5"/>
        <v>0</v>
      </c>
      <c r="H39" s="2240"/>
    </row>
    <row r="40" spans="1:9" ht="16.5">
      <c r="A40" s="2261" t="s">
        <v>5621</v>
      </c>
      <c r="B40" s="2227">
        <f t="shared" si="6"/>
        <v>33</v>
      </c>
      <c r="C40" s="2763" t="s">
        <v>8536</v>
      </c>
      <c r="D40" s="2764" t="str">
        <f>"自有資本額：第"&amp;B33&amp;"列至第"&amp;B35&amp;"列合計扣除第"&amp;B36&amp;"列至第"&amp;B40-1&amp;"列合計後之數額"</f>
        <v>自有資本額：第26列至第28列合計扣除第29列至第32列合計後之數額</v>
      </c>
      <c r="E40" s="2765"/>
      <c r="F40" s="2766"/>
      <c r="G40" s="2228">
        <f>SUM(G33:G35)-SUM(G36:G39)</f>
        <v>0</v>
      </c>
      <c r="H40" s="2259"/>
      <c r="I40" s="2244"/>
    </row>
    <row r="41" spans="1:9" ht="17.25" thickBot="1">
      <c r="A41" s="2241" t="s">
        <v>5621</v>
      </c>
      <c r="B41" s="2262">
        <f>B40+1</f>
        <v>34</v>
      </c>
      <c r="C41" s="2767" t="s">
        <v>8537</v>
      </c>
      <c r="D41" s="2768" t="str">
        <f>"自有資本：Min(第"&amp;B40&amp;"列自有資本額,第"&amp;B7&amp;"列限額)"</f>
        <v>自有資本：Min(第33列自有資本額,第2列限額)</v>
      </c>
      <c r="E41" s="2263"/>
      <c r="F41" s="2264"/>
      <c r="G41" s="2265">
        <f ca="1">MIN(G40,G7)</f>
        <v>0</v>
      </c>
      <c r="H41" s="2266"/>
      <c r="I41" s="2244"/>
    </row>
    <row r="42" spans="1:9" ht="16.5">
      <c r="A42" s="2267"/>
      <c r="B42" s="2246">
        <f>B41+1</f>
        <v>35</v>
      </c>
      <c r="C42" s="2247" t="s">
        <v>8538</v>
      </c>
      <c r="D42" s="2769" t="str">
        <f>"第"&amp;B66&amp;"列金額"&amp;TEXT(1-VLOOKUP(H62,G63:H66,2,0),"##%")&amp;"之部分"</f>
        <v>第56列金額50%之部分</v>
      </c>
      <c r="E42" s="2248">
        <f>E66-E43</f>
        <v>0</v>
      </c>
      <c r="F42" s="2249">
        <v>1</v>
      </c>
      <c r="G42" s="2250">
        <f t="shared" ref="G42:G48" si="7">ROUND(E42*F42,0)</f>
        <v>0</v>
      </c>
      <c r="H42" s="2251"/>
    </row>
    <row r="43" spans="1:9" ht="16.5">
      <c r="A43" s="2261"/>
      <c r="B43" s="2231">
        <f t="shared" ref="B43:B58" si="8">B42+1</f>
        <v>36</v>
      </c>
      <c r="C43" s="2252" t="s">
        <v>8539</v>
      </c>
      <c r="D43" s="2770" t="str">
        <f>"第"&amp;B66&amp;"列金額"&amp;TEXT(VLOOKUP(H62,G63:H66,2,0),"##%")&amp;"之部分"</f>
        <v>第56列金額50%之部分</v>
      </c>
      <c r="E43" s="2254">
        <f>E66*VLOOKUP(H62,G63:H66,2,0)</f>
        <v>0</v>
      </c>
      <c r="F43" s="2208">
        <v>1</v>
      </c>
      <c r="G43" s="2232">
        <f t="shared" si="7"/>
        <v>0</v>
      </c>
      <c r="H43" s="2235"/>
    </row>
    <row r="44" spans="1:9" ht="33">
      <c r="A44" s="2261"/>
      <c r="B44" s="2231">
        <f t="shared" si="8"/>
        <v>37</v>
      </c>
      <c r="C44" s="2252" t="s">
        <v>8540</v>
      </c>
      <c r="D44" s="2253" t="s">
        <v>8541</v>
      </c>
      <c r="E44" s="2268">
        <f>'表30-8-1'!M31</f>
        <v>0</v>
      </c>
      <c r="F44" s="2208">
        <v>1</v>
      </c>
      <c r="G44" s="2232">
        <f t="shared" si="7"/>
        <v>0</v>
      </c>
      <c r="H44" s="2235"/>
    </row>
    <row r="45" spans="1:9" ht="49.5">
      <c r="A45" s="2211" t="s">
        <v>5623</v>
      </c>
      <c r="B45" s="2231">
        <f t="shared" si="8"/>
        <v>38</v>
      </c>
      <c r="C45" s="2252" t="s">
        <v>8542</v>
      </c>
      <c r="D45" s="2252" t="s">
        <v>8543</v>
      </c>
      <c r="E45" s="2268">
        <f>'表30-8-2'!M31</f>
        <v>0</v>
      </c>
      <c r="F45" s="2208">
        <v>1</v>
      </c>
      <c r="G45" s="2232">
        <f t="shared" si="7"/>
        <v>0</v>
      </c>
      <c r="H45" s="2235"/>
    </row>
    <row r="46" spans="1:9" ht="33">
      <c r="A46" s="2238" t="s">
        <v>5624</v>
      </c>
      <c r="B46" s="2231">
        <f t="shared" si="8"/>
        <v>39</v>
      </c>
      <c r="C46" s="2252" t="s">
        <v>8544</v>
      </c>
      <c r="D46" s="516" t="s">
        <v>8545</v>
      </c>
      <c r="E46" s="2269">
        <f>'表30-8-1'!M33</f>
        <v>0</v>
      </c>
      <c r="F46" s="2208">
        <v>1</v>
      </c>
      <c r="G46" s="2232">
        <f t="shared" si="7"/>
        <v>0</v>
      </c>
      <c r="H46" s="2235"/>
    </row>
    <row r="47" spans="1:9" ht="33">
      <c r="A47" s="2261"/>
      <c r="B47" s="2231">
        <f t="shared" si="8"/>
        <v>40</v>
      </c>
      <c r="C47" s="2252" t="s">
        <v>8546</v>
      </c>
      <c r="D47" s="516" t="s">
        <v>8547</v>
      </c>
      <c r="E47" s="2269">
        <f>'表30-8-2'!M33</f>
        <v>0</v>
      </c>
      <c r="F47" s="2208">
        <v>1</v>
      </c>
      <c r="G47" s="2232">
        <f t="shared" si="7"/>
        <v>0</v>
      </c>
      <c r="H47" s="2235"/>
    </row>
    <row r="48" spans="1:9" ht="33">
      <c r="A48" s="2261"/>
      <c r="B48" s="2231">
        <f>B47+1</f>
        <v>41</v>
      </c>
      <c r="C48" s="2252" t="s">
        <v>8548</v>
      </c>
      <c r="D48" s="2252" t="s">
        <v>8549</v>
      </c>
      <c r="E48" s="2269">
        <f>'表30-8-2'!M34</f>
        <v>0</v>
      </c>
      <c r="F48" s="2208">
        <v>1</v>
      </c>
      <c r="G48" s="2232">
        <f t="shared" si="7"/>
        <v>0</v>
      </c>
      <c r="H48" s="2235"/>
      <c r="I48" s="2244"/>
    </row>
    <row r="49" spans="1:9" ht="16.5">
      <c r="A49" s="2261"/>
      <c r="B49" s="2231">
        <f>B48+1</f>
        <v>42</v>
      </c>
      <c r="C49" s="2252" t="s">
        <v>8550</v>
      </c>
      <c r="D49" s="2770" t="str">
        <f>"自有資本額：第"&amp;B40&amp;"列扣除第"&amp;B41&amp;"列"</f>
        <v>自有資本額：第33列扣除第34列</v>
      </c>
      <c r="E49" s="2771"/>
      <c r="F49" s="2208">
        <v>1</v>
      </c>
      <c r="G49" s="2232">
        <f ca="1">G40-G41</f>
        <v>0</v>
      </c>
      <c r="H49" s="2235"/>
      <c r="I49" s="2244"/>
    </row>
    <row r="50" spans="1:9" ht="33">
      <c r="A50" s="2261"/>
      <c r="B50" s="2231">
        <f t="shared" si="8"/>
        <v>43</v>
      </c>
      <c r="C50" s="2252" t="s">
        <v>8551</v>
      </c>
      <c r="D50" s="2236"/>
      <c r="E50" s="2237"/>
      <c r="F50" s="2208">
        <v>1</v>
      </c>
      <c r="G50" s="2232">
        <f>ROUND(E50*F50,0)</f>
        <v>0</v>
      </c>
      <c r="H50" s="2235"/>
    </row>
    <row r="51" spans="1:9" ht="33.75" thickBot="1">
      <c r="A51" s="2270"/>
      <c r="B51" s="2239">
        <f t="shared" si="8"/>
        <v>44</v>
      </c>
      <c r="C51" s="2761" t="s">
        <v>8552</v>
      </c>
      <c r="D51" s="2255"/>
      <c r="E51" s="2753"/>
      <c r="F51" s="2754">
        <v>1</v>
      </c>
      <c r="G51" s="2256">
        <f>ROUND(E51*F51,0)</f>
        <v>0</v>
      </c>
      <c r="H51" s="2240"/>
      <c r="I51" s="2244"/>
    </row>
    <row r="52" spans="1:9" ht="66">
      <c r="A52" s="2261"/>
      <c r="B52" s="2227">
        <f t="shared" si="8"/>
        <v>45</v>
      </c>
      <c r="C52" s="2748" t="s">
        <v>8553</v>
      </c>
      <c r="D52" s="2258"/>
      <c r="E52" s="2762"/>
      <c r="F52" s="2229">
        <v>1</v>
      </c>
      <c r="G52" s="2228">
        <f t="shared" ref="G52:G55" si="9">ROUND(E52*F52,0)</f>
        <v>0</v>
      </c>
      <c r="H52" s="2259"/>
      <c r="I52" s="2244"/>
    </row>
    <row r="53" spans="1:9" ht="49.5">
      <c r="A53" s="2211" t="s">
        <v>5623</v>
      </c>
      <c r="B53" s="2231">
        <f t="shared" si="8"/>
        <v>46</v>
      </c>
      <c r="C53" s="2749" t="s">
        <v>8554</v>
      </c>
      <c r="D53" s="2345"/>
      <c r="E53" s="2772"/>
      <c r="F53" s="2773">
        <v>1</v>
      </c>
      <c r="G53" s="2346">
        <f t="shared" si="9"/>
        <v>0</v>
      </c>
      <c r="H53" s="2347"/>
      <c r="I53" s="2244"/>
    </row>
    <row r="54" spans="1:9" ht="49.5">
      <c r="A54" s="2238" t="s">
        <v>5702</v>
      </c>
      <c r="B54" s="2344">
        <f t="shared" si="8"/>
        <v>47</v>
      </c>
      <c r="C54" s="2749" t="s">
        <v>8555</v>
      </c>
      <c r="D54" s="2236"/>
      <c r="E54" s="2237"/>
      <c r="F54" s="2208">
        <v>1</v>
      </c>
      <c r="G54" s="2232">
        <f t="shared" si="9"/>
        <v>0</v>
      </c>
      <c r="H54" s="2235"/>
      <c r="I54" s="2244"/>
    </row>
    <row r="55" spans="1:9" ht="33.75" thickBot="1">
      <c r="A55" s="2271"/>
      <c r="B55" s="2239">
        <f t="shared" si="8"/>
        <v>48</v>
      </c>
      <c r="C55" s="2752" t="s">
        <v>8556</v>
      </c>
      <c r="D55" s="2255"/>
      <c r="E55" s="2753"/>
      <c r="F55" s="2754">
        <v>1</v>
      </c>
      <c r="G55" s="2256">
        <f t="shared" si="9"/>
        <v>0</v>
      </c>
      <c r="H55" s="2240"/>
      <c r="I55" s="2244"/>
    </row>
    <row r="56" spans="1:9" ht="16.5">
      <c r="A56" s="2261"/>
      <c r="B56" s="2227">
        <f>B55+1</f>
        <v>49</v>
      </c>
      <c r="C56" s="2763" t="s">
        <v>8557</v>
      </c>
      <c r="D56" s="2774" t="str">
        <f>"自有資本額：第"&amp;B42&amp;"列至第"&amp;B51&amp;"列合計扣除第"&amp;B52&amp;"列至第"&amp;B56-1&amp;"列合計後之數額"</f>
        <v>自有資本額：第35列至第44列合計扣除第45列至第48列合計後之數額</v>
      </c>
      <c r="E56" s="2272"/>
      <c r="F56" s="2273"/>
      <c r="G56" s="2274">
        <f ca="1">G42+SUM(G43:G51)-SUM(G52:G55)</f>
        <v>0</v>
      </c>
      <c r="H56" s="2259"/>
      <c r="I56" s="2244"/>
    </row>
    <row r="57" spans="1:9" ht="16.5">
      <c r="A57" s="2261" t="s">
        <v>5623</v>
      </c>
      <c r="B57" s="2275">
        <f t="shared" si="8"/>
        <v>50</v>
      </c>
      <c r="C57" s="2775" t="s">
        <v>8558</v>
      </c>
      <c r="D57" s="2776" t="str">
        <f>"自有資本：Min(第"&amp;B56&amp;"列扣除第"&amp;B42&amp;"列後之自有資本額,第"&amp;B8&amp;"列限額)"</f>
        <v>自有資本：Min(第49列扣除第35列後之自有資本額,第3列限額)</v>
      </c>
      <c r="E57" s="2276"/>
      <c r="F57" s="2277"/>
      <c r="G57" s="2278">
        <f ca="1">G42+MIN(SUM(G43:G51)-SUM(G52:G55),G8)</f>
        <v>0</v>
      </c>
      <c r="H57" s="2235"/>
      <c r="I57" s="2244"/>
    </row>
    <row r="58" spans="1:9" ht="17.25" thickBot="1">
      <c r="A58" s="2279"/>
      <c r="B58" s="2280">
        <f t="shared" si="8"/>
        <v>51</v>
      </c>
      <c r="C58" s="2777" t="s">
        <v>8559</v>
      </c>
      <c r="D58" s="2778" t="str">
        <f>"自有資本額：第"&amp;B56&amp;"列扣除第"&amp;B57&amp;"列"</f>
        <v>自有資本額：第49列扣除第50列</v>
      </c>
      <c r="E58" s="2281"/>
      <c r="F58" s="2282"/>
      <c r="G58" s="2283">
        <f ca="1">G56-G57</f>
        <v>0</v>
      </c>
      <c r="H58" s="2266"/>
      <c r="I58" s="2244"/>
    </row>
    <row r="59" spans="1:9" ht="17.25" thickBot="1">
      <c r="A59" s="2284"/>
      <c r="B59" s="2285">
        <f>B58+1</f>
        <v>52</v>
      </c>
      <c r="C59" s="2779" t="s">
        <v>8560</v>
      </c>
      <c r="D59" s="2780" t="str">
        <f>"自有資本額：第"&amp;B32&amp;"列加第"&amp;B41&amp;"加第"&amp;B57&amp;"列"</f>
        <v>自有資本額：第25列加第34加第50列</v>
      </c>
      <c r="E59" s="2286"/>
      <c r="F59" s="2287"/>
      <c r="G59" s="2288">
        <f ca="1">G32+G41+G57</f>
        <v>0</v>
      </c>
      <c r="H59" s="2289"/>
      <c r="I59" s="2244"/>
    </row>
    <row r="61" spans="1:9" ht="17.25" thickBot="1">
      <c r="B61" s="2192" t="s">
        <v>8561</v>
      </c>
      <c r="G61" s="2781" t="s">
        <v>8562</v>
      </c>
      <c r="H61" s="2782"/>
    </row>
    <row r="62" spans="1:9" ht="17.25" thickBot="1">
      <c r="B62" s="2290" t="s">
        <v>5400</v>
      </c>
      <c r="C62" s="2195" t="s">
        <v>3590</v>
      </c>
      <c r="D62" s="2195" t="s">
        <v>8488</v>
      </c>
      <c r="E62" s="2291" t="s">
        <v>293</v>
      </c>
      <c r="G62" s="2783" t="s">
        <v>8563</v>
      </c>
      <c r="H62" s="2292">
        <v>113</v>
      </c>
    </row>
    <row r="63" spans="1:9" ht="33.75" customHeight="1">
      <c r="B63" s="2293">
        <f>B59+1</f>
        <v>53</v>
      </c>
      <c r="C63" s="2784" t="s">
        <v>8564</v>
      </c>
      <c r="D63" s="2294" t="s">
        <v>8565</v>
      </c>
      <c r="E63" s="2295">
        <f>'表30-8-3'!D6</f>
        <v>0</v>
      </c>
      <c r="F63" s="2296"/>
      <c r="G63" s="2785">
        <v>112</v>
      </c>
      <c r="H63" s="2786">
        <v>0.25</v>
      </c>
    </row>
    <row r="64" spans="1:9" ht="33.75" customHeight="1">
      <c r="B64" s="2231">
        <f>B63+1</f>
        <v>54</v>
      </c>
      <c r="C64" s="2252" t="s">
        <v>8566</v>
      </c>
      <c r="D64" s="2253" t="s">
        <v>8567</v>
      </c>
      <c r="E64" s="2297">
        <f>'表30-8-3'!B6</f>
        <v>0</v>
      </c>
      <c r="F64" s="2296"/>
      <c r="G64" s="2787">
        <v>113</v>
      </c>
      <c r="H64" s="2788">
        <v>0.5</v>
      </c>
    </row>
    <row r="65" spans="2:12" ht="33.75" customHeight="1">
      <c r="B65" s="2231">
        <f t="shared" ref="B65:B66" si="10">B64+1</f>
        <v>55</v>
      </c>
      <c r="C65" s="2252" t="s">
        <v>8519</v>
      </c>
      <c r="D65" s="2253" t="s">
        <v>8568</v>
      </c>
      <c r="E65" s="2297">
        <f>'表30-8-3'!C6</f>
        <v>0</v>
      </c>
      <c r="F65" s="2296"/>
      <c r="G65" s="2787">
        <v>114</v>
      </c>
      <c r="H65" s="2788">
        <v>0.75</v>
      </c>
    </row>
    <row r="66" spans="2:12" ht="33.75" customHeight="1" thickBot="1">
      <c r="B66" s="2280">
        <f t="shared" si="10"/>
        <v>56</v>
      </c>
      <c r="C66" s="2777" t="s">
        <v>8569</v>
      </c>
      <c r="D66" s="2789" t="str">
        <f>"第"&amp;B63&amp;"列至第"&amp;B65&amp;"列合計"</f>
        <v>第53列至第55列合計</v>
      </c>
      <c r="E66" s="2298">
        <f>SUM(E63:E65)</f>
        <v>0</v>
      </c>
      <c r="F66" s="2296"/>
      <c r="G66" s="2790">
        <v>115</v>
      </c>
      <c r="H66" s="2791">
        <v>1</v>
      </c>
    </row>
    <row r="67" spans="2:12" ht="33" customHeight="1">
      <c r="D67" s="2299"/>
      <c r="E67" s="2300"/>
      <c r="F67" s="517"/>
      <c r="I67" s="2244"/>
    </row>
    <row r="68" spans="2:12" ht="16.5">
      <c r="B68" s="519" t="s">
        <v>5625</v>
      </c>
      <c r="C68" s="414"/>
      <c r="D68" s="414"/>
      <c r="E68" s="414"/>
      <c r="F68" s="2296"/>
      <c r="G68" s="2301"/>
      <c r="I68" s="2302"/>
      <c r="J68" s="2303"/>
      <c r="L68" s="2304"/>
    </row>
    <row r="69" spans="2:12" ht="16.5">
      <c r="B69" s="2305" t="s">
        <v>5626</v>
      </c>
      <c r="F69" s="414"/>
      <c r="G69" s="414"/>
    </row>
    <row r="70" spans="2:12" ht="16.5">
      <c r="B70" s="519" t="s">
        <v>5627</v>
      </c>
    </row>
    <row r="72" spans="2:12">
      <c r="C72" s="519"/>
    </row>
    <row r="73" spans="2:12">
      <c r="C73" s="519"/>
    </row>
    <row r="74" spans="2:12">
      <c r="C74" s="519"/>
    </row>
    <row r="75" spans="2:12">
      <c r="C75" s="519"/>
    </row>
  </sheetData>
  <phoneticPr fontId="30" type="noConversion"/>
  <printOptions horizontalCentered="1"/>
  <pageMargins left="0.31496062992125984" right="0.31496062992125984" top="0.3" bottom="0.33" header="0.2" footer="0.2"/>
  <pageSetup paperSize="9" scale="4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tabColor rgb="FFFFFF00"/>
    <pageSetUpPr fitToPage="1"/>
  </sheetPr>
  <dimension ref="A1:N47"/>
  <sheetViews>
    <sheetView zoomScaleNormal="100" zoomScaleSheetLayoutView="110" workbookViewId="0">
      <selection activeCell="A47" sqref="A47"/>
    </sheetView>
  </sheetViews>
  <sheetFormatPr defaultColWidth="9" defaultRowHeight="15.75"/>
  <cols>
    <col min="1" max="1" width="5.625" style="27" customWidth="1"/>
    <col min="2" max="13" width="15.625" style="27" customWidth="1"/>
    <col min="14" max="14" width="30.625" style="27" customWidth="1"/>
    <col min="15" max="16384" width="9" style="27"/>
  </cols>
  <sheetData>
    <row r="1" spans="1:14" ht="16.5">
      <c r="A1" s="495" t="str">
        <f>+封面!A3&amp;" "&amp;封面!A2</f>
        <v xml:space="preserve"> 中央再保險股份有限公司 年度檢查報表</v>
      </c>
      <c r="B1" s="426"/>
      <c r="C1" s="426"/>
      <c r="D1" s="426"/>
      <c r="E1" s="426"/>
      <c r="F1" s="426"/>
    </row>
    <row r="2" spans="1:14" ht="16.5">
      <c r="A2" s="27" t="s">
        <v>3438</v>
      </c>
    </row>
    <row r="3" spans="1:14" s="496" customFormat="1" ht="16.5">
      <c r="A3" s="496" t="s">
        <v>3692</v>
      </c>
      <c r="M3" s="497"/>
      <c r="N3" s="497" t="s">
        <v>3665</v>
      </c>
    </row>
    <row r="4" spans="1:14" ht="49.5">
      <c r="A4" s="3400" t="s">
        <v>3565</v>
      </c>
      <c r="B4" s="498" t="s">
        <v>3693</v>
      </c>
      <c r="C4" s="498" t="s">
        <v>3667</v>
      </c>
      <c r="D4" s="498" t="s">
        <v>3668</v>
      </c>
      <c r="E4" s="498" t="s">
        <v>3694</v>
      </c>
      <c r="F4" s="498" t="s">
        <v>3670</v>
      </c>
      <c r="G4" s="498" t="s">
        <v>3671</v>
      </c>
      <c r="H4" s="498" t="s">
        <v>3672</v>
      </c>
      <c r="I4" s="69" t="s">
        <v>3673</v>
      </c>
      <c r="J4" s="69" t="s">
        <v>3674</v>
      </c>
      <c r="K4" s="498" t="s">
        <v>3675</v>
      </c>
      <c r="L4" s="500" t="s">
        <v>2575</v>
      </c>
      <c r="M4" s="500" t="s">
        <v>2576</v>
      </c>
      <c r="N4" s="498" t="s">
        <v>3676</v>
      </c>
    </row>
    <row r="5" spans="1:14">
      <c r="A5" s="3400"/>
      <c r="B5" s="498">
        <v>1</v>
      </c>
      <c r="C5" s="498">
        <v>2</v>
      </c>
      <c r="D5" s="498">
        <v>3</v>
      </c>
      <c r="E5" s="498">
        <v>4</v>
      </c>
      <c r="F5" s="498">
        <v>5</v>
      </c>
      <c r="G5" s="498">
        <v>6</v>
      </c>
      <c r="H5" s="498">
        <v>7</v>
      </c>
      <c r="I5" s="69">
        <v>8</v>
      </c>
      <c r="J5" s="69">
        <v>9</v>
      </c>
      <c r="K5" s="69">
        <v>10</v>
      </c>
      <c r="L5" s="69">
        <v>11</v>
      </c>
      <c r="M5" s="69">
        <v>12</v>
      </c>
      <c r="N5" s="69">
        <v>13</v>
      </c>
    </row>
    <row r="6" spans="1:14">
      <c r="A6" s="498">
        <v>1</v>
      </c>
      <c r="B6" s="501"/>
      <c r="C6" s="502"/>
      <c r="D6" s="502"/>
      <c r="E6" s="502"/>
      <c r="F6" s="502"/>
      <c r="G6" s="502"/>
      <c r="H6" s="502"/>
      <c r="I6" s="502"/>
      <c r="J6" s="502"/>
      <c r="K6" s="502"/>
      <c r="L6" s="502"/>
      <c r="M6" s="502"/>
      <c r="N6" s="502"/>
    </row>
    <row r="7" spans="1:14">
      <c r="A7" s="498">
        <f t="shared" ref="A7:A34" si="0">A6+1</f>
        <v>2</v>
      </c>
      <c r="B7" s="502"/>
      <c r="C7" s="502"/>
      <c r="D7" s="502"/>
      <c r="E7" s="502"/>
      <c r="F7" s="502"/>
      <c r="G7" s="502"/>
      <c r="H7" s="502"/>
      <c r="I7" s="502"/>
      <c r="J7" s="502"/>
      <c r="K7" s="502"/>
      <c r="L7" s="502"/>
      <c r="M7" s="502"/>
      <c r="N7" s="502"/>
    </row>
    <row r="8" spans="1:14">
      <c r="A8" s="498">
        <f t="shared" si="0"/>
        <v>3</v>
      </c>
      <c r="B8" s="502"/>
      <c r="C8" s="502"/>
      <c r="D8" s="502"/>
      <c r="E8" s="502"/>
      <c r="F8" s="502"/>
      <c r="G8" s="502"/>
      <c r="H8" s="502"/>
      <c r="I8" s="502"/>
      <c r="J8" s="502"/>
      <c r="K8" s="502"/>
      <c r="L8" s="502"/>
      <c r="M8" s="502"/>
      <c r="N8" s="502"/>
    </row>
    <row r="9" spans="1:14">
      <c r="A9" s="498">
        <f t="shared" si="0"/>
        <v>4</v>
      </c>
      <c r="B9" s="502"/>
      <c r="C9" s="502"/>
      <c r="D9" s="502"/>
      <c r="E9" s="502"/>
      <c r="F9" s="502"/>
      <c r="G9" s="502"/>
      <c r="H9" s="502"/>
      <c r="I9" s="502"/>
      <c r="J9" s="502"/>
      <c r="K9" s="502"/>
      <c r="L9" s="502"/>
      <c r="M9" s="502"/>
      <c r="N9" s="502"/>
    </row>
    <row r="10" spans="1:14">
      <c r="A10" s="498">
        <f t="shared" si="0"/>
        <v>5</v>
      </c>
      <c r="B10" s="502"/>
      <c r="C10" s="502"/>
      <c r="D10" s="502"/>
      <c r="E10" s="502"/>
      <c r="F10" s="502"/>
      <c r="G10" s="502"/>
      <c r="H10" s="502"/>
      <c r="I10" s="502"/>
      <c r="J10" s="502"/>
      <c r="K10" s="502"/>
      <c r="L10" s="502"/>
      <c r="M10" s="502"/>
      <c r="N10" s="502"/>
    </row>
    <row r="11" spans="1:14">
      <c r="A11" s="498">
        <f t="shared" si="0"/>
        <v>6</v>
      </c>
      <c r="B11" s="502"/>
      <c r="C11" s="502"/>
      <c r="D11" s="502"/>
      <c r="E11" s="502"/>
      <c r="F11" s="502"/>
      <c r="G11" s="502"/>
      <c r="H11" s="502"/>
      <c r="I11" s="502"/>
      <c r="J11" s="502"/>
      <c r="K11" s="502"/>
      <c r="L11" s="502"/>
      <c r="M11" s="502"/>
      <c r="N11" s="502"/>
    </row>
    <row r="12" spans="1:14">
      <c r="A12" s="498">
        <f t="shared" si="0"/>
        <v>7</v>
      </c>
      <c r="B12" s="502"/>
      <c r="C12" s="502"/>
      <c r="D12" s="502"/>
      <c r="E12" s="502"/>
      <c r="F12" s="502"/>
      <c r="G12" s="502"/>
      <c r="H12" s="502"/>
      <c r="I12" s="502"/>
      <c r="J12" s="502"/>
      <c r="K12" s="502"/>
      <c r="L12" s="502"/>
      <c r="M12" s="502"/>
      <c r="N12" s="502"/>
    </row>
    <row r="13" spans="1:14">
      <c r="A13" s="498">
        <f t="shared" si="0"/>
        <v>8</v>
      </c>
      <c r="B13" s="502"/>
      <c r="C13" s="502"/>
      <c r="D13" s="502"/>
      <c r="E13" s="502"/>
      <c r="F13" s="502"/>
      <c r="G13" s="502"/>
      <c r="H13" s="502"/>
      <c r="I13" s="502"/>
      <c r="J13" s="502"/>
      <c r="K13" s="502"/>
      <c r="L13" s="502"/>
      <c r="M13" s="502"/>
      <c r="N13" s="502"/>
    </row>
    <row r="14" spans="1:14">
      <c r="A14" s="498">
        <f t="shared" si="0"/>
        <v>9</v>
      </c>
      <c r="B14" s="502"/>
      <c r="C14" s="502"/>
      <c r="D14" s="502"/>
      <c r="E14" s="502"/>
      <c r="F14" s="502"/>
      <c r="G14" s="502"/>
      <c r="H14" s="502"/>
      <c r="I14" s="502"/>
      <c r="J14" s="502"/>
      <c r="K14" s="502"/>
      <c r="L14" s="502"/>
      <c r="M14" s="502"/>
      <c r="N14" s="502"/>
    </row>
    <row r="15" spans="1:14" ht="33">
      <c r="A15" s="498">
        <f t="shared" si="0"/>
        <v>10</v>
      </c>
      <c r="B15" s="67" t="s">
        <v>3677</v>
      </c>
      <c r="C15" s="503"/>
      <c r="D15" s="503"/>
      <c r="E15" s="503"/>
      <c r="F15" s="503"/>
      <c r="G15" s="503"/>
      <c r="H15" s="503"/>
      <c r="I15" s="503"/>
      <c r="J15" s="503"/>
      <c r="K15" s="503"/>
      <c r="L15" s="503"/>
      <c r="M15" s="503"/>
      <c r="N15" s="503" t="s">
        <v>3678</v>
      </c>
    </row>
    <row r="16" spans="1:14">
      <c r="A16" s="498">
        <f t="shared" si="0"/>
        <v>11</v>
      </c>
      <c r="B16" s="502"/>
      <c r="C16" s="502"/>
      <c r="D16" s="502"/>
      <c r="E16" s="502"/>
      <c r="F16" s="502"/>
      <c r="G16" s="502"/>
      <c r="H16" s="502"/>
      <c r="I16" s="502"/>
      <c r="J16" s="502"/>
      <c r="K16" s="502"/>
      <c r="L16" s="502"/>
      <c r="M16" s="502"/>
      <c r="N16" s="502"/>
    </row>
    <row r="17" spans="1:14">
      <c r="A17" s="498">
        <f t="shared" si="0"/>
        <v>12</v>
      </c>
      <c r="B17" s="502"/>
      <c r="C17" s="502"/>
      <c r="D17" s="502"/>
      <c r="E17" s="502"/>
      <c r="F17" s="502"/>
      <c r="G17" s="502"/>
      <c r="H17" s="502"/>
      <c r="I17" s="502"/>
      <c r="J17" s="502"/>
      <c r="K17" s="502"/>
      <c r="L17" s="502"/>
      <c r="M17" s="502"/>
      <c r="N17" s="502"/>
    </row>
    <row r="18" spans="1:14">
      <c r="A18" s="498">
        <f t="shared" si="0"/>
        <v>13</v>
      </c>
      <c r="B18" s="502"/>
      <c r="C18" s="502"/>
      <c r="D18" s="502"/>
      <c r="E18" s="502"/>
      <c r="F18" s="502"/>
      <c r="G18" s="502"/>
      <c r="H18" s="502"/>
      <c r="I18" s="502"/>
      <c r="J18" s="502"/>
      <c r="K18" s="502"/>
      <c r="L18" s="502"/>
      <c r="M18" s="502"/>
      <c r="N18" s="502"/>
    </row>
    <row r="19" spans="1:14">
      <c r="A19" s="498">
        <f t="shared" si="0"/>
        <v>14</v>
      </c>
      <c r="B19" s="502"/>
      <c r="C19" s="502"/>
      <c r="D19" s="502"/>
      <c r="E19" s="502"/>
      <c r="F19" s="502"/>
      <c r="G19" s="502"/>
      <c r="H19" s="502"/>
      <c r="I19" s="502"/>
      <c r="J19" s="502"/>
      <c r="K19" s="502"/>
      <c r="L19" s="502"/>
      <c r="M19" s="502"/>
      <c r="N19" s="502"/>
    </row>
    <row r="20" spans="1:14">
      <c r="A20" s="498">
        <f t="shared" si="0"/>
        <v>15</v>
      </c>
      <c r="B20" s="502"/>
      <c r="C20" s="502"/>
      <c r="D20" s="502"/>
      <c r="E20" s="502"/>
      <c r="F20" s="502"/>
      <c r="G20" s="502"/>
      <c r="H20" s="502"/>
      <c r="I20" s="502"/>
      <c r="J20" s="502"/>
      <c r="K20" s="502"/>
      <c r="L20" s="502"/>
      <c r="M20" s="502"/>
      <c r="N20" s="502"/>
    </row>
    <row r="21" spans="1:14">
      <c r="A21" s="498">
        <f t="shared" si="0"/>
        <v>16</v>
      </c>
      <c r="B21" s="502"/>
      <c r="C21" s="502"/>
      <c r="D21" s="502"/>
      <c r="E21" s="502"/>
      <c r="F21" s="502"/>
      <c r="G21" s="502"/>
      <c r="H21" s="502"/>
      <c r="I21" s="502"/>
      <c r="J21" s="502"/>
      <c r="K21" s="502"/>
      <c r="L21" s="502"/>
      <c r="M21" s="502"/>
      <c r="N21" s="502"/>
    </row>
    <row r="22" spans="1:14">
      <c r="A22" s="498">
        <f t="shared" si="0"/>
        <v>17</v>
      </c>
      <c r="B22" s="498"/>
      <c r="C22" s="501"/>
      <c r="D22" s="502"/>
      <c r="E22" s="502"/>
      <c r="F22" s="502"/>
      <c r="G22" s="502"/>
      <c r="H22" s="502"/>
      <c r="I22" s="502"/>
      <c r="J22" s="502"/>
      <c r="K22" s="502"/>
      <c r="L22" s="502"/>
      <c r="M22" s="502"/>
      <c r="N22" s="502"/>
    </row>
    <row r="23" spans="1:14">
      <c r="A23" s="498">
        <f t="shared" si="0"/>
        <v>18</v>
      </c>
      <c r="B23" s="502"/>
      <c r="C23" s="502"/>
      <c r="D23" s="502"/>
      <c r="E23" s="502"/>
      <c r="F23" s="502"/>
      <c r="G23" s="502"/>
      <c r="H23" s="502"/>
      <c r="I23" s="502"/>
      <c r="J23" s="502"/>
      <c r="K23" s="502"/>
      <c r="L23" s="502"/>
      <c r="M23" s="502"/>
      <c r="N23" s="502"/>
    </row>
    <row r="24" spans="1:14">
      <c r="A24" s="498">
        <f t="shared" si="0"/>
        <v>19</v>
      </c>
      <c r="B24" s="498"/>
      <c r="C24" s="501"/>
      <c r="D24" s="502"/>
      <c r="E24" s="502"/>
      <c r="F24" s="502"/>
      <c r="G24" s="502"/>
      <c r="H24" s="502"/>
      <c r="I24" s="502"/>
      <c r="J24" s="502"/>
      <c r="K24" s="502"/>
      <c r="L24" s="502"/>
      <c r="M24" s="502"/>
      <c r="N24" s="502"/>
    </row>
    <row r="25" spans="1:14" ht="33">
      <c r="A25" s="498">
        <f t="shared" si="0"/>
        <v>20</v>
      </c>
      <c r="B25" s="67" t="s">
        <v>3677</v>
      </c>
      <c r="C25" s="503"/>
      <c r="D25" s="503"/>
      <c r="E25" s="503"/>
      <c r="F25" s="503"/>
      <c r="G25" s="503"/>
      <c r="H25" s="503"/>
      <c r="I25" s="503"/>
      <c r="J25" s="503"/>
      <c r="K25" s="503"/>
      <c r="L25" s="503"/>
      <c r="M25" s="503"/>
      <c r="N25" s="503" t="s">
        <v>3678</v>
      </c>
    </row>
    <row r="26" spans="1:14">
      <c r="A26" s="498">
        <f t="shared" si="0"/>
        <v>21</v>
      </c>
      <c r="B26" s="498"/>
      <c r="C26" s="501"/>
      <c r="D26" s="502"/>
      <c r="E26" s="502"/>
      <c r="F26" s="502"/>
      <c r="G26" s="502"/>
      <c r="H26" s="502"/>
      <c r="I26" s="502"/>
      <c r="J26" s="502"/>
      <c r="K26" s="502"/>
      <c r="L26" s="502"/>
      <c r="M26" s="502"/>
      <c r="N26" s="502"/>
    </row>
    <row r="27" spans="1:14">
      <c r="A27" s="498">
        <f t="shared" si="0"/>
        <v>22</v>
      </c>
      <c r="B27" s="502"/>
      <c r="C27" s="502"/>
      <c r="D27" s="502"/>
      <c r="E27" s="502"/>
      <c r="F27" s="502"/>
      <c r="G27" s="502"/>
      <c r="H27" s="502"/>
      <c r="I27" s="502"/>
      <c r="J27" s="502"/>
      <c r="K27" s="502"/>
      <c r="L27" s="502"/>
      <c r="M27" s="502"/>
      <c r="N27" s="502"/>
    </row>
    <row r="28" spans="1:14">
      <c r="A28" s="498">
        <f t="shared" si="0"/>
        <v>23</v>
      </c>
      <c r="B28" s="498"/>
      <c r="C28" s="501"/>
      <c r="D28" s="502"/>
      <c r="E28" s="502"/>
      <c r="F28" s="502"/>
      <c r="G28" s="502"/>
      <c r="H28" s="502"/>
      <c r="I28" s="502"/>
      <c r="J28" s="502"/>
      <c r="K28" s="502"/>
      <c r="L28" s="502"/>
      <c r="M28" s="502"/>
      <c r="N28" s="502"/>
    </row>
    <row r="29" spans="1:14">
      <c r="A29" s="498">
        <f t="shared" si="0"/>
        <v>24</v>
      </c>
      <c r="B29" s="498"/>
      <c r="C29" s="501"/>
      <c r="D29" s="502"/>
      <c r="E29" s="502"/>
      <c r="F29" s="502"/>
      <c r="G29" s="502"/>
      <c r="H29" s="502"/>
      <c r="I29" s="502"/>
      <c r="J29" s="502"/>
      <c r="K29" s="502"/>
      <c r="L29" s="502"/>
      <c r="M29" s="502"/>
      <c r="N29" s="502"/>
    </row>
    <row r="30" spans="1:14">
      <c r="A30" s="498">
        <f t="shared" si="0"/>
        <v>25</v>
      </c>
      <c r="B30" s="498"/>
      <c r="C30" s="501"/>
      <c r="D30" s="502"/>
      <c r="E30" s="502"/>
      <c r="F30" s="502"/>
      <c r="G30" s="502"/>
      <c r="H30" s="502"/>
      <c r="I30" s="502"/>
      <c r="J30" s="502"/>
      <c r="K30" s="502"/>
      <c r="L30" s="502"/>
      <c r="M30" s="502"/>
      <c r="N30" s="502"/>
    </row>
    <row r="31" spans="1:14" ht="16.5" customHeight="1">
      <c r="A31" s="498">
        <f t="shared" si="0"/>
        <v>26</v>
      </c>
      <c r="B31" s="3401" t="s">
        <v>3695</v>
      </c>
      <c r="C31" s="3404" t="s">
        <v>5630</v>
      </c>
      <c r="D31" s="3405"/>
      <c r="E31" s="3405"/>
      <c r="F31" s="3405"/>
      <c r="G31" s="3405"/>
      <c r="H31" s="3405"/>
      <c r="I31" s="3405"/>
      <c r="J31" s="3406"/>
      <c r="K31" s="510"/>
      <c r="L31" s="511"/>
      <c r="M31" s="511"/>
      <c r="N31" s="511"/>
    </row>
    <row r="32" spans="1:14" ht="16.5">
      <c r="A32" s="498">
        <f t="shared" si="0"/>
        <v>27</v>
      </c>
      <c r="B32" s="3402"/>
      <c r="C32" s="3404" t="s">
        <v>8570</v>
      </c>
      <c r="D32" s="3405"/>
      <c r="E32" s="3405"/>
      <c r="F32" s="3405"/>
      <c r="G32" s="3405"/>
      <c r="H32" s="3405"/>
      <c r="I32" s="3405"/>
      <c r="J32" s="3406"/>
      <c r="K32" s="510"/>
      <c r="L32" s="511"/>
      <c r="M32" s="511"/>
      <c r="N32" s="511"/>
    </row>
    <row r="33" spans="1:14" ht="16.5" customHeight="1">
      <c r="A33" s="498">
        <f t="shared" si="0"/>
        <v>28</v>
      </c>
      <c r="B33" s="3403"/>
      <c r="C33" s="3404" t="s">
        <v>2552</v>
      </c>
      <c r="D33" s="3405"/>
      <c r="E33" s="3405"/>
      <c r="F33" s="3405"/>
      <c r="G33" s="3405"/>
      <c r="H33" s="3405"/>
      <c r="I33" s="3405"/>
      <c r="J33" s="3406"/>
      <c r="K33" s="510"/>
      <c r="L33" s="511"/>
      <c r="M33" s="511"/>
      <c r="N33" s="511"/>
    </row>
    <row r="34" spans="1:14" ht="16.5" customHeight="1">
      <c r="A34" s="498">
        <f t="shared" si="0"/>
        <v>29</v>
      </c>
      <c r="B34" s="3407" t="s">
        <v>3696</v>
      </c>
      <c r="C34" s="3408"/>
      <c r="D34" s="3408"/>
      <c r="E34" s="3408"/>
      <c r="F34" s="3408"/>
      <c r="G34" s="3408"/>
      <c r="H34" s="3408"/>
      <c r="I34" s="3408"/>
      <c r="J34" s="3409"/>
      <c r="K34" s="502"/>
      <c r="L34" s="512"/>
      <c r="M34" s="513"/>
      <c r="N34" s="502"/>
    </row>
    <row r="35" spans="1:14" ht="16.5">
      <c r="A35" s="508" t="s">
        <v>3697</v>
      </c>
    </row>
    <row r="36" spans="1:14" s="496" customFormat="1" ht="16.5">
      <c r="A36" s="496" t="s">
        <v>3681</v>
      </c>
    </row>
    <row r="37" spans="1:14" s="496" customFormat="1" ht="16.5">
      <c r="A37" s="509" t="s">
        <v>3682</v>
      </c>
    </row>
    <row r="38" spans="1:14" s="496" customFormat="1" ht="16.5">
      <c r="A38" s="509" t="s">
        <v>3683</v>
      </c>
    </row>
    <row r="39" spans="1:14" s="496" customFormat="1" ht="16.5">
      <c r="A39" s="496" t="s">
        <v>3698</v>
      </c>
    </row>
    <row r="40" spans="1:14" s="496" customFormat="1" ht="16.5">
      <c r="A40" s="496" t="s">
        <v>3685</v>
      </c>
    </row>
    <row r="41" spans="1:14" s="496" customFormat="1" ht="16.5">
      <c r="A41" s="496" t="s">
        <v>3699</v>
      </c>
    </row>
    <row r="42" spans="1:14" s="496" customFormat="1" ht="16.5">
      <c r="A42" s="496" t="s">
        <v>3700</v>
      </c>
    </row>
    <row r="43" spans="1:14" s="496" customFormat="1" ht="16.5">
      <c r="A43" s="496" t="s">
        <v>3688</v>
      </c>
    </row>
    <row r="44" spans="1:14" s="496" customFormat="1" ht="16.5">
      <c r="A44" s="496" t="s">
        <v>3701</v>
      </c>
    </row>
    <row r="45" spans="1:14" ht="16.5">
      <c r="A45" s="496" t="s">
        <v>3690</v>
      </c>
    </row>
    <row r="46" spans="1:14" ht="16.5">
      <c r="A46" s="496" t="s">
        <v>3691</v>
      </c>
    </row>
    <row r="47" spans="1:14" ht="16.5">
      <c r="A47" s="2636" t="s">
        <v>8571</v>
      </c>
    </row>
  </sheetData>
  <mergeCells count="6">
    <mergeCell ref="A4:A5"/>
    <mergeCell ref="B31:B33"/>
    <mergeCell ref="C31:J31"/>
    <mergeCell ref="C33:J33"/>
    <mergeCell ref="B34:J34"/>
    <mergeCell ref="C32:J32"/>
  </mergeCells>
  <phoneticPr fontId="30"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tabColor rgb="FFFFFF00"/>
    <pageSetUpPr fitToPage="1"/>
  </sheetPr>
  <dimension ref="A1:N48"/>
  <sheetViews>
    <sheetView workbookViewId="0">
      <selection activeCell="A48" sqref="A48"/>
    </sheetView>
  </sheetViews>
  <sheetFormatPr defaultColWidth="9" defaultRowHeight="15.75"/>
  <cols>
    <col min="1" max="1" width="5.625" style="27" customWidth="1"/>
    <col min="2" max="13" width="15.625" style="27" customWidth="1"/>
    <col min="14" max="14" width="30.625" style="496" customWidth="1"/>
    <col min="15" max="16384" width="9" style="27"/>
  </cols>
  <sheetData>
    <row r="1" spans="1:14" ht="16.5">
      <c r="A1" s="495" t="str">
        <f>+封面!A3&amp;" "&amp;封面!A2</f>
        <v xml:space="preserve"> 中央再保險股份有限公司 年度檢查報表</v>
      </c>
      <c r="B1" s="426"/>
      <c r="C1" s="426"/>
      <c r="D1" s="426"/>
      <c r="E1" s="426"/>
      <c r="F1" s="426"/>
    </row>
    <row r="2" spans="1:14" ht="16.5">
      <c r="A2" s="27" t="s">
        <v>3439</v>
      </c>
    </row>
    <row r="3" spans="1:14" s="496" customFormat="1" ht="16.5">
      <c r="A3" s="496" t="s">
        <v>3664</v>
      </c>
      <c r="N3" s="497" t="s">
        <v>3665</v>
      </c>
    </row>
    <row r="4" spans="1:14" ht="49.5">
      <c r="A4" s="3410" t="s">
        <v>3565</v>
      </c>
      <c r="B4" s="498" t="s">
        <v>3666</v>
      </c>
      <c r="C4" s="498" t="s">
        <v>3667</v>
      </c>
      <c r="D4" s="499" t="s">
        <v>3668</v>
      </c>
      <c r="E4" s="498" t="s">
        <v>3669</v>
      </c>
      <c r="F4" s="498" t="s">
        <v>3670</v>
      </c>
      <c r="G4" s="498" t="s">
        <v>3671</v>
      </c>
      <c r="H4" s="498" t="s">
        <v>3672</v>
      </c>
      <c r="I4" s="69" t="s">
        <v>3673</v>
      </c>
      <c r="J4" s="69" t="s">
        <v>3674</v>
      </c>
      <c r="K4" s="69" t="s">
        <v>3675</v>
      </c>
      <c r="L4" s="500" t="s">
        <v>2575</v>
      </c>
      <c r="M4" s="500" t="s">
        <v>2576</v>
      </c>
      <c r="N4" s="69" t="s">
        <v>3676</v>
      </c>
    </row>
    <row r="5" spans="1:14">
      <c r="A5" s="3411"/>
      <c r="B5" s="498">
        <v>1</v>
      </c>
      <c r="C5" s="498">
        <v>2</v>
      </c>
      <c r="D5" s="498">
        <v>3</v>
      </c>
      <c r="E5" s="498">
        <v>4</v>
      </c>
      <c r="F5" s="498">
        <v>5</v>
      </c>
      <c r="G5" s="498">
        <v>6</v>
      </c>
      <c r="H5" s="498">
        <v>7</v>
      </c>
      <c r="I5" s="69">
        <v>8</v>
      </c>
      <c r="J5" s="69">
        <v>9</v>
      </c>
      <c r="K5" s="69">
        <v>10</v>
      </c>
      <c r="L5" s="69">
        <v>11</v>
      </c>
      <c r="M5" s="69">
        <v>12</v>
      </c>
      <c r="N5" s="69">
        <v>13</v>
      </c>
    </row>
    <row r="6" spans="1:14">
      <c r="A6" s="498">
        <v>1</v>
      </c>
      <c r="B6" s="501"/>
      <c r="C6" s="502"/>
      <c r="D6" s="502"/>
      <c r="E6" s="502"/>
      <c r="F6" s="502"/>
      <c r="G6" s="502"/>
      <c r="H6" s="502"/>
      <c r="I6" s="502"/>
      <c r="J6" s="502"/>
      <c r="K6" s="502"/>
      <c r="L6" s="502"/>
      <c r="M6" s="502"/>
      <c r="N6" s="503"/>
    </row>
    <row r="7" spans="1:14">
      <c r="A7" s="498">
        <f t="shared" ref="A7:A35" si="0">A6+1</f>
        <v>2</v>
      </c>
      <c r="B7" s="502"/>
      <c r="C7" s="502"/>
      <c r="D7" s="502"/>
      <c r="E7" s="502"/>
      <c r="F7" s="502"/>
      <c r="G7" s="502"/>
      <c r="H7" s="502"/>
      <c r="I7" s="502"/>
      <c r="J7" s="502"/>
      <c r="K7" s="502"/>
      <c r="L7" s="502"/>
      <c r="M7" s="502"/>
      <c r="N7" s="503"/>
    </row>
    <row r="8" spans="1:14">
      <c r="A8" s="498">
        <f t="shared" si="0"/>
        <v>3</v>
      </c>
      <c r="B8" s="502"/>
      <c r="C8" s="502"/>
      <c r="D8" s="502"/>
      <c r="E8" s="502"/>
      <c r="F8" s="502"/>
      <c r="G8" s="502"/>
      <c r="H8" s="502"/>
      <c r="I8" s="502"/>
      <c r="J8" s="502"/>
      <c r="K8" s="502"/>
      <c r="L8" s="502"/>
      <c r="M8" s="502"/>
      <c r="N8" s="503"/>
    </row>
    <row r="9" spans="1:14">
      <c r="A9" s="498">
        <f t="shared" si="0"/>
        <v>4</v>
      </c>
      <c r="B9" s="502"/>
      <c r="C9" s="502"/>
      <c r="D9" s="502"/>
      <c r="E9" s="502"/>
      <c r="F9" s="502"/>
      <c r="G9" s="502"/>
      <c r="H9" s="502"/>
      <c r="I9" s="502"/>
      <c r="J9" s="502"/>
      <c r="K9" s="502"/>
      <c r="L9" s="502"/>
      <c r="M9" s="502"/>
      <c r="N9" s="503"/>
    </row>
    <row r="10" spans="1:14">
      <c r="A10" s="498">
        <f t="shared" si="0"/>
        <v>5</v>
      </c>
      <c r="B10" s="502"/>
      <c r="C10" s="502"/>
      <c r="D10" s="502"/>
      <c r="E10" s="502"/>
      <c r="F10" s="502"/>
      <c r="G10" s="502"/>
      <c r="H10" s="502"/>
      <c r="I10" s="502"/>
      <c r="J10" s="502"/>
      <c r="K10" s="502"/>
      <c r="L10" s="502"/>
      <c r="M10" s="502"/>
      <c r="N10" s="503"/>
    </row>
    <row r="11" spans="1:14">
      <c r="A11" s="498">
        <f t="shared" si="0"/>
        <v>6</v>
      </c>
      <c r="B11" s="502"/>
      <c r="C11" s="502"/>
      <c r="D11" s="502"/>
      <c r="E11" s="502"/>
      <c r="F11" s="502"/>
      <c r="G11" s="502"/>
      <c r="H11" s="502"/>
      <c r="I11" s="502"/>
      <c r="J11" s="502"/>
      <c r="K11" s="502"/>
      <c r="L11" s="502"/>
      <c r="M11" s="502"/>
      <c r="N11" s="503"/>
    </row>
    <row r="12" spans="1:14">
      <c r="A12" s="498">
        <f t="shared" si="0"/>
        <v>7</v>
      </c>
      <c r="B12" s="502"/>
      <c r="C12" s="502"/>
      <c r="D12" s="502"/>
      <c r="E12" s="502"/>
      <c r="F12" s="502"/>
      <c r="G12" s="502"/>
      <c r="H12" s="502"/>
      <c r="I12" s="502"/>
      <c r="J12" s="502"/>
      <c r="K12" s="502"/>
      <c r="L12" s="502"/>
      <c r="M12" s="502"/>
      <c r="N12" s="503"/>
    </row>
    <row r="13" spans="1:14">
      <c r="A13" s="498">
        <f t="shared" si="0"/>
        <v>8</v>
      </c>
      <c r="B13" s="502"/>
      <c r="C13" s="502"/>
      <c r="D13" s="502"/>
      <c r="E13" s="502"/>
      <c r="F13" s="502"/>
      <c r="G13" s="502"/>
      <c r="H13" s="502"/>
      <c r="I13" s="502"/>
      <c r="J13" s="502"/>
      <c r="K13" s="502"/>
      <c r="L13" s="502"/>
      <c r="M13" s="502"/>
      <c r="N13" s="503"/>
    </row>
    <row r="14" spans="1:14">
      <c r="A14" s="498">
        <f t="shared" si="0"/>
        <v>9</v>
      </c>
      <c r="B14" s="502"/>
      <c r="C14" s="502"/>
      <c r="D14" s="502"/>
      <c r="E14" s="502"/>
      <c r="F14" s="502"/>
      <c r="G14" s="502"/>
      <c r="H14" s="502"/>
      <c r="I14" s="502"/>
      <c r="J14" s="502"/>
      <c r="K14" s="502"/>
      <c r="L14" s="502"/>
      <c r="M14" s="502"/>
      <c r="N14" s="503"/>
    </row>
    <row r="15" spans="1:14" ht="33">
      <c r="A15" s="498">
        <f t="shared" si="0"/>
        <v>10</v>
      </c>
      <c r="B15" s="67" t="s">
        <v>3677</v>
      </c>
      <c r="C15" s="503"/>
      <c r="D15" s="503"/>
      <c r="E15" s="503"/>
      <c r="F15" s="503"/>
      <c r="G15" s="503"/>
      <c r="H15" s="503"/>
      <c r="I15" s="503"/>
      <c r="J15" s="503"/>
      <c r="K15" s="503"/>
      <c r="L15" s="503"/>
      <c r="M15" s="503"/>
      <c r="N15" s="503" t="s">
        <v>3678</v>
      </c>
    </row>
    <row r="16" spans="1:14">
      <c r="A16" s="498">
        <f t="shared" si="0"/>
        <v>11</v>
      </c>
      <c r="B16" s="502"/>
      <c r="C16" s="502"/>
      <c r="D16" s="502"/>
      <c r="E16" s="502"/>
      <c r="F16" s="502"/>
      <c r="G16" s="502"/>
      <c r="H16" s="502"/>
      <c r="I16" s="502"/>
      <c r="J16" s="502"/>
      <c r="K16" s="502"/>
      <c r="L16" s="502"/>
      <c r="M16" s="502"/>
      <c r="N16" s="503"/>
    </row>
    <row r="17" spans="1:14">
      <c r="A17" s="498">
        <f t="shared" si="0"/>
        <v>12</v>
      </c>
      <c r="B17" s="502"/>
      <c r="C17" s="502"/>
      <c r="D17" s="502"/>
      <c r="E17" s="502"/>
      <c r="F17" s="502"/>
      <c r="G17" s="502"/>
      <c r="H17" s="502"/>
      <c r="I17" s="502"/>
      <c r="J17" s="502"/>
      <c r="K17" s="502"/>
      <c r="L17" s="502"/>
      <c r="M17" s="502"/>
      <c r="N17" s="503"/>
    </row>
    <row r="18" spans="1:14">
      <c r="A18" s="498">
        <f t="shared" si="0"/>
        <v>13</v>
      </c>
      <c r="B18" s="502"/>
      <c r="C18" s="502"/>
      <c r="D18" s="502"/>
      <c r="E18" s="502"/>
      <c r="F18" s="502"/>
      <c r="G18" s="502"/>
      <c r="H18" s="502"/>
      <c r="I18" s="502"/>
      <c r="J18" s="502"/>
      <c r="K18" s="502"/>
      <c r="L18" s="502"/>
      <c r="M18" s="502"/>
      <c r="N18" s="503"/>
    </row>
    <row r="19" spans="1:14">
      <c r="A19" s="498">
        <f t="shared" si="0"/>
        <v>14</v>
      </c>
      <c r="B19" s="502"/>
      <c r="C19" s="502"/>
      <c r="D19" s="502"/>
      <c r="E19" s="502"/>
      <c r="F19" s="502"/>
      <c r="G19" s="502"/>
      <c r="H19" s="502"/>
      <c r="I19" s="502"/>
      <c r="J19" s="502"/>
      <c r="K19" s="502"/>
      <c r="L19" s="502"/>
      <c r="M19" s="502"/>
      <c r="N19" s="503"/>
    </row>
    <row r="20" spans="1:14">
      <c r="A20" s="498">
        <f t="shared" si="0"/>
        <v>15</v>
      </c>
      <c r="B20" s="502"/>
      <c r="C20" s="502"/>
      <c r="D20" s="502"/>
      <c r="E20" s="502"/>
      <c r="F20" s="502"/>
      <c r="G20" s="502"/>
      <c r="H20" s="502"/>
      <c r="I20" s="502"/>
      <c r="J20" s="502"/>
      <c r="K20" s="502"/>
      <c r="L20" s="502"/>
      <c r="M20" s="502"/>
      <c r="N20" s="503"/>
    </row>
    <row r="21" spans="1:14">
      <c r="A21" s="498">
        <f t="shared" si="0"/>
        <v>16</v>
      </c>
      <c r="B21" s="502"/>
      <c r="C21" s="502"/>
      <c r="D21" s="502"/>
      <c r="E21" s="502"/>
      <c r="F21" s="502"/>
      <c r="G21" s="502"/>
      <c r="H21" s="502"/>
      <c r="I21" s="502"/>
      <c r="J21" s="502"/>
      <c r="K21" s="502"/>
      <c r="L21" s="502"/>
      <c r="M21" s="502"/>
      <c r="N21" s="503"/>
    </row>
    <row r="22" spans="1:14">
      <c r="A22" s="498">
        <f t="shared" si="0"/>
        <v>17</v>
      </c>
      <c r="B22" s="502"/>
      <c r="C22" s="502"/>
      <c r="D22" s="502"/>
      <c r="E22" s="502"/>
      <c r="F22" s="502"/>
      <c r="G22" s="502"/>
      <c r="H22" s="502"/>
      <c r="I22" s="502"/>
      <c r="J22" s="502"/>
      <c r="K22" s="502"/>
      <c r="L22" s="502"/>
      <c r="M22" s="502"/>
      <c r="N22" s="503"/>
    </row>
    <row r="23" spans="1:14">
      <c r="A23" s="498">
        <f t="shared" si="0"/>
        <v>18</v>
      </c>
      <c r="B23" s="502"/>
      <c r="C23" s="502"/>
      <c r="D23" s="502"/>
      <c r="E23" s="502"/>
      <c r="F23" s="502"/>
      <c r="G23" s="502"/>
      <c r="H23" s="502"/>
      <c r="I23" s="502"/>
      <c r="J23" s="502"/>
      <c r="K23" s="502"/>
      <c r="L23" s="502"/>
      <c r="M23" s="502"/>
      <c r="N23" s="503"/>
    </row>
    <row r="24" spans="1:14">
      <c r="A24" s="498">
        <f t="shared" si="0"/>
        <v>19</v>
      </c>
      <c r="B24" s="502"/>
      <c r="C24" s="502"/>
      <c r="D24" s="502"/>
      <c r="E24" s="502"/>
      <c r="F24" s="502"/>
      <c r="G24" s="502"/>
      <c r="H24" s="502"/>
      <c r="I24" s="502"/>
      <c r="J24" s="502"/>
      <c r="K24" s="502"/>
      <c r="L24" s="502"/>
      <c r="M24" s="502"/>
      <c r="N24" s="503"/>
    </row>
    <row r="25" spans="1:14" ht="33">
      <c r="A25" s="498">
        <f t="shared" si="0"/>
        <v>20</v>
      </c>
      <c r="B25" s="67" t="s">
        <v>3677</v>
      </c>
      <c r="C25" s="503"/>
      <c r="D25" s="503"/>
      <c r="E25" s="503"/>
      <c r="F25" s="503"/>
      <c r="G25" s="503"/>
      <c r="H25" s="503"/>
      <c r="I25" s="503"/>
      <c r="J25" s="503"/>
      <c r="K25" s="503"/>
      <c r="L25" s="503"/>
      <c r="M25" s="503"/>
      <c r="N25" s="503" t="s">
        <v>3678</v>
      </c>
    </row>
    <row r="26" spans="1:14">
      <c r="A26" s="498">
        <f t="shared" si="0"/>
        <v>21</v>
      </c>
      <c r="B26" s="502"/>
      <c r="C26" s="502"/>
      <c r="D26" s="502"/>
      <c r="E26" s="502"/>
      <c r="F26" s="502"/>
      <c r="G26" s="502"/>
      <c r="H26" s="502"/>
      <c r="I26" s="502"/>
      <c r="J26" s="502"/>
      <c r="K26" s="502"/>
      <c r="L26" s="502"/>
      <c r="M26" s="502"/>
      <c r="N26" s="503"/>
    </row>
    <row r="27" spans="1:14">
      <c r="A27" s="498">
        <f t="shared" si="0"/>
        <v>22</v>
      </c>
      <c r="B27" s="502"/>
      <c r="C27" s="502"/>
      <c r="D27" s="502"/>
      <c r="E27" s="502"/>
      <c r="F27" s="502"/>
      <c r="G27" s="502"/>
      <c r="H27" s="502"/>
      <c r="I27" s="502"/>
      <c r="J27" s="502"/>
      <c r="K27" s="502"/>
      <c r="L27" s="502"/>
      <c r="M27" s="502"/>
      <c r="N27" s="503"/>
    </row>
    <row r="28" spans="1:14">
      <c r="A28" s="498">
        <f t="shared" si="0"/>
        <v>23</v>
      </c>
      <c r="B28" s="502"/>
      <c r="C28" s="502"/>
      <c r="D28" s="502"/>
      <c r="E28" s="502"/>
      <c r="F28" s="502"/>
      <c r="G28" s="502"/>
      <c r="H28" s="502"/>
      <c r="I28" s="502"/>
      <c r="J28" s="502"/>
      <c r="K28" s="502"/>
      <c r="L28" s="502"/>
      <c r="M28" s="502"/>
      <c r="N28" s="503"/>
    </row>
    <row r="29" spans="1:14">
      <c r="A29" s="498">
        <f t="shared" si="0"/>
        <v>24</v>
      </c>
      <c r="B29" s="502"/>
      <c r="C29" s="502"/>
      <c r="D29" s="502"/>
      <c r="E29" s="502"/>
      <c r="F29" s="502"/>
      <c r="G29" s="502"/>
      <c r="H29" s="502"/>
      <c r="I29" s="502"/>
      <c r="J29" s="502"/>
      <c r="K29" s="502"/>
      <c r="L29" s="502"/>
      <c r="M29" s="502"/>
      <c r="N29" s="503"/>
    </row>
    <row r="30" spans="1:14">
      <c r="A30" s="498">
        <f t="shared" si="0"/>
        <v>25</v>
      </c>
      <c r="B30" s="502"/>
      <c r="C30" s="502"/>
      <c r="D30" s="502"/>
      <c r="E30" s="502"/>
      <c r="F30" s="502"/>
      <c r="G30" s="502"/>
      <c r="H30" s="502"/>
      <c r="I30" s="502"/>
      <c r="J30" s="502"/>
      <c r="K30" s="502"/>
      <c r="L30" s="502"/>
      <c r="M30" s="502"/>
      <c r="N30" s="503"/>
    </row>
    <row r="31" spans="1:14" ht="16.5" customHeight="1">
      <c r="A31" s="498">
        <f t="shared" si="0"/>
        <v>26</v>
      </c>
      <c r="B31" s="3412" t="s">
        <v>2553</v>
      </c>
      <c r="C31" s="3404" t="s">
        <v>5631</v>
      </c>
      <c r="D31" s="3415"/>
      <c r="E31" s="3415"/>
      <c r="F31" s="3415"/>
      <c r="G31" s="3415"/>
      <c r="H31" s="3415"/>
      <c r="I31" s="3415"/>
      <c r="J31" s="3416"/>
      <c r="K31" s="502"/>
      <c r="L31" s="502"/>
      <c r="M31" s="502"/>
      <c r="N31" s="503"/>
    </row>
    <row r="32" spans="1:14" ht="16.5">
      <c r="A32" s="498">
        <f t="shared" si="0"/>
        <v>27</v>
      </c>
      <c r="B32" s="3413"/>
      <c r="C32" s="3404" t="s">
        <v>8572</v>
      </c>
      <c r="D32" s="3415"/>
      <c r="E32" s="3415"/>
      <c r="F32" s="3415"/>
      <c r="G32" s="3415"/>
      <c r="H32" s="3415"/>
      <c r="I32" s="3415"/>
      <c r="J32" s="3416"/>
      <c r="K32" s="502"/>
      <c r="L32" s="502"/>
      <c r="M32" s="502"/>
      <c r="N32" s="503"/>
    </row>
    <row r="33" spans="1:14" ht="16.5">
      <c r="A33" s="498">
        <f t="shared" si="0"/>
        <v>28</v>
      </c>
      <c r="B33" s="3413"/>
      <c r="C33" s="3404" t="s">
        <v>2554</v>
      </c>
      <c r="D33" s="3415"/>
      <c r="E33" s="3415"/>
      <c r="F33" s="3415"/>
      <c r="G33" s="3415"/>
      <c r="H33" s="3415"/>
      <c r="I33" s="3415"/>
      <c r="J33" s="3416"/>
      <c r="K33" s="502"/>
      <c r="L33" s="502"/>
      <c r="M33" s="502"/>
      <c r="N33" s="503"/>
    </row>
    <row r="34" spans="1:14" ht="16.5" customHeight="1">
      <c r="A34" s="498">
        <f t="shared" si="0"/>
        <v>29</v>
      </c>
      <c r="B34" s="3414"/>
      <c r="C34" s="3417" t="s">
        <v>5632</v>
      </c>
      <c r="D34" s="3418"/>
      <c r="E34" s="3418"/>
      <c r="F34" s="3418"/>
      <c r="G34" s="3418"/>
      <c r="H34" s="3418"/>
      <c r="I34" s="3418"/>
      <c r="J34" s="3419"/>
      <c r="K34" s="502"/>
      <c r="L34" s="502"/>
      <c r="M34" s="502"/>
      <c r="N34" s="503"/>
    </row>
    <row r="35" spans="1:14" s="507" customFormat="1" ht="16.5" customHeight="1">
      <c r="A35" s="498">
        <f t="shared" si="0"/>
        <v>30</v>
      </c>
      <c r="B35" s="3407" t="s">
        <v>3679</v>
      </c>
      <c r="C35" s="3408"/>
      <c r="D35" s="3408"/>
      <c r="E35" s="3408"/>
      <c r="F35" s="3408"/>
      <c r="G35" s="3408"/>
      <c r="H35" s="3408"/>
      <c r="I35" s="3408"/>
      <c r="J35" s="3409"/>
      <c r="K35" s="504"/>
      <c r="L35" s="505"/>
      <c r="M35" s="504"/>
      <c r="N35" s="506"/>
    </row>
    <row r="36" spans="1:14" ht="16.5">
      <c r="A36" s="508" t="s">
        <v>3680</v>
      </c>
    </row>
    <row r="37" spans="1:14" s="496" customFormat="1" ht="16.5">
      <c r="A37" s="496" t="s">
        <v>3681</v>
      </c>
    </row>
    <row r="38" spans="1:14" s="496" customFormat="1" ht="16.5">
      <c r="A38" s="509" t="s">
        <v>3682</v>
      </c>
    </row>
    <row r="39" spans="1:14" s="496" customFormat="1" ht="16.5">
      <c r="A39" s="509" t="s">
        <v>3683</v>
      </c>
    </row>
    <row r="40" spans="1:14" s="496" customFormat="1" ht="16.5">
      <c r="A40" s="496" t="s">
        <v>3684</v>
      </c>
    </row>
    <row r="41" spans="1:14" s="496" customFormat="1" ht="16.5">
      <c r="A41" s="508" t="s">
        <v>3685</v>
      </c>
    </row>
    <row r="42" spans="1:14" s="496" customFormat="1" ht="16.5">
      <c r="A42" s="508" t="s">
        <v>3686</v>
      </c>
    </row>
    <row r="43" spans="1:14" s="496" customFormat="1" ht="16.5">
      <c r="A43" s="496" t="s">
        <v>3687</v>
      </c>
    </row>
    <row r="44" spans="1:14" s="496" customFormat="1" ht="16.5">
      <c r="A44" s="496" t="s">
        <v>3688</v>
      </c>
    </row>
    <row r="45" spans="1:14" s="496" customFormat="1" ht="16.5">
      <c r="A45" s="508" t="s">
        <v>3689</v>
      </c>
    </row>
    <row r="46" spans="1:14" s="496" customFormat="1" ht="16.5">
      <c r="A46" s="496" t="s">
        <v>3690</v>
      </c>
    </row>
    <row r="47" spans="1:14" ht="16.5">
      <c r="A47" s="496" t="s">
        <v>3691</v>
      </c>
    </row>
    <row r="48" spans="1:14" ht="16.5">
      <c r="A48" s="2636" t="s">
        <v>8571</v>
      </c>
    </row>
  </sheetData>
  <mergeCells count="7">
    <mergeCell ref="A4:A5"/>
    <mergeCell ref="B35:J35"/>
    <mergeCell ref="B31:B34"/>
    <mergeCell ref="C31:J31"/>
    <mergeCell ref="C34:J34"/>
    <mergeCell ref="C32:J32"/>
    <mergeCell ref="C33:J33"/>
  </mergeCells>
  <phoneticPr fontId="30"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tabColor rgb="FFFFFF00"/>
    <pageSetUpPr fitToPage="1"/>
  </sheetPr>
  <dimension ref="A1:G43"/>
  <sheetViews>
    <sheetView topLeftCell="A10" zoomScaleNormal="100" workbookViewId="0">
      <selection activeCell="C48" sqref="C48"/>
    </sheetView>
  </sheetViews>
  <sheetFormatPr defaultRowHeight="13.5"/>
  <cols>
    <col min="1" max="1" width="4.875" style="26" customWidth="1"/>
    <col min="2" max="2" width="25.375" style="26" customWidth="1"/>
    <col min="3" max="3" width="33.75" style="26" customWidth="1"/>
    <col min="4" max="4" width="20.25" style="26" customWidth="1"/>
    <col min="5" max="5" width="23" style="26" customWidth="1"/>
    <col min="6" max="7" width="20.625" style="26" customWidth="1"/>
    <col min="8" max="8" width="19" style="26" customWidth="1"/>
    <col min="9" max="9" width="19.5" style="26" customWidth="1"/>
    <col min="10" max="10" width="16.25" style="26" customWidth="1"/>
    <col min="11" max="256" width="9" style="26"/>
    <col min="257" max="257" width="4.875" style="26" customWidth="1"/>
    <col min="258" max="258" width="25.375" style="26" customWidth="1"/>
    <col min="259" max="259" width="33.75" style="26" customWidth="1"/>
    <col min="260" max="260" width="20.25" style="26" customWidth="1"/>
    <col min="261" max="261" width="17.625" style="26" customWidth="1"/>
    <col min="262" max="263" width="20.625" style="26" customWidth="1"/>
    <col min="264" max="264" width="19" style="26" customWidth="1"/>
    <col min="265" max="265" width="19.5" style="26" customWidth="1"/>
    <col min="266" max="266" width="16.25" style="26" customWidth="1"/>
    <col min="267" max="512" width="9" style="26"/>
    <col min="513" max="513" width="4.875" style="26" customWidth="1"/>
    <col min="514" max="514" width="25.375" style="26" customWidth="1"/>
    <col min="515" max="515" width="33.75" style="26" customWidth="1"/>
    <col min="516" max="516" width="20.25" style="26" customWidth="1"/>
    <col min="517" max="517" width="17.625" style="26" customWidth="1"/>
    <col min="518" max="519" width="20.625" style="26" customWidth="1"/>
    <col min="520" max="520" width="19" style="26" customWidth="1"/>
    <col min="521" max="521" width="19.5" style="26" customWidth="1"/>
    <col min="522" max="522" width="16.25" style="26" customWidth="1"/>
    <col min="523" max="768" width="9" style="26"/>
    <col min="769" max="769" width="4.875" style="26" customWidth="1"/>
    <col min="770" max="770" width="25.375" style="26" customWidth="1"/>
    <col min="771" max="771" width="33.75" style="26" customWidth="1"/>
    <col min="772" max="772" width="20.25" style="26" customWidth="1"/>
    <col min="773" max="773" width="17.625" style="26" customWidth="1"/>
    <col min="774" max="775" width="20.625" style="26" customWidth="1"/>
    <col min="776" max="776" width="19" style="26" customWidth="1"/>
    <col min="777" max="777" width="19.5" style="26" customWidth="1"/>
    <col min="778" max="778" width="16.25" style="26" customWidth="1"/>
    <col min="779" max="1024" width="9" style="26"/>
    <col min="1025" max="1025" width="4.875" style="26" customWidth="1"/>
    <col min="1026" max="1026" width="25.375" style="26" customWidth="1"/>
    <col min="1027" max="1027" width="33.75" style="26" customWidth="1"/>
    <col min="1028" max="1028" width="20.25" style="26" customWidth="1"/>
    <col min="1029" max="1029" width="17.625" style="26" customWidth="1"/>
    <col min="1030" max="1031" width="20.625" style="26" customWidth="1"/>
    <col min="1032" max="1032" width="19" style="26" customWidth="1"/>
    <col min="1033" max="1033" width="19.5" style="26" customWidth="1"/>
    <col min="1034" max="1034" width="16.25" style="26" customWidth="1"/>
    <col min="1035" max="1280" width="9" style="26"/>
    <col min="1281" max="1281" width="4.875" style="26" customWidth="1"/>
    <col min="1282" max="1282" width="25.375" style="26" customWidth="1"/>
    <col min="1283" max="1283" width="33.75" style="26" customWidth="1"/>
    <col min="1284" max="1284" width="20.25" style="26" customWidth="1"/>
    <col min="1285" max="1285" width="17.625" style="26" customWidth="1"/>
    <col min="1286" max="1287" width="20.625" style="26" customWidth="1"/>
    <col min="1288" max="1288" width="19" style="26" customWidth="1"/>
    <col min="1289" max="1289" width="19.5" style="26" customWidth="1"/>
    <col min="1290" max="1290" width="16.25" style="26" customWidth="1"/>
    <col min="1291" max="1536" width="9" style="26"/>
    <col min="1537" max="1537" width="4.875" style="26" customWidth="1"/>
    <col min="1538" max="1538" width="25.375" style="26" customWidth="1"/>
    <col min="1539" max="1539" width="33.75" style="26" customWidth="1"/>
    <col min="1540" max="1540" width="20.25" style="26" customWidth="1"/>
    <col min="1541" max="1541" width="17.625" style="26" customWidth="1"/>
    <col min="1542" max="1543" width="20.625" style="26" customWidth="1"/>
    <col min="1544" max="1544" width="19" style="26" customWidth="1"/>
    <col min="1545" max="1545" width="19.5" style="26" customWidth="1"/>
    <col min="1546" max="1546" width="16.25" style="26" customWidth="1"/>
    <col min="1547" max="1792" width="9" style="26"/>
    <col min="1793" max="1793" width="4.875" style="26" customWidth="1"/>
    <col min="1794" max="1794" width="25.375" style="26" customWidth="1"/>
    <col min="1795" max="1795" width="33.75" style="26" customWidth="1"/>
    <col min="1796" max="1796" width="20.25" style="26" customWidth="1"/>
    <col min="1797" max="1797" width="17.625" style="26" customWidth="1"/>
    <col min="1798" max="1799" width="20.625" style="26" customWidth="1"/>
    <col min="1800" max="1800" width="19" style="26" customWidth="1"/>
    <col min="1801" max="1801" width="19.5" style="26" customWidth="1"/>
    <col min="1802" max="1802" width="16.25" style="26" customWidth="1"/>
    <col min="1803" max="2048" width="9" style="26"/>
    <col min="2049" max="2049" width="4.875" style="26" customWidth="1"/>
    <col min="2050" max="2050" width="25.375" style="26" customWidth="1"/>
    <col min="2051" max="2051" width="33.75" style="26" customWidth="1"/>
    <col min="2052" max="2052" width="20.25" style="26" customWidth="1"/>
    <col min="2053" max="2053" width="17.625" style="26" customWidth="1"/>
    <col min="2054" max="2055" width="20.625" style="26" customWidth="1"/>
    <col min="2056" max="2056" width="19" style="26" customWidth="1"/>
    <col min="2057" max="2057" width="19.5" style="26" customWidth="1"/>
    <col min="2058" max="2058" width="16.25" style="26" customWidth="1"/>
    <col min="2059" max="2304" width="9" style="26"/>
    <col min="2305" max="2305" width="4.875" style="26" customWidth="1"/>
    <col min="2306" max="2306" width="25.375" style="26" customWidth="1"/>
    <col min="2307" max="2307" width="33.75" style="26" customWidth="1"/>
    <col min="2308" max="2308" width="20.25" style="26" customWidth="1"/>
    <col min="2309" max="2309" width="17.625" style="26" customWidth="1"/>
    <col min="2310" max="2311" width="20.625" style="26" customWidth="1"/>
    <col min="2312" max="2312" width="19" style="26" customWidth="1"/>
    <col min="2313" max="2313" width="19.5" style="26" customWidth="1"/>
    <col min="2314" max="2314" width="16.25" style="26" customWidth="1"/>
    <col min="2315" max="2560" width="9" style="26"/>
    <col min="2561" max="2561" width="4.875" style="26" customWidth="1"/>
    <col min="2562" max="2562" width="25.375" style="26" customWidth="1"/>
    <col min="2563" max="2563" width="33.75" style="26" customWidth="1"/>
    <col min="2564" max="2564" width="20.25" style="26" customWidth="1"/>
    <col min="2565" max="2565" width="17.625" style="26" customWidth="1"/>
    <col min="2566" max="2567" width="20.625" style="26" customWidth="1"/>
    <col min="2568" max="2568" width="19" style="26" customWidth="1"/>
    <col min="2569" max="2569" width="19.5" style="26" customWidth="1"/>
    <col min="2570" max="2570" width="16.25" style="26" customWidth="1"/>
    <col min="2571" max="2816" width="9" style="26"/>
    <col min="2817" max="2817" width="4.875" style="26" customWidth="1"/>
    <col min="2818" max="2818" width="25.375" style="26" customWidth="1"/>
    <col min="2819" max="2819" width="33.75" style="26" customWidth="1"/>
    <col min="2820" max="2820" width="20.25" style="26" customWidth="1"/>
    <col min="2821" max="2821" width="17.625" style="26" customWidth="1"/>
    <col min="2822" max="2823" width="20.625" style="26" customWidth="1"/>
    <col min="2824" max="2824" width="19" style="26" customWidth="1"/>
    <col min="2825" max="2825" width="19.5" style="26" customWidth="1"/>
    <col min="2826" max="2826" width="16.25" style="26" customWidth="1"/>
    <col min="2827" max="3072" width="9" style="26"/>
    <col min="3073" max="3073" width="4.875" style="26" customWidth="1"/>
    <col min="3074" max="3074" width="25.375" style="26" customWidth="1"/>
    <col min="3075" max="3075" width="33.75" style="26" customWidth="1"/>
    <col min="3076" max="3076" width="20.25" style="26" customWidth="1"/>
    <col min="3077" max="3077" width="17.625" style="26" customWidth="1"/>
    <col min="3078" max="3079" width="20.625" style="26" customWidth="1"/>
    <col min="3080" max="3080" width="19" style="26" customWidth="1"/>
    <col min="3081" max="3081" width="19.5" style="26" customWidth="1"/>
    <col min="3082" max="3082" width="16.25" style="26" customWidth="1"/>
    <col min="3083" max="3328" width="9" style="26"/>
    <col min="3329" max="3329" width="4.875" style="26" customWidth="1"/>
    <col min="3330" max="3330" width="25.375" style="26" customWidth="1"/>
    <col min="3331" max="3331" width="33.75" style="26" customWidth="1"/>
    <col min="3332" max="3332" width="20.25" style="26" customWidth="1"/>
    <col min="3333" max="3333" width="17.625" style="26" customWidth="1"/>
    <col min="3334" max="3335" width="20.625" style="26" customWidth="1"/>
    <col min="3336" max="3336" width="19" style="26" customWidth="1"/>
    <col min="3337" max="3337" width="19.5" style="26" customWidth="1"/>
    <col min="3338" max="3338" width="16.25" style="26" customWidth="1"/>
    <col min="3339" max="3584" width="9" style="26"/>
    <col min="3585" max="3585" width="4.875" style="26" customWidth="1"/>
    <col min="3586" max="3586" width="25.375" style="26" customWidth="1"/>
    <col min="3587" max="3587" width="33.75" style="26" customWidth="1"/>
    <col min="3588" max="3588" width="20.25" style="26" customWidth="1"/>
    <col min="3589" max="3589" width="17.625" style="26" customWidth="1"/>
    <col min="3590" max="3591" width="20.625" style="26" customWidth="1"/>
    <col min="3592" max="3592" width="19" style="26" customWidth="1"/>
    <col min="3593" max="3593" width="19.5" style="26" customWidth="1"/>
    <col min="3594" max="3594" width="16.25" style="26" customWidth="1"/>
    <col min="3595" max="3840" width="9" style="26"/>
    <col min="3841" max="3841" width="4.875" style="26" customWidth="1"/>
    <col min="3842" max="3842" width="25.375" style="26" customWidth="1"/>
    <col min="3843" max="3843" width="33.75" style="26" customWidth="1"/>
    <col min="3844" max="3844" width="20.25" style="26" customWidth="1"/>
    <col min="3845" max="3845" width="17.625" style="26" customWidth="1"/>
    <col min="3846" max="3847" width="20.625" style="26" customWidth="1"/>
    <col min="3848" max="3848" width="19" style="26" customWidth="1"/>
    <col min="3849" max="3849" width="19.5" style="26" customWidth="1"/>
    <col min="3850" max="3850" width="16.25" style="26" customWidth="1"/>
    <col min="3851" max="4096" width="9" style="26"/>
    <col min="4097" max="4097" width="4.875" style="26" customWidth="1"/>
    <col min="4098" max="4098" width="25.375" style="26" customWidth="1"/>
    <col min="4099" max="4099" width="33.75" style="26" customWidth="1"/>
    <col min="4100" max="4100" width="20.25" style="26" customWidth="1"/>
    <col min="4101" max="4101" width="17.625" style="26" customWidth="1"/>
    <col min="4102" max="4103" width="20.625" style="26" customWidth="1"/>
    <col min="4104" max="4104" width="19" style="26" customWidth="1"/>
    <col min="4105" max="4105" width="19.5" style="26" customWidth="1"/>
    <col min="4106" max="4106" width="16.25" style="26" customWidth="1"/>
    <col min="4107" max="4352" width="9" style="26"/>
    <col min="4353" max="4353" width="4.875" style="26" customWidth="1"/>
    <col min="4354" max="4354" width="25.375" style="26" customWidth="1"/>
    <col min="4355" max="4355" width="33.75" style="26" customWidth="1"/>
    <col min="4356" max="4356" width="20.25" style="26" customWidth="1"/>
    <col min="4357" max="4357" width="17.625" style="26" customWidth="1"/>
    <col min="4358" max="4359" width="20.625" style="26" customWidth="1"/>
    <col min="4360" max="4360" width="19" style="26" customWidth="1"/>
    <col min="4361" max="4361" width="19.5" style="26" customWidth="1"/>
    <col min="4362" max="4362" width="16.25" style="26" customWidth="1"/>
    <col min="4363" max="4608" width="9" style="26"/>
    <col min="4609" max="4609" width="4.875" style="26" customWidth="1"/>
    <col min="4610" max="4610" width="25.375" style="26" customWidth="1"/>
    <col min="4611" max="4611" width="33.75" style="26" customWidth="1"/>
    <col min="4612" max="4612" width="20.25" style="26" customWidth="1"/>
    <col min="4613" max="4613" width="17.625" style="26" customWidth="1"/>
    <col min="4614" max="4615" width="20.625" style="26" customWidth="1"/>
    <col min="4616" max="4616" width="19" style="26" customWidth="1"/>
    <col min="4617" max="4617" width="19.5" style="26" customWidth="1"/>
    <col min="4618" max="4618" width="16.25" style="26" customWidth="1"/>
    <col min="4619" max="4864" width="9" style="26"/>
    <col min="4865" max="4865" width="4.875" style="26" customWidth="1"/>
    <col min="4866" max="4866" width="25.375" style="26" customWidth="1"/>
    <col min="4867" max="4867" width="33.75" style="26" customWidth="1"/>
    <col min="4868" max="4868" width="20.25" style="26" customWidth="1"/>
    <col min="4869" max="4869" width="17.625" style="26" customWidth="1"/>
    <col min="4870" max="4871" width="20.625" style="26" customWidth="1"/>
    <col min="4872" max="4872" width="19" style="26" customWidth="1"/>
    <col min="4873" max="4873" width="19.5" style="26" customWidth="1"/>
    <col min="4874" max="4874" width="16.25" style="26" customWidth="1"/>
    <col min="4875" max="5120" width="9" style="26"/>
    <col min="5121" max="5121" width="4.875" style="26" customWidth="1"/>
    <col min="5122" max="5122" width="25.375" style="26" customWidth="1"/>
    <col min="5123" max="5123" width="33.75" style="26" customWidth="1"/>
    <col min="5124" max="5124" width="20.25" style="26" customWidth="1"/>
    <col min="5125" max="5125" width="17.625" style="26" customWidth="1"/>
    <col min="5126" max="5127" width="20.625" style="26" customWidth="1"/>
    <col min="5128" max="5128" width="19" style="26" customWidth="1"/>
    <col min="5129" max="5129" width="19.5" style="26" customWidth="1"/>
    <col min="5130" max="5130" width="16.25" style="26" customWidth="1"/>
    <col min="5131" max="5376" width="9" style="26"/>
    <col min="5377" max="5377" width="4.875" style="26" customWidth="1"/>
    <col min="5378" max="5378" width="25.375" style="26" customWidth="1"/>
    <col min="5379" max="5379" width="33.75" style="26" customWidth="1"/>
    <col min="5380" max="5380" width="20.25" style="26" customWidth="1"/>
    <col min="5381" max="5381" width="17.625" style="26" customWidth="1"/>
    <col min="5382" max="5383" width="20.625" style="26" customWidth="1"/>
    <col min="5384" max="5384" width="19" style="26" customWidth="1"/>
    <col min="5385" max="5385" width="19.5" style="26" customWidth="1"/>
    <col min="5386" max="5386" width="16.25" style="26" customWidth="1"/>
    <col min="5387" max="5632" width="9" style="26"/>
    <col min="5633" max="5633" width="4.875" style="26" customWidth="1"/>
    <col min="5634" max="5634" width="25.375" style="26" customWidth="1"/>
    <col min="5635" max="5635" width="33.75" style="26" customWidth="1"/>
    <col min="5636" max="5636" width="20.25" style="26" customWidth="1"/>
    <col min="5637" max="5637" width="17.625" style="26" customWidth="1"/>
    <col min="5638" max="5639" width="20.625" style="26" customWidth="1"/>
    <col min="5640" max="5640" width="19" style="26" customWidth="1"/>
    <col min="5641" max="5641" width="19.5" style="26" customWidth="1"/>
    <col min="5642" max="5642" width="16.25" style="26" customWidth="1"/>
    <col min="5643" max="5888" width="9" style="26"/>
    <col min="5889" max="5889" width="4.875" style="26" customWidth="1"/>
    <col min="5890" max="5890" width="25.375" style="26" customWidth="1"/>
    <col min="5891" max="5891" width="33.75" style="26" customWidth="1"/>
    <col min="5892" max="5892" width="20.25" style="26" customWidth="1"/>
    <col min="5893" max="5893" width="17.625" style="26" customWidth="1"/>
    <col min="5894" max="5895" width="20.625" style="26" customWidth="1"/>
    <col min="5896" max="5896" width="19" style="26" customWidth="1"/>
    <col min="5897" max="5897" width="19.5" style="26" customWidth="1"/>
    <col min="5898" max="5898" width="16.25" style="26" customWidth="1"/>
    <col min="5899" max="6144" width="9" style="26"/>
    <col min="6145" max="6145" width="4.875" style="26" customWidth="1"/>
    <col min="6146" max="6146" width="25.375" style="26" customWidth="1"/>
    <col min="6147" max="6147" width="33.75" style="26" customWidth="1"/>
    <col min="6148" max="6148" width="20.25" style="26" customWidth="1"/>
    <col min="6149" max="6149" width="17.625" style="26" customWidth="1"/>
    <col min="6150" max="6151" width="20.625" style="26" customWidth="1"/>
    <col min="6152" max="6152" width="19" style="26" customWidth="1"/>
    <col min="6153" max="6153" width="19.5" style="26" customWidth="1"/>
    <col min="6154" max="6154" width="16.25" style="26" customWidth="1"/>
    <col min="6155" max="6400" width="9" style="26"/>
    <col min="6401" max="6401" width="4.875" style="26" customWidth="1"/>
    <col min="6402" max="6402" width="25.375" style="26" customWidth="1"/>
    <col min="6403" max="6403" width="33.75" style="26" customWidth="1"/>
    <col min="6404" max="6404" width="20.25" style="26" customWidth="1"/>
    <col min="6405" max="6405" width="17.625" style="26" customWidth="1"/>
    <col min="6406" max="6407" width="20.625" style="26" customWidth="1"/>
    <col min="6408" max="6408" width="19" style="26" customWidth="1"/>
    <col min="6409" max="6409" width="19.5" style="26" customWidth="1"/>
    <col min="6410" max="6410" width="16.25" style="26" customWidth="1"/>
    <col min="6411" max="6656" width="9" style="26"/>
    <col min="6657" max="6657" width="4.875" style="26" customWidth="1"/>
    <col min="6658" max="6658" width="25.375" style="26" customWidth="1"/>
    <col min="6659" max="6659" width="33.75" style="26" customWidth="1"/>
    <col min="6660" max="6660" width="20.25" style="26" customWidth="1"/>
    <col min="6661" max="6661" width="17.625" style="26" customWidth="1"/>
    <col min="6662" max="6663" width="20.625" style="26" customWidth="1"/>
    <col min="6664" max="6664" width="19" style="26" customWidth="1"/>
    <col min="6665" max="6665" width="19.5" style="26" customWidth="1"/>
    <col min="6666" max="6666" width="16.25" style="26" customWidth="1"/>
    <col min="6667" max="6912" width="9" style="26"/>
    <col min="6913" max="6913" width="4.875" style="26" customWidth="1"/>
    <col min="6914" max="6914" width="25.375" style="26" customWidth="1"/>
    <col min="6915" max="6915" width="33.75" style="26" customWidth="1"/>
    <col min="6916" max="6916" width="20.25" style="26" customWidth="1"/>
    <col min="6917" max="6917" width="17.625" style="26" customWidth="1"/>
    <col min="6918" max="6919" width="20.625" style="26" customWidth="1"/>
    <col min="6920" max="6920" width="19" style="26" customWidth="1"/>
    <col min="6921" max="6921" width="19.5" style="26" customWidth="1"/>
    <col min="6922" max="6922" width="16.25" style="26" customWidth="1"/>
    <col min="6923" max="7168" width="9" style="26"/>
    <col min="7169" max="7169" width="4.875" style="26" customWidth="1"/>
    <col min="7170" max="7170" width="25.375" style="26" customWidth="1"/>
    <col min="7171" max="7171" width="33.75" style="26" customWidth="1"/>
    <col min="7172" max="7172" width="20.25" style="26" customWidth="1"/>
    <col min="7173" max="7173" width="17.625" style="26" customWidth="1"/>
    <col min="7174" max="7175" width="20.625" style="26" customWidth="1"/>
    <col min="7176" max="7176" width="19" style="26" customWidth="1"/>
    <col min="7177" max="7177" width="19.5" style="26" customWidth="1"/>
    <col min="7178" max="7178" width="16.25" style="26" customWidth="1"/>
    <col min="7179" max="7424" width="9" style="26"/>
    <col min="7425" max="7425" width="4.875" style="26" customWidth="1"/>
    <col min="7426" max="7426" width="25.375" style="26" customWidth="1"/>
    <col min="7427" max="7427" width="33.75" style="26" customWidth="1"/>
    <col min="7428" max="7428" width="20.25" style="26" customWidth="1"/>
    <col min="7429" max="7429" width="17.625" style="26" customWidth="1"/>
    <col min="7430" max="7431" width="20.625" style="26" customWidth="1"/>
    <col min="7432" max="7432" width="19" style="26" customWidth="1"/>
    <col min="7433" max="7433" width="19.5" style="26" customWidth="1"/>
    <col min="7434" max="7434" width="16.25" style="26" customWidth="1"/>
    <col min="7435" max="7680" width="9" style="26"/>
    <col min="7681" max="7681" width="4.875" style="26" customWidth="1"/>
    <col min="7682" max="7682" width="25.375" style="26" customWidth="1"/>
    <col min="7683" max="7683" width="33.75" style="26" customWidth="1"/>
    <col min="7684" max="7684" width="20.25" style="26" customWidth="1"/>
    <col min="7685" max="7685" width="17.625" style="26" customWidth="1"/>
    <col min="7686" max="7687" width="20.625" style="26" customWidth="1"/>
    <col min="7688" max="7688" width="19" style="26" customWidth="1"/>
    <col min="7689" max="7689" width="19.5" style="26" customWidth="1"/>
    <col min="7690" max="7690" width="16.25" style="26" customWidth="1"/>
    <col min="7691" max="7936" width="9" style="26"/>
    <col min="7937" max="7937" width="4.875" style="26" customWidth="1"/>
    <col min="7938" max="7938" width="25.375" style="26" customWidth="1"/>
    <col min="7939" max="7939" width="33.75" style="26" customWidth="1"/>
    <col min="7940" max="7940" width="20.25" style="26" customWidth="1"/>
    <col min="7941" max="7941" width="17.625" style="26" customWidth="1"/>
    <col min="7942" max="7943" width="20.625" style="26" customWidth="1"/>
    <col min="7944" max="7944" width="19" style="26" customWidth="1"/>
    <col min="7945" max="7945" width="19.5" style="26" customWidth="1"/>
    <col min="7946" max="7946" width="16.25" style="26" customWidth="1"/>
    <col min="7947" max="8192" width="9" style="26"/>
    <col min="8193" max="8193" width="4.875" style="26" customWidth="1"/>
    <col min="8194" max="8194" width="25.375" style="26" customWidth="1"/>
    <col min="8195" max="8195" width="33.75" style="26" customWidth="1"/>
    <col min="8196" max="8196" width="20.25" style="26" customWidth="1"/>
    <col min="8197" max="8197" width="17.625" style="26" customWidth="1"/>
    <col min="8198" max="8199" width="20.625" style="26" customWidth="1"/>
    <col min="8200" max="8200" width="19" style="26" customWidth="1"/>
    <col min="8201" max="8201" width="19.5" style="26" customWidth="1"/>
    <col min="8202" max="8202" width="16.25" style="26" customWidth="1"/>
    <col min="8203" max="8448" width="9" style="26"/>
    <col min="8449" max="8449" width="4.875" style="26" customWidth="1"/>
    <col min="8450" max="8450" width="25.375" style="26" customWidth="1"/>
    <col min="8451" max="8451" width="33.75" style="26" customWidth="1"/>
    <col min="8452" max="8452" width="20.25" style="26" customWidth="1"/>
    <col min="8453" max="8453" width="17.625" style="26" customWidth="1"/>
    <col min="8454" max="8455" width="20.625" style="26" customWidth="1"/>
    <col min="8456" max="8456" width="19" style="26" customWidth="1"/>
    <col min="8457" max="8457" width="19.5" style="26" customWidth="1"/>
    <col min="8458" max="8458" width="16.25" style="26" customWidth="1"/>
    <col min="8459" max="8704" width="9" style="26"/>
    <col min="8705" max="8705" width="4.875" style="26" customWidth="1"/>
    <col min="8706" max="8706" width="25.375" style="26" customWidth="1"/>
    <col min="8707" max="8707" width="33.75" style="26" customWidth="1"/>
    <col min="8708" max="8708" width="20.25" style="26" customWidth="1"/>
    <col min="8709" max="8709" width="17.625" style="26" customWidth="1"/>
    <col min="8710" max="8711" width="20.625" style="26" customWidth="1"/>
    <col min="8712" max="8712" width="19" style="26" customWidth="1"/>
    <col min="8713" max="8713" width="19.5" style="26" customWidth="1"/>
    <col min="8714" max="8714" width="16.25" style="26" customWidth="1"/>
    <col min="8715" max="8960" width="9" style="26"/>
    <col min="8961" max="8961" width="4.875" style="26" customWidth="1"/>
    <col min="8962" max="8962" width="25.375" style="26" customWidth="1"/>
    <col min="8963" max="8963" width="33.75" style="26" customWidth="1"/>
    <col min="8964" max="8964" width="20.25" style="26" customWidth="1"/>
    <col min="8965" max="8965" width="17.625" style="26" customWidth="1"/>
    <col min="8966" max="8967" width="20.625" style="26" customWidth="1"/>
    <col min="8968" max="8968" width="19" style="26" customWidth="1"/>
    <col min="8969" max="8969" width="19.5" style="26" customWidth="1"/>
    <col min="8970" max="8970" width="16.25" style="26" customWidth="1"/>
    <col min="8971" max="9216" width="9" style="26"/>
    <col min="9217" max="9217" width="4.875" style="26" customWidth="1"/>
    <col min="9218" max="9218" width="25.375" style="26" customWidth="1"/>
    <col min="9219" max="9219" width="33.75" style="26" customWidth="1"/>
    <col min="9220" max="9220" width="20.25" style="26" customWidth="1"/>
    <col min="9221" max="9221" width="17.625" style="26" customWidth="1"/>
    <col min="9222" max="9223" width="20.625" style="26" customWidth="1"/>
    <col min="9224" max="9224" width="19" style="26" customWidth="1"/>
    <col min="9225" max="9225" width="19.5" style="26" customWidth="1"/>
    <col min="9226" max="9226" width="16.25" style="26" customWidth="1"/>
    <col min="9227" max="9472" width="9" style="26"/>
    <col min="9473" max="9473" width="4.875" style="26" customWidth="1"/>
    <col min="9474" max="9474" width="25.375" style="26" customWidth="1"/>
    <col min="9475" max="9475" width="33.75" style="26" customWidth="1"/>
    <col min="9476" max="9476" width="20.25" style="26" customWidth="1"/>
    <col min="9477" max="9477" width="17.625" style="26" customWidth="1"/>
    <col min="9478" max="9479" width="20.625" style="26" customWidth="1"/>
    <col min="9480" max="9480" width="19" style="26" customWidth="1"/>
    <col min="9481" max="9481" width="19.5" style="26" customWidth="1"/>
    <col min="9482" max="9482" width="16.25" style="26" customWidth="1"/>
    <col min="9483" max="9728" width="9" style="26"/>
    <col min="9729" max="9729" width="4.875" style="26" customWidth="1"/>
    <col min="9730" max="9730" width="25.375" style="26" customWidth="1"/>
    <col min="9731" max="9731" width="33.75" style="26" customWidth="1"/>
    <col min="9732" max="9732" width="20.25" style="26" customWidth="1"/>
    <col min="9733" max="9733" width="17.625" style="26" customWidth="1"/>
    <col min="9734" max="9735" width="20.625" style="26" customWidth="1"/>
    <col min="9736" max="9736" width="19" style="26" customWidth="1"/>
    <col min="9737" max="9737" width="19.5" style="26" customWidth="1"/>
    <col min="9738" max="9738" width="16.25" style="26" customWidth="1"/>
    <col min="9739" max="9984" width="9" style="26"/>
    <col min="9985" max="9985" width="4.875" style="26" customWidth="1"/>
    <col min="9986" max="9986" width="25.375" style="26" customWidth="1"/>
    <col min="9987" max="9987" width="33.75" style="26" customWidth="1"/>
    <col min="9988" max="9988" width="20.25" style="26" customWidth="1"/>
    <col min="9989" max="9989" width="17.625" style="26" customWidth="1"/>
    <col min="9990" max="9991" width="20.625" style="26" customWidth="1"/>
    <col min="9992" max="9992" width="19" style="26" customWidth="1"/>
    <col min="9993" max="9993" width="19.5" style="26" customWidth="1"/>
    <col min="9994" max="9994" width="16.25" style="26" customWidth="1"/>
    <col min="9995" max="10240" width="9" style="26"/>
    <col min="10241" max="10241" width="4.875" style="26" customWidth="1"/>
    <col min="10242" max="10242" width="25.375" style="26" customWidth="1"/>
    <col min="10243" max="10243" width="33.75" style="26" customWidth="1"/>
    <col min="10244" max="10244" width="20.25" style="26" customWidth="1"/>
    <col min="10245" max="10245" width="17.625" style="26" customWidth="1"/>
    <col min="10246" max="10247" width="20.625" style="26" customWidth="1"/>
    <col min="10248" max="10248" width="19" style="26" customWidth="1"/>
    <col min="10249" max="10249" width="19.5" style="26" customWidth="1"/>
    <col min="10250" max="10250" width="16.25" style="26" customWidth="1"/>
    <col min="10251" max="10496" width="9" style="26"/>
    <col min="10497" max="10497" width="4.875" style="26" customWidth="1"/>
    <col min="10498" max="10498" width="25.375" style="26" customWidth="1"/>
    <col min="10499" max="10499" width="33.75" style="26" customWidth="1"/>
    <col min="10500" max="10500" width="20.25" style="26" customWidth="1"/>
    <col min="10501" max="10501" width="17.625" style="26" customWidth="1"/>
    <col min="10502" max="10503" width="20.625" style="26" customWidth="1"/>
    <col min="10504" max="10504" width="19" style="26" customWidth="1"/>
    <col min="10505" max="10505" width="19.5" style="26" customWidth="1"/>
    <col min="10506" max="10506" width="16.25" style="26" customWidth="1"/>
    <col min="10507" max="10752" width="9" style="26"/>
    <col min="10753" max="10753" width="4.875" style="26" customWidth="1"/>
    <col min="10754" max="10754" width="25.375" style="26" customWidth="1"/>
    <col min="10755" max="10755" width="33.75" style="26" customWidth="1"/>
    <col min="10756" max="10756" width="20.25" style="26" customWidth="1"/>
    <col min="10757" max="10757" width="17.625" style="26" customWidth="1"/>
    <col min="10758" max="10759" width="20.625" style="26" customWidth="1"/>
    <col min="10760" max="10760" width="19" style="26" customWidth="1"/>
    <col min="10761" max="10761" width="19.5" style="26" customWidth="1"/>
    <col min="10762" max="10762" width="16.25" style="26" customWidth="1"/>
    <col min="10763" max="11008" width="9" style="26"/>
    <col min="11009" max="11009" width="4.875" style="26" customWidth="1"/>
    <col min="11010" max="11010" width="25.375" style="26" customWidth="1"/>
    <col min="11011" max="11011" width="33.75" style="26" customWidth="1"/>
    <col min="11012" max="11012" width="20.25" style="26" customWidth="1"/>
    <col min="11013" max="11013" width="17.625" style="26" customWidth="1"/>
    <col min="11014" max="11015" width="20.625" style="26" customWidth="1"/>
    <col min="11016" max="11016" width="19" style="26" customWidth="1"/>
    <col min="11017" max="11017" width="19.5" style="26" customWidth="1"/>
    <col min="11018" max="11018" width="16.25" style="26" customWidth="1"/>
    <col min="11019" max="11264" width="9" style="26"/>
    <col min="11265" max="11265" width="4.875" style="26" customWidth="1"/>
    <col min="11266" max="11266" width="25.375" style="26" customWidth="1"/>
    <col min="11267" max="11267" width="33.75" style="26" customWidth="1"/>
    <col min="11268" max="11268" width="20.25" style="26" customWidth="1"/>
    <col min="11269" max="11269" width="17.625" style="26" customWidth="1"/>
    <col min="11270" max="11271" width="20.625" style="26" customWidth="1"/>
    <col min="11272" max="11272" width="19" style="26" customWidth="1"/>
    <col min="11273" max="11273" width="19.5" style="26" customWidth="1"/>
    <col min="11274" max="11274" width="16.25" style="26" customWidth="1"/>
    <col min="11275" max="11520" width="9" style="26"/>
    <col min="11521" max="11521" width="4.875" style="26" customWidth="1"/>
    <col min="11522" max="11522" width="25.375" style="26" customWidth="1"/>
    <col min="11523" max="11523" width="33.75" style="26" customWidth="1"/>
    <col min="11524" max="11524" width="20.25" style="26" customWidth="1"/>
    <col min="11525" max="11525" width="17.625" style="26" customWidth="1"/>
    <col min="11526" max="11527" width="20.625" style="26" customWidth="1"/>
    <col min="11528" max="11528" width="19" style="26" customWidth="1"/>
    <col min="11529" max="11529" width="19.5" style="26" customWidth="1"/>
    <col min="11530" max="11530" width="16.25" style="26" customWidth="1"/>
    <col min="11531" max="11776" width="9" style="26"/>
    <col min="11777" max="11777" width="4.875" style="26" customWidth="1"/>
    <col min="11778" max="11778" width="25.375" style="26" customWidth="1"/>
    <col min="11779" max="11779" width="33.75" style="26" customWidth="1"/>
    <col min="11780" max="11780" width="20.25" style="26" customWidth="1"/>
    <col min="11781" max="11781" width="17.625" style="26" customWidth="1"/>
    <col min="11782" max="11783" width="20.625" style="26" customWidth="1"/>
    <col min="11784" max="11784" width="19" style="26" customWidth="1"/>
    <col min="11785" max="11785" width="19.5" style="26" customWidth="1"/>
    <col min="11786" max="11786" width="16.25" style="26" customWidth="1"/>
    <col min="11787" max="12032" width="9" style="26"/>
    <col min="12033" max="12033" width="4.875" style="26" customWidth="1"/>
    <col min="12034" max="12034" width="25.375" style="26" customWidth="1"/>
    <col min="12035" max="12035" width="33.75" style="26" customWidth="1"/>
    <col min="12036" max="12036" width="20.25" style="26" customWidth="1"/>
    <col min="12037" max="12037" width="17.625" style="26" customWidth="1"/>
    <col min="12038" max="12039" width="20.625" style="26" customWidth="1"/>
    <col min="12040" max="12040" width="19" style="26" customWidth="1"/>
    <col min="12041" max="12041" width="19.5" style="26" customWidth="1"/>
    <col min="12042" max="12042" width="16.25" style="26" customWidth="1"/>
    <col min="12043" max="12288" width="9" style="26"/>
    <col min="12289" max="12289" width="4.875" style="26" customWidth="1"/>
    <col min="12290" max="12290" width="25.375" style="26" customWidth="1"/>
    <col min="12291" max="12291" width="33.75" style="26" customWidth="1"/>
    <col min="12292" max="12292" width="20.25" style="26" customWidth="1"/>
    <col min="12293" max="12293" width="17.625" style="26" customWidth="1"/>
    <col min="12294" max="12295" width="20.625" style="26" customWidth="1"/>
    <col min="12296" max="12296" width="19" style="26" customWidth="1"/>
    <col min="12297" max="12297" width="19.5" style="26" customWidth="1"/>
    <col min="12298" max="12298" width="16.25" style="26" customWidth="1"/>
    <col min="12299" max="12544" width="9" style="26"/>
    <col min="12545" max="12545" width="4.875" style="26" customWidth="1"/>
    <col min="12546" max="12546" width="25.375" style="26" customWidth="1"/>
    <col min="12547" max="12547" width="33.75" style="26" customWidth="1"/>
    <col min="12548" max="12548" width="20.25" style="26" customWidth="1"/>
    <col min="12549" max="12549" width="17.625" style="26" customWidth="1"/>
    <col min="12550" max="12551" width="20.625" style="26" customWidth="1"/>
    <col min="12552" max="12552" width="19" style="26" customWidth="1"/>
    <col min="12553" max="12553" width="19.5" style="26" customWidth="1"/>
    <col min="12554" max="12554" width="16.25" style="26" customWidth="1"/>
    <col min="12555" max="12800" width="9" style="26"/>
    <col min="12801" max="12801" width="4.875" style="26" customWidth="1"/>
    <col min="12802" max="12802" width="25.375" style="26" customWidth="1"/>
    <col min="12803" max="12803" width="33.75" style="26" customWidth="1"/>
    <col min="12804" max="12804" width="20.25" style="26" customWidth="1"/>
    <col min="12805" max="12805" width="17.625" style="26" customWidth="1"/>
    <col min="12806" max="12807" width="20.625" style="26" customWidth="1"/>
    <col min="12808" max="12808" width="19" style="26" customWidth="1"/>
    <col min="12809" max="12809" width="19.5" style="26" customWidth="1"/>
    <col min="12810" max="12810" width="16.25" style="26" customWidth="1"/>
    <col min="12811" max="13056" width="9" style="26"/>
    <col min="13057" max="13057" width="4.875" style="26" customWidth="1"/>
    <col min="13058" max="13058" width="25.375" style="26" customWidth="1"/>
    <col min="13059" max="13059" width="33.75" style="26" customWidth="1"/>
    <col min="13060" max="13060" width="20.25" style="26" customWidth="1"/>
    <col min="13061" max="13061" width="17.625" style="26" customWidth="1"/>
    <col min="13062" max="13063" width="20.625" style="26" customWidth="1"/>
    <col min="13064" max="13064" width="19" style="26" customWidth="1"/>
    <col min="13065" max="13065" width="19.5" style="26" customWidth="1"/>
    <col min="13066" max="13066" width="16.25" style="26" customWidth="1"/>
    <col min="13067" max="13312" width="9" style="26"/>
    <col min="13313" max="13313" width="4.875" style="26" customWidth="1"/>
    <col min="13314" max="13314" width="25.375" style="26" customWidth="1"/>
    <col min="13315" max="13315" width="33.75" style="26" customWidth="1"/>
    <col min="13316" max="13316" width="20.25" style="26" customWidth="1"/>
    <col min="13317" max="13317" width="17.625" style="26" customWidth="1"/>
    <col min="13318" max="13319" width="20.625" style="26" customWidth="1"/>
    <col min="13320" max="13320" width="19" style="26" customWidth="1"/>
    <col min="13321" max="13321" width="19.5" style="26" customWidth="1"/>
    <col min="13322" max="13322" width="16.25" style="26" customWidth="1"/>
    <col min="13323" max="13568" width="9" style="26"/>
    <col min="13569" max="13569" width="4.875" style="26" customWidth="1"/>
    <col min="13570" max="13570" width="25.375" style="26" customWidth="1"/>
    <col min="13571" max="13571" width="33.75" style="26" customWidth="1"/>
    <col min="13572" max="13572" width="20.25" style="26" customWidth="1"/>
    <col min="13573" max="13573" width="17.625" style="26" customWidth="1"/>
    <col min="13574" max="13575" width="20.625" style="26" customWidth="1"/>
    <col min="13576" max="13576" width="19" style="26" customWidth="1"/>
    <col min="13577" max="13577" width="19.5" style="26" customWidth="1"/>
    <col min="13578" max="13578" width="16.25" style="26" customWidth="1"/>
    <col min="13579" max="13824" width="9" style="26"/>
    <col min="13825" max="13825" width="4.875" style="26" customWidth="1"/>
    <col min="13826" max="13826" width="25.375" style="26" customWidth="1"/>
    <col min="13827" max="13827" width="33.75" style="26" customWidth="1"/>
    <col min="13828" max="13828" width="20.25" style="26" customWidth="1"/>
    <col min="13829" max="13829" width="17.625" style="26" customWidth="1"/>
    <col min="13830" max="13831" width="20.625" style="26" customWidth="1"/>
    <col min="13832" max="13832" width="19" style="26" customWidth="1"/>
    <col min="13833" max="13833" width="19.5" style="26" customWidth="1"/>
    <col min="13834" max="13834" width="16.25" style="26" customWidth="1"/>
    <col min="13835" max="14080" width="9" style="26"/>
    <col min="14081" max="14081" width="4.875" style="26" customWidth="1"/>
    <col min="14082" max="14082" width="25.375" style="26" customWidth="1"/>
    <col min="14083" max="14083" width="33.75" style="26" customWidth="1"/>
    <col min="14084" max="14084" width="20.25" style="26" customWidth="1"/>
    <col min="14085" max="14085" width="17.625" style="26" customWidth="1"/>
    <col min="14086" max="14087" width="20.625" style="26" customWidth="1"/>
    <col min="14088" max="14088" width="19" style="26" customWidth="1"/>
    <col min="14089" max="14089" width="19.5" style="26" customWidth="1"/>
    <col min="14090" max="14090" width="16.25" style="26" customWidth="1"/>
    <col min="14091" max="14336" width="9" style="26"/>
    <col min="14337" max="14337" width="4.875" style="26" customWidth="1"/>
    <col min="14338" max="14338" width="25.375" style="26" customWidth="1"/>
    <col min="14339" max="14339" width="33.75" style="26" customWidth="1"/>
    <col min="14340" max="14340" width="20.25" style="26" customWidth="1"/>
    <col min="14341" max="14341" width="17.625" style="26" customWidth="1"/>
    <col min="14342" max="14343" width="20.625" style="26" customWidth="1"/>
    <col min="14344" max="14344" width="19" style="26" customWidth="1"/>
    <col min="14345" max="14345" width="19.5" style="26" customWidth="1"/>
    <col min="14346" max="14346" width="16.25" style="26" customWidth="1"/>
    <col min="14347" max="14592" width="9" style="26"/>
    <col min="14593" max="14593" width="4.875" style="26" customWidth="1"/>
    <col min="14594" max="14594" width="25.375" style="26" customWidth="1"/>
    <col min="14595" max="14595" width="33.75" style="26" customWidth="1"/>
    <col min="14596" max="14596" width="20.25" style="26" customWidth="1"/>
    <col min="14597" max="14597" width="17.625" style="26" customWidth="1"/>
    <col min="14598" max="14599" width="20.625" style="26" customWidth="1"/>
    <col min="14600" max="14600" width="19" style="26" customWidth="1"/>
    <col min="14601" max="14601" width="19.5" style="26" customWidth="1"/>
    <col min="14602" max="14602" width="16.25" style="26" customWidth="1"/>
    <col min="14603" max="14848" width="9" style="26"/>
    <col min="14849" max="14849" width="4.875" style="26" customWidth="1"/>
    <col min="14850" max="14850" width="25.375" style="26" customWidth="1"/>
    <col min="14851" max="14851" width="33.75" style="26" customWidth="1"/>
    <col min="14852" max="14852" width="20.25" style="26" customWidth="1"/>
    <col min="14853" max="14853" width="17.625" style="26" customWidth="1"/>
    <col min="14854" max="14855" width="20.625" style="26" customWidth="1"/>
    <col min="14856" max="14856" width="19" style="26" customWidth="1"/>
    <col min="14857" max="14857" width="19.5" style="26" customWidth="1"/>
    <col min="14858" max="14858" width="16.25" style="26" customWidth="1"/>
    <col min="14859" max="15104" width="9" style="26"/>
    <col min="15105" max="15105" width="4.875" style="26" customWidth="1"/>
    <col min="15106" max="15106" width="25.375" style="26" customWidth="1"/>
    <col min="15107" max="15107" width="33.75" style="26" customWidth="1"/>
    <col min="15108" max="15108" width="20.25" style="26" customWidth="1"/>
    <col min="15109" max="15109" width="17.625" style="26" customWidth="1"/>
    <col min="15110" max="15111" width="20.625" style="26" customWidth="1"/>
    <col min="15112" max="15112" width="19" style="26" customWidth="1"/>
    <col min="15113" max="15113" width="19.5" style="26" customWidth="1"/>
    <col min="15114" max="15114" width="16.25" style="26" customWidth="1"/>
    <col min="15115" max="15360" width="9" style="26"/>
    <col min="15361" max="15361" width="4.875" style="26" customWidth="1"/>
    <col min="15362" max="15362" width="25.375" style="26" customWidth="1"/>
    <col min="15363" max="15363" width="33.75" style="26" customWidth="1"/>
    <col min="15364" max="15364" width="20.25" style="26" customWidth="1"/>
    <col min="15365" max="15365" width="17.625" style="26" customWidth="1"/>
    <col min="15366" max="15367" width="20.625" style="26" customWidth="1"/>
    <col min="15368" max="15368" width="19" style="26" customWidth="1"/>
    <col min="15369" max="15369" width="19.5" style="26" customWidth="1"/>
    <col min="15370" max="15370" width="16.25" style="26" customWidth="1"/>
    <col min="15371" max="15616" width="9" style="26"/>
    <col min="15617" max="15617" width="4.875" style="26" customWidth="1"/>
    <col min="15618" max="15618" width="25.375" style="26" customWidth="1"/>
    <col min="15619" max="15619" width="33.75" style="26" customWidth="1"/>
    <col min="15620" max="15620" width="20.25" style="26" customWidth="1"/>
    <col min="15621" max="15621" width="17.625" style="26" customWidth="1"/>
    <col min="15622" max="15623" width="20.625" style="26" customWidth="1"/>
    <col min="15624" max="15624" width="19" style="26" customWidth="1"/>
    <col min="15625" max="15625" width="19.5" style="26" customWidth="1"/>
    <col min="15626" max="15626" width="16.25" style="26" customWidth="1"/>
    <col min="15627" max="15872" width="9" style="26"/>
    <col min="15873" max="15873" width="4.875" style="26" customWidth="1"/>
    <col min="15874" max="15874" width="25.375" style="26" customWidth="1"/>
    <col min="15875" max="15875" width="33.75" style="26" customWidth="1"/>
    <col min="15876" max="15876" width="20.25" style="26" customWidth="1"/>
    <col min="15877" max="15877" width="17.625" style="26" customWidth="1"/>
    <col min="15878" max="15879" width="20.625" style="26" customWidth="1"/>
    <col min="15880" max="15880" width="19" style="26" customWidth="1"/>
    <col min="15881" max="15881" width="19.5" style="26" customWidth="1"/>
    <col min="15882" max="15882" width="16.25" style="26" customWidth="1"/>
    <col min="15883" max="16128" width="9" style="26"/>
    <col min="16129" max="16129" width="4.875" style="26" customWidth="1"/>
    <col min="16130" max="16130" width="25.375" style="26" customWidth="1"/>
    <col min="16131" max="16131" width="33.75" style="26" customWidth="1"/>
    <col min="16132" max="16132" width="20.25" style="26" customWidth="1"/>
    <col min="16133" max="16133" width="17.625" style="26" customWidth="1"/>
    <col min="16134" max="16135" width="20.625" style="26" customWidth="1"/>
    <col min="16136" max="16136" width="19" style="26" customWidth="1"/>
    <col min="16137" max="16137" width="19.5" style="26" customWidth="1"/>
    <col min="16138" max="16138" width="16.25" style="26" customWidth="1"/>
    <col min="16139" max="16384" width="9" style="26"/>
  </cols>
  <sheetData>
    <row r="1" spans="1:7" ht="14.25">
      <c r="A1" s="476" t="str">
        <f>+封面!A3&amp;" "&amp;封面!A2</f>
        <v xml:space="preserve"> 中央再保險股份有限公司 年度檢查報表</v>
      </c>
      <c r="B1" s="57"/>
      <c r="C1" s="57"/>
      <c r="D1" s="57"/>
      <c r="E1" s="57"/>
      <c r="F1" s="57"/>
      <c r="G1" s="57"/>
    </row>
    <row r="2" spans="1:7" ht="14.25">
      <c r="A2" s="477" t="s">
        <v>3639</v>
      </c>
      <c r="B2" s="477"/>
      <c r="C2" s="477"/>
      <c r="D2" s="477"/>
      <c r="E2" s="477"/>
      <c r="F2" s="57"/>
      <c r="G2" s="57"/>
    </row>
    <row r="3" spans="1:7" ht="14.25">
      <c r="A3" s="57" t="s">
        <v>3640</v>
      </c>
      <c r="B3" s="477"/>
      <c r="C3" s="477"/>
      <c r="D3" s="477"/>
      <c r="E3" s="477"/>
      <c r="F3" s="57"/>
      <c r="G3" s="57"/>
    </row>
    <row r="4" spans="1:7" ht="28.5">
      <c r="A4" s="3033" t="s">
        <v>3641</v>
      </c>
      <c r="B4" s="478" t="s">
        <v>3642</v>
      </c>
      <c r="C4" s="478" t="s">
        <v>3643</v>
      </c>
      <c r="D4" s="471" t="s">
        <v>2573</v>
      </c>
      <c r="E4" s="471" t="s">
        <v>2577</v>
      </c>
    </row>
    <row r="5" spans="1:7">
      <c r="A5" s="3033"/>
      <c r="B5" s="2610" t="s">
        <v>5633</v>
      </c>
      <c r="C5" s="2610" t="s">
        <v>5634</v>
      </c>
      <c r="D5" s="2611" t="s">
        <v>296</v>
      </c>
      <c r="E5" s="2612" t="s">
        <v>297</v>
      </c>
    </row>
    <row r="6" spans="1:7" ht="18.75" customHeight="1">
      <c r="A6" s="479">
        <v>1</v>
      </c>
      <c r="B6" s="2311">
        <f>'表25-3'!$E$8</f>
        <v>0</v>
      </c>
      <c r="C6" s="2311"/>
      <c r="D6" s="2309">
        <f>D23</f>
        <v>0</v>
      </c>
      <c r="E6" s="2613">
        <v>1</v>
      </c>
    </row>
    <row r="7" spans="1:7" ht="18.75" customHeight="1">
      <c r="A7" s="477"/>
      <c r="B7" s="477"/>
      <c r="C7" s="477"/>
      <c r="D7" s="477"/>
      <c r="E7" s="477"/>
      <c r="F7" s="57"/>
      <c r="G7" s="57"/>
    </row>
    <row r="8" spans="1:7" ht="14.25">
      <c r="A8" s="57" t="s">
        <v>3644</v>
      </c>
      <c r="B8" s="477"/>
      <c r="C8" s="477"/>
      <c r="D8" s="477"/>
      <c r="E8" s="477"/>
    </row>
    <row r="9" spans="1:7" ht="48.4" customHeight="1">
      <c r="A9" s="2927" t="s">
        <v>3625</v>
      </c>
      <c r="B9" s="2930" t="s">
        <v>3645</v>
      </c>
      <c r="C9" s="2932"/>
      <c r="D9" s="471" t="s">
        <v>3380</v>
      </c>
      <c r="E9" s="471" t="s">
        <v>5635</v>
      </c>
    </row>
    <row r="10" spans="1:7">
      <c r="A10" s="2929"/>
      <c r="B10" s="3422"/>
      <c r="C10" s="3423"/>
      <c r="D10" s="2610" t="s">
        <v>125</v>
      </c>
      <c r="E10" s="2614" t="s">
        <v>5636</v>
      </c>
    </row>
    <row r="11" spans="1:7" ht="14.25">
      <c r="A11" s="482">
        <v>2</v>
      </c>
      <c r="B11" s="3424" t="s">
        <v>3646</v>
      </c>
      <c r="C11" s="483" t="s">
        <v>3647</v>
      </c>
      <c r="D11" s="2310">
        <f>'表13-2'!Y8+'表13-2'!Y7</f>
        <v>0</v>
      </c>
      <c r="E11" s="484">
        <f>D11*$E$6</f>
        <v>0</v>
      </c>
    </row>
    <row r="12" spans="1:7" ht="14.25">
      <c r="A12" s="482">
        <v>3</v>
      </c>
      <c r="B12" s="3425"/>
      <c r="C12" s="483" t="s">
        <v>3648</v>
      </c>
      <c r="D12" s="2310">
        <f>'表13-2'!Y9</f>
        <v>0</v>
      </c>
      <c r="E12" s="484">
        <f>D12*$E$6</f>
        <v>0</v>
      </c>
    </row>
    <row r="13" spans="1:7" ht="14.25">
      <c r="A13" s="482">
        <v>4</v>
      </c>
      <c r="B13" s="3425"/>
      <c r="C13" s="483" t="s">
        <v>3649</v>
      </c>
      <c r="D13" s="2310">
        <f>'表13-2'!Y10</f>
        <v>0</v>
      </c>
      <c r="E13" s="484">
        <f>D13*$E$6</f>
        <v>0</v>
      </c>
    </row>
    <row r="14" spans="1:7" ht="15">
      <c r="A14" s="482">
        <v>5</v>
      </c>
      <c r="B14" s="3426"/>
      <c r="C14" s="483" t="s">
        <v>3650</v>
      </c>
      <c r="D14" s="2310">
        <f>SUM(D11:D13)</f>
        <v>0</v>
      </c>
      <c r="E14" s="485">
        <f>SUM(E11:E13)</f>
        <v>0</v>
      </c>
    </row>
    <row r="15" spans="1:7" ht="13.9" customHeight="1">
      <c r="A15" s="482">
        <v>6</v>
      </c>
      <c r="B15" s="3424" t="s">
        <v>3651</v>
      </c>
      <c r="C15" s="486" t="s">
        <v>2563</v>
      </c>
      <c r="D15" s="2310">
        <f>'表13-2'!Y16</f>
        <v>0</v>
      </c>
      <c r="E15" s="484">
        <f>D15*$E$6</f>
        <v>0</v>
      </c>
    </row>
    <row r="16" spans="1:7" ht="14.25">
      <c r="A16" s="482">
        <v>7</v>
      </c>
      <c r="B16" s="3425"/>
      <c r="C16" s="486" t="s">
        <v>2564</v>
      </c>
      <c r="D16" s="2310">
        <f>'表13-2'!Y17</f>
        <v>0</v>
      </c>
      <c r="E16" s="484">
        <f>D16*$E$6</f>
        <v>0</v>
      </c>
    </row>
    <row r="17" spans="1:7" ht="15">
      <c r="A17" s="482">
        <v>8</v>
      </c>
      <c r="B17" s="3426"/>
      <c r="C17" s="483" t="s">
        <v>3650</v>
      </c>
      <c r="D17" s="2310">
        <f>SUM(D15:D16)</f>
        <v>0</v>
      </c>
      <c r="E17" s="485">
        <f>SUM(E15:E16)</f>
        <v>0</v>
      </c>
    </row>
    <row r="18" spans="1:7" ht="14.25">
      <c r="A18" s="482">
        <v>9</v>
      </c>
      <c r="B18" s="3427" t="s">
        <v>3652</v>
      </c>
      <c r="C18" s="483" t="s">
        <v>3653</v>
      </c>
      <c r="D18" s="2310">
        <f>'表13-2'!Y20</f>
        <v>0</v>
      </c>
      <c r="E18" s="484">
        <f>D18*$E$6</f>
        <v>0</v>
      </c>
    </row>
    <row r="19" spans="1:7" ht="14.25">
      <c r="A19" s="482">
        <v>10</v>
      </c>
      <c r="B19" s="3428"/>
      <c r="C19" s="483" t="s">
        <v>3654</v>
      </c>
      <c r="D19" s="2310">
        <f>'表13-2'!Y21</f>
        <v>0</v>
      </c>
      <c r="E19" s="484">
        <f>D19*$E$6</f>
        <v>0</v>
      </c>
    </row>
    <row r="20" spans="1:7" ht="14.25">
      <c r="A20" s="482">
        <v>11</v>
      </c>
      <c r="B20" s="3428"/>
      <c r="C20" s="483" t="s">
        <v>3655</v>
      </c>
      <c r="D20" s="2310">
        <f>'表13-2'!Y22</f>
        <v>0</v>
      </c>
      <c r="E20" s="484">
        <f>D20*$E$6</f>
        <v>0</v>
      </c>
    </row>
    <row r="21" spans="1:7" ht="14.25">
      <c r="A21" s="482">
        <v>12</v>
      </c>
      <c r="B21" s="3428"/>
      <c r="C21" s="483" t="s">
        <v>3656</v>
      </c>
      <c r="D21" s="2310">
        <f>'表13-2'!Y23</f>
        <v>0</v>
      </c>
      <c r="E21" s="484">
        <f>D21*$E$6</f>
        <v>0</v>
      </c>
    </row>
    <row r="22" spans="1:7" ht="15">
      <c r="A22" s="482">
        <v>13</v>
      </c>
      <c r="B22" s="3429"/>
      <c r="C22" s="483" t="s">
        <v>3514</v>
      </c>
      <c r="D22" s="2310">
        <f>SUM(D18:D21)</f>
        <v>0</v>
      </c>
      <c r="E22" s="485">
        <f>SUM(E18:E21)</f>
        <v>0</v>
      </c>
    </row>
    <row r="23" spans="1:7" ht="15">
      <c r="A23" s="482">
        <v>14</v>
      </c>
      <c r="B23" s="2918" t="s">
        <v>3657</v>
      </c>
      <c r="C23" s="2920"/>
      <c r="D23" s="2310">
        <f>D14+D17+D22</f>
        <v>0</v>
      </c>
      <c r="E23" s="485">
        <f>E14+E17+E22</f>
        <v>0</v>
      </c>
    </row>
    <row r="24" spans="1:7">
      <c r="A24" s="487"/>
      <c r="B24" s="456"/>
      <c r="C24" s="456"/>
      <c r="D24" s="488"/>
      <c r="E24" s="488"/>
      <c r="F24" s="489"/>
      <c r="G24" s="489"/>
    </row>
    <row r="25" spans="1:7" ht="27">
      <c r="A25" s="490" t="s">
        <v>3658</v>
      </c>
      <c r="B25" s="3430" t="s">
        <v>3659</v>
      </c>
      <c r="C25" s="3431"/>
      <c r="D25" s="2615" t="s">
        <v>6337</v>
      </c>
      <c r="E25" s="488"/>
      <c r="F25" s="489"/>
      <c r="G25" s="489"/>
    </row>
    <row r="26" spans="1:7" ht="14.25">
      <c r="A26" s="491">
        <v>15</v>
      </c>
      <c r="B26" s="3420" t="s">
        <v>3660</v>
      </c>
      <c r="C26" s="3421"/>
      <c r="D26" s="2309">
        <f>'表13-1'!U21</f>
        <v>0</v>
      </c>
      <c r="E26" s="488"/>
      <c r="F26" s="489"/>
      <c r="G26" s="489"/>
    </row>
    <row r="27" spans="1:7" ht="14.25">
      <c r="A27" s="491">
        <v>16</v>
      </c>
      <c r="B27" s="492" t="s">
        <v>3661</v>
      </c>
      <c r="C27" s="490"/>
      <c r="D27" s="2309"/>
      <c r="E27" s="488"/>
      <c r="F27" s="489"/>
      <c r="G27" s="489"/>
    </row>
    <row r="28" spans="1:7" ht="14.25">
      <c r="A28" s="491">
        <v>17</v>
      </c>
      <c r="B28" s="3420" t="s">
        <v>3662</v>
      </c>
      <c r="C28" s="3421"/>
      <c r="D28" s="2309">
        <f>D26-D27</f>
        <v>0</v>
      </c>
    </row>
    <row r="29" spans="1:7">
      <c r="A29" s="493"/>
      <c r="B29" s="459"/>
      <c r="C29" s="459"/>
    </row>
    <row r="30" spans="1:7" ht="14.25">
      <c r="A30" s="26" t="s">
        <v>3663</v>
      </c>
    </row>
    <row r="31" spans="1:7" ht="14.25">
      <c r="A31" s="494">
        <v>1</v>
      </c>
      <c r="B31" s="2616" t="s">
        <v>6338</v>
      </c>
    </row>
    <row r="32" spans="1:7" ht="14.25">
      <c r="A32" s="494">
        <v>2</v>
      </c>
      <c r="B32" s="2616" t="s">
        <v>6339</v>
      </c>
    </row>
    <row r="33" spans="1:2" ht="14.25">
      <c r="A33" s="494">
        <v>3</v>
      </c>
      <c r="B33" s="2616" t="s">
        <v>6340</v>
      </c>
    </row>
    <row r="34" spans="1:2" ht="14.25">
      <c r="A34" s="494">
        <v>4</v>
      </c>
      <c r="B34" s="2616" t="s">
        <v>6341</v>
      </c>
    </row>
    <row r="35" spans="1:2" ht="14.25">
      <c r="A35" s="494">
        <v>5</v>
      </c>
      <c r="B35" s="2616" t="s">
        <v>6342</v>
      </c>
    </row>
    <row r="36" spans="1:2" ht="14.25">
      <c r="A36" s="494">
        <v>6</v>
      </c>
      <c r="B36" s="2616" t="s">
        <v>6343</v>
      </c>
    </row>
    <row r="37" spans="1:2" ht="14.25">
      <c r="A37" s="494">
        <v>7</v>
      </c>
      <c r="B37" s="2616" t="s">
        <v>6344</v>
      </c>
    </row>
    <row r="38" spans="1:2" ht="14.25">
      <c r="A38" s="494">
        <v>8</v>
      </c>
      <c r="B38" s="2616" t="s">
        <v>6345</v>
      </c>
    </row>
    <row r="39" spans="1:2" ht="14.25">
      <c r="A39" s="494">
        <v>9</v>
      </c>
      <c r="B39" s="2616" t="s">
        <v>6346</v>
      </c>
    </row>
    <row r="40" spans="1:2" ht="14.25">
      <c r="A40" s="494">
        <v>10</v>
      </c>
      <c r="B40" s="2616" t="s">
        <v>6347</v>
      </c>
    </row>
    <row r="41" spans="1:2" ht="14.25">
      <c r="A41" s="494">
        <v>11</v>
      </c>
      <c r="B41" s="2616" t="s">
        <v>6348</v>
      </c>
    </row>
    <row r="42" spans="1:2" ht="14.25">
      <c r="A42" s="494">
        <v>12</v>
      </c>
      <c r="B42" s="2616" t="s">
        <v>6349</v>
      </c>
    </row>
    <row r="43" spans="1:2" ht="15">
      <c r="A43" s="2792">
        <v>13</v>
      </c>
      <c r="B43" s="2689" t="s">
        <v>8459</v>
      </c>
    </row>
  </sheetData>
  <mergeCells count="10">
    <mergeCell ref="A4:A5"/>
    <mergeCell ref="B28:C28"/>
    <mergeCell ref="B23:C23"/>
    <mergeCell ref="B9:C10"/>
    <mergeCell ref="B11:B14"/>
    <mergeCell ref="A9:A10"/>
    <mergeCell ref="B15:B17"/>
    <mergeCell ref="B18:B22"/>
    <mergeCell ref="B25:C25"/>
    <mergeCell ref="B26:C26"/>
  </mergeCells>
  <phoneticPr fontId="30" type="noConversion"/>
  <printOptions horizontalCentered="1"/>
  <pageMargins left="0.23622047244094491" right="0.23622047244094491" top="0.35433070866141736" bottom="0.35433070866141736" header="0.31496062992125984" footer="0.31496062992125984"/>
  <pageSetup paperSize="9" scale="84"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heetViews>
  <sheetFormatPr defaultColWidth="9" defaultRowHeight="14.25"/>
  <cols>
    <col min="1" max="1" width="9" style="2003"/>
    <col min="2" max="2" width="10.5" style="2003" customWidth="1"/>
    <col min="3" max="3" width="31.25" style="2003" customWidth="1"/>
    <col min="4" max="4" width="15.375" style="2003" customWidth="1"/>
    <col min="5" max="5" width="13" style="2003" customWidth="1"/>
    <col min="6" max="6" width="11.75" style="2003" customWidth="1"/>
    <col min="7" max="7" width="9.875" style="2003" customWidth="1"/>
    <col min="8" max="8" width="14.125" style="2003" bestFit="1" customWidth="1"/>
    <col min="9" max="9" width="14.125" style="2003" customWidth="1"/>
    <col min="10" max="10" width="14.125" style="2003" bestFit="1" customWidth="1"/>
    <col min="11" max="16384" width="9" style="2003"/>
  </cols>
  <sheetData>
    <row r="1" spans="1:22">
      <c r="A1" s="2002" t="str">
        <f>+封面!A3&amp;" "&amp;封面!A2</f>
        <v xml:space="preserve"> 中央再保險股份有限公司 年度檢查報表</v>
      </c>
      <c r="L1" s="2004"/>
      <c r="M1" s="2005"/>
      <c r="N1" s="2005"/>
      <c r="O1" s="2005"/>
      <c r="P1" s="2005"/>
      <c r="Q1" s="2005"/>
      <c r="R1" s="2005"/>
      <c r="S1" s="2005"/>
      <c r="T1" s="2005"/>
      <c r="U1" s="2005"/>
      <c r="V1" s="2005"/>
    </row>
    <row r="2" spans="1:22">
      <c r="A2" s="2006" t="s">
        <v>5097</v>
      </c>
      <c r="L2" s="2004"/>
      <c r="M2" s="2007"/>
      <c r="N2" s="2007"/>
      <c r="O2" s="2007"/>
      <c r="P2" s="2007"/>
      <c r="Q2" s="2007"/>
      <c r="R2" s="2007"/>
      <c r="S2" s="2007"/>
      <c r="T2" s="2007"/>
      <c r="U2" s="2007"/>
      <c r="V2" s="2007"/>
    </row>
    <row r="3" spans="1:22">
      <c r="A3" s="2002"/>
      <c r="E3" s="36" t="s">
        <v>816</v>
      </c>
    </row>
    <row r="4" spans="1:22" ht="16.5" customHeight="1">
      <c r="A4" s="3437" t="s">
        <v>227</v>
      </c>
      <c r="B4" s="3439" t="s">
        <v>596</v>
      </c>
      <c r="C4" s="3440"/>
      <c r="D4" s="2008" t="s">
        <v>182</v>
      </c>
      <c r="E4" s="2009" t="s">
        <v>597</v>
      </c>
      <c r="G4" s="2010"/>
      <c r="H4" s="2010"/>
    </row>
    <row r="5" spans="1:22">
      <c r="A5" s="3438"/>
      <c r="B5" s="3441" t="s">
        <v>295</v>
      </c>
      <c r="C5" s="3442"/>
      <c r="D5" s="2011" t="s">
        <v>67</v>
      </c>
      <c r="E5" s="2012" t="s">
        <v>319</v>
      </c>
      <c r="G5" s="2013" t="s">
        <v>598</v>
      </c>
      <c r="H5" s="2013" t="s">
        <v>599</v>
      </c>
    </row>
    <row r="6" spans="1:22" ht="16.5" customHeight="1">
      <c r="A6" s="2014">
        <v>1</v>
      </c>
      <c r="B6" s="3443" t="s">
        <v>600</v>
      </c>
      <c r="C6" s="2015" t="s">
        <v>601</v>
      </c>
      <c r="D6" s="2016">
        <f>SUMIF($B$19:$B$53,"A",$E$19:$E$53)</f>
        <v>0</v>
      </c>
      <c r="E6" s="2016">
        <f>SUMIF($B$19:$B$53,"A",$J$19:$J$53)</f>
        <v>0</v>
      </c>
      <c r="G6" s="2017" t="s">
        <v>602</v>
      </c>
      <c r="H6" s="2018">
        <v>7.8100000000000003E-2</v>
      </c>
    </row>
    <row r="7" spans="1:22" ht="16.5" customHeight="1">
      <c r="A7" s="2014">
        <v>2</v>
      </c>
      <c r="B7" s="3444"/>
      <c r="C7" s="2015" t="s">
        <v>603</v>
      </c>
      <c r="D7" s="2016">
        <f>SUMIF($B$19:$B$53,"B",$E$19:$E$53)</f>
        <v>0</v>
      </c>
      <c r="E7" s="2016">
        <f>SUMIF($B$19:$B$53,"B",$J$19:$J$53)</f>
        <v>0</v>
      </c>
      <c r="G7" s="2017" t="s">
        <v>604</v>
      </c>
      <c r="H7" s="2018">
        <v>8.8300000000000003E-2</v>
      </c>
    </row>
    <row r="8" spans="1:22">
      <c r="A8" s="2014">
        <v>3</v>
      </c>
      <c r="B8" s="3445"/>
      <c r="C8" s="2015" t="s">
        <v>605</v>
      </c>
      <c r="D8" s="2016">
        <f>SUMIF($B$19:$B$53,"C",$E$19:$E$53)</f>
        <v>0</v>
      </c>
      <c r="E8" s="2016">
        <f>SUMIF($B$19:$B$53,"C",$J$19:$J$53)</f>
        <v>0</v>
      </c>
      <c r="G8" s="2017" t="s">
        <v>551</v>
      </c>
      <c r="H8" s="2018">
        <v>3.5299999999999998E-2</v>
      </c>
    </row>
    <row r="9" spans="1:22" ht="16.5" customHeight="1">
      <c r="A9" s="2014">
        <v>4</v>
      </c>
      <c r="B9" s="3443" t="s">
        <v>606</v>
      </c>
      <c r="C9" s="2019" t="s">
        <v>5098</v>
      </c>
      <c r="D9" s="2016">
        <f>SUMIF($B$19:$B$53,"D",$E$19:$E$53)</f>
        <v>0</v>
      </c>
      <c r="E9" s="2016">
        <f>SUMIF($B$19:$B$53,"D",$J$19:$J$53)</f>
        <v>0</v>
      </c>
      <c r="G9" s="2017" t="s">
        <v>607</v>
      </c>
      <c r="H9" s="2018">
        <v>0.1</v>
      </c>
    </row>
    <row r="10" spans="1:22" ht="16.5" customHeight="1">
      <c r="A10" s="2014">
        <v>5</v>
      </c>
      <c r="B10" s="3445"/>
      <c r="C10" s="2019" t="s">
        <v>5099</v>
      </c>
      <c r="D10" s="2016">
        <f>SUMIF($B$19:$B$53,"E",$E$19:$E$53)</f>
        <v>0</v>
      </c>
      <c r="E10" s="2016">
        <f>SUMIF($B$19:$B$53,"E",$J$19:$J$53)</f>
        <v>0</v>
      </c>
      <c r="G10" s="2017" t="s">
        <v>608</v>
      </c>
      <c r="H10" s="2018">
        <v>0.1</v>
      </c>
    </row>
    <row r="11" spans="1:22" ht="16.5" customHeight="1">
      <c r="A11" s="2014">
        <v>6</v>
      </c>
      <c r="B11" s="3446" t="s">
        <v>609</v>
      </c>
      <c r="C11" s="2020" t="s">
        <v>610</v>
      </c>
      <c r="D11" s="2016">
        <f>SUMIF($B$19:$B$53,"F",$E$19:$E$53)</f>
        <v>0</v>
      </c>
      <c r="E11" s="2016">
        <f>SUMIF($B$19:$B$53,"F",$J$19:$J$53)</f>
        <v>0</v>
      </c>
      <c r="G11" s="2017" t="s">
        <v>611</v>
      </c>
      <c r="H11" s="2018">
        <v>0.12280000000000001</v>
      </c>
    </row>
    <row r="12" spans="1:22" ht="16.5" customHeight="1">
      <c r="A12" s="2014">
        <v>7</v>
      </c>
      <c r="B12" s="3447"/>
      <c r="C12" s="2020" t="s">
        <v>612</v>
      </c>
      <c r="D12" s="2016">
        <f>SUMIF($B$19:$B$53,"G",$E$19:$E$53)</f>
        <v>0</v>
      </c>
      <c r="E12" s="2016">
        <f>SUMIF($B$19:$B$53,"G",$J$19:$J$53)</f>
        <v>0</v>
      </c>
      <c r="G12" s="2017" t="s">
        <v>613</v>
      </c>
      <c r="H12" s="2018">
        <v>0.12280000000000001</v>
      </c>
    </row>
    <row r="13" spans="1:22" ht="16.5" customHeight="1">
      <c r="A13" s="2014">
        <v>8</v>
      </c>
      <c r="B13" s="3447"/>
      <c r="C13" s="2020" t="s">
        <v>614</v>
      </c>
      <c r="D13" s="2016">
        <f>SUMIF($B$19:$B$53,"H",$E$19:$E$53)</f>
        <v>0</v>
      </c>
      <c r="E13" s="2016">
        <f>SUMIF($B$19:$B$53,"H",$J$19:$J$53)</f>
        <v>0</v>
      </c>
      <c r="G13" s="2017" t="s">
        <v>615</v>
      </c>
      <c r="H13" s="2018">
        <v>0.11169999999999999</v>
      </c>
    </row>
    <row r="14" spans="1:22" ht="16.5" customHeight="1">
      <c r="A14" s="2014">
        <v>9</v>
      </c>
      <c r="B14" s="3448"/>
      <c r="C14" s="2020" t="s">
        <v>616</v>
      </c>
      <c r="D14" s="2016">
        <f>SUMIF($B$19:$B$53,"I",$E$19:$E$53)</f>
        <v>0</v>
      </c>
      <c r="E14" s="2016">
        <f>SUMIF($B$19:$B$53,"I",$J$19:$J$53)</f>
        <v>0</v>
      </c>
      <c r="G14" s="2017" t="s">
        <v>617</v>
      </c>
      <c r="H14" s="2018">
        <v>0.11169999999999999</v>
      </c>
    </row>
    <row r="15" spans="1:22">
      <c r="A15" s="2014">
        <v>10</v>
      </c>
      <c r="B15" s="3434" t="s">
        <v>618</v>
      </c>
      <c r="C15" s="3435"/>
      <c r="D15" s="2021">
        <f>SUM(D6:D14)</f>
        <v>0</v>
      </c>
      <c r="E15" s="2021">
        <f>SUM(E6:E14)</f>
        <v>0</v>
      </c>
      <c r="G15" s="2022"/>
      <c r="H15" s="2023"/>
    </row>
    <row r="17" spans="1:10" ht="28.5" customHeight="1">
      <c r="A17" s="3436" t="s">
        <v>227</v>
      </c>
      <c r="B17" s="2008" t="s">
        <v>619</v>
      </c>
      <c r="C17" s="2008" t="s">
        <v>620</v>
      </c>
      <c r="D17" s="471" t="s">
        <v>813</v>
      </c>
      <c r="E17" s="2008" t="s">
        <v>621</v>
      </c>
      <c r="F17" s="2008" t="s">
        <v>622</v>
      </c>
      <c r="G17" s="471" t="s">
        <v>1363</v>
      </c>
      <c r="H17" s="2008" t="s">
        <v>623</v>
      </c>
      <c r="I17" s="2008" t="s">
        <v>624</v>
      </c>
      <c r="J17" s="2008" t="s">
        <v>625</v>
      </c>
    </row>
    <row r="18" spans="1:10">
      <c r="A18" s="3436"/>
      <c r="B18" s="2024" t="s">
        <v>626</v>
      </c>
      <c r="C18" s="2024" t="s">
        <v>627</v>
      </c>
      <c r="D18" s="2025" t="s">
        <v>71</v>
      </c>
      <c r="E18" s="2024" t="s">
        <v>72</v>
      </c>
      <c r="F18" s="2025" t="s">
        <v>73</v>
      </c>
      <c r="G18" s="2024" t="s">
        <v>74</v>
      </c>
      <c r="H18" s="2025" t="s">
        <v>75</v>
      </c>
      <c r="I18" s="2024" t="s">
        <v>814</v>
      </c>
      <c r="J18" s="2024" t="s">
        <v>815</v>
      </c>
    </row>
    <row r="19" spans="1:10">
      <c r="A19" s="2026">
        <v>11</v>
      </c>
      <c r="B19" s="2017"/>
      <c r="C19" s="2027"/>
      <c r="D19" s="2027"/>
      <c r="E19" s="2028"/>
      <c r="F19" s="2029" t="e">
        <f t="shared" ref="F19:F52" si="0">VLOOKUP(B19,$G$6:$H$14,2)</f>
        <v>#N/A</v>
      </c>
      <c r="G19" s="2030"/>
      <c r="H19" s="2031">
        <f>IF(D19="A",(G19+1)*0.4,G19*0.4)</f>
        <v>0</v>
      </c>
      <c r="I19" s="2029" t="e">
        <f t="shared" ref="I19:I53" si="1">F19+F19*H19</f>
        <v>#N/A</v>
      </c>
      <c r="J19" s="2032" t="e">
        <f t="shared" ref="J19:J53" si="2">E19*I19</f>
        <v>#N/A</v>
      </c>
    </row>
    <row r="20" spans="1:10">
      <c r="A20" s="2026">
        <v>12</v>
      </c>
      <c r="B20" s="2017"/>
      <c r="C20" s="2027"/>
      <c r="D20" s="2027"/>
      <c r="E20" s="2028"/>
      <c r="F20" s="2029" t="e">
        <f t="shared" si="0"/>
        <v>#N/A</v>
      </c>
      <c r="G20" s="2030"/>
      <c r="H20" s="2031">
        <f t="shared" ref="H20:H53" si="3">IF(D20="A",(G20+1)*0.4,G20*0.4)</f>
        <v>0</v>
      </c>
      <c r="I20" s="2029" t="e">
        <f t="shared" si="1"/>
        <v>#N/A</v>
      </c>
      <c r="J20" s="2032" t="e">
        <f t="shared" si="2"/>
        <v>#N/A</v>
      </c>
    </row>
    <row r="21" spans="1:10">
      <c r="A21" s="2026">
        <v>13</v>
      </c>
      <c r="B21" s="2017"/>
      <c r="C21" s="2027"/>
      <c r="D21" s="2027"/>
      <c r="E21" s="2028"/>
      <c r="F21" s="2029" t="e">
        <f t="shared" si="0"/>
        <v>#N/A</v>
      </c>
      <c r="G21" s="2030"/>
      <c r="H21" s="2031">
        <f t="shared" si="3"/>
        <v>0</v>
      </c>
      <c r="I21" s="2029" t="e">
        <f t="shared" si="1"/>
        <v>#N/A</v>
      </c>
      <c r="J21" s="2032" t="e">
        <f t="shared" si="2"/>
        <v>#N/A</v>
      </c>
    </row>
    <row r="22" spans="1:10">
      <c r="A22" s="2026">
        <v>14</v>
      </c>
      <c r="B22" s="2017"/>
      <c r="C22" s="2027"/>
      <c r="D22" s="2027"/>
      <c r="E22" s="2028"/>
      <c r="F22" s="2029" t="e">
        <f t="shared" si="0"/>
        <v>#N/A</v>
      </c>
      <c r="G22" s="2030"/>
      <c r="H22" s="2031">
        <f t="shared" si="3"/>
        <v>0</v>
      </c>
      <c r="I22" s="2029" t="e">
        <f t="shared" si="1"/>
        <v>#N/A</v>
      </c>
      <c r="J22" s="2032" t="e">
        <f t="shared" si="2"/>
        <v>#N/A</v>
      </c>
    </row>
    <row r="23" spans="1:10">
      <c r="A23" s="2026">
        <v>15</v>
      </c>
      <c r="B23" s="2017"/>
      <c r="C23" s="2027"/>
      <c r="D23" s="2027"/>
      <c r="E23" s="2028"/>
      <c r="F23" s="2029" t="e">
        <f t="shared" si="0"/>
        <v>#N/A</v>
      </c>
      <c r="G23" s="2030"/>
      <c r="H23" s="2031">
        <f t="shared" si="3"/>
        <v>0</v>
      </c>
      <c r="I23" s="2029" t="e">
        <f t="shared" si="1"/>
        <v>#N/A</v>
      </c>
      <c r="J23" s="2032" t="e">
        <f t="shared" si="2"/>
        <v>#N/A</v>
      </c>
    </row>
    <row r="24" spans="1:10">
      <c r="A24" s="2026">
        <v>16</v>
      </c>
      <c r="B24" s="2017"/>
      <c r="C24" s="2027"/>
      <c r="D24" s="2027"/>
      <c r="E24" s="2028"/>
      <c r="F24" s="2029" t="e">
        <f t="shared" si="0"/>
        <v>#N/A</v>
      </c>
      <c r="G24" s="2030"/>
      <c r="H24" s="2031">
        <f t="shared" si="3"/>
        <v>0</v>
      </c>
      <c r="I24" s="2029" t="e">
        <f t="shared" si="1"/>
        <v>#N/A</v>
      </c>
      <c r="J24" s="2032" t="e">
        <f t="shared" si="2"/>
        <v>#N/A</v>
      </c>
    </row>
    <row r="25" spans="1:10">
      <c r="A25" s="2026">
        <v>17</v>
      </c>
      <c r="B25" s="2017"/>
      <c r="C25" s="2027"/>
      <c r="D25" s="2027"/>
      <c r="E25" s="2028"/>
      <c r="F25" s="2029" t="e">
        <f t="shared" si="0"/>
        <v>#N/A</v>
      </c>
      <c r="G25" s="2030"/>
      <c r="H25" s="2031">
        <f t="shared" si="3"/>
        <v>0</v>
      </c>
      <c r="I25" s="2029" t="e">
        <f t="shared" si="1"/>
        <v>#N/A</v>
      </c>
      <c r="J25" s="2032" t="e">
        <f t="shared" si="2"/>
        <v>#N/A</v>
      </c>
    </row>
    <row r="26" spans="1:10">
      <c r="A26" s="2026">
        <v>18</v>
      </c>
      <c r="B26" s="2017"/>
      <c r="C26" s="2027"/>
      <c r="D26" s="2027"/>
      <c r="E26" s="2028"/>
      <c r="F26" s="2029" t="e">
        <f t="shared" si="0"/>
        <v>#N/A</v>
      </c>
      <c r="G26" s="2030"/>
      <c r="H26" s="2031">
        <f t="shared" si="3"/>
        <v>0</v>
      </c>
      <c r="I26" s="2029" t="e">
        <f t="shared" si="1"/>
        <v>#N/A</v>
      </c>
      <c r="J26" s="2032" t="e">
        <f t="shared" si="2"/>
        <v>#N/A</v>
      </c>
    </row>
    <row r="27" spans="1:10">
      <c r="A27" s="2026">
        <v>19</v>
      </c>
      <c r="B27" s="2017"/>
      <c r="C27" s="2027"/>
      <c r="D27" s="2027"/>
      <c r="E27" s="2028"/>
      <c r="F27" s="2029" t="e">
        <f t="shared" si="0"/>
        <v>#N/A</v>
      </c>
      <c r="G27" s="2030"/>
      <c r="H27" s="2031">
        <f t="shared" si="3"/>
        <v>0</v>
      </c>
      <c r="I27" s="2029" t="e">
        <f t="shared" si="1"/>
        <v>#N/A</v>
      </c>
      <c r="J27" s="2032" t="e">
        <f t="shared" si="2"/>
        <v>#N/A</v>
      </c>
    </row>
    <row r="28" spans="1:10">
      <c r="A28" s="2026">
        <v>20</v>
      </c>
      <c r="B28" s="2017"/>
      <c r="C28" s="2027"/>
      <c r="D28" s="2027"/>
      <c r="E28" s="2028"/>
      <c r="F28" s="2029" t="e">
        <f t="shared" si="0"/>
        <v>#N/A</v>
      </c>
      <c r="G28" s="2030"/>
      <c r="H28" s="2031">
        <f t="shared" si="3"/>
        <v>0</v>
      </c>
      <c r="I28" s="2029" t="e">
        <f t="shared" si="1"/>
        <v>#N/A</v>
      </c>
      <c r="J28" s="2032" t="e">
        <f t="shared" si="2"/>
        <v>#N/A</v>
      </c>
    </row>
    <row r="29" spans="1:10">
      <c r="A29" s="2026">
        <v>21</v>
      </c>
      <c r="B29" s="2017"/>
      <c r="C29" s="2027"/>
      <c r="D29" s="2027"/>
      <c r="E29" s="2028"/>
      <c r="F29" s="2029" t="e">
        <f t="shared" si="0"/>
        <v>#N/A</v>
      </c>
      <c r="G29" s="2030"/>
      <c r="H29" s="2031">
        <f t="shared" si="3"/>
        <v>0</v>
      </c>
      <c r="I29" s="2029" t="e">
        <f t="shared" si="1"/>
        <v>#N/A</v>
      </c>
      <c r="J29" s="2032" t="e">
        <f t="shared" si="2"/>
        <v>#N/A</v>
      </c>
    </row>
    <row r="30" spans="1:10">
      <c r="A30" s="2026">
        <v>22</v>
      </c>
      <c r="B30" s="2017"/>
      <c r="C30" s="2027"/>
      <c r="D30" s="2027"/>
      <c r="E30" s="2028"/>
      <c r="F30" s="2029" t="e">
        <f t="shared" si="0"/>
        <v>#N/A</v>
      </c>
      <c r="G30" s="2030"/>
      <c r="H30" s="2031">
        <f t="shared" si="3"/>
        <v>0</v>
      </c>
      <c r="I30" s="2029" t="e">
        <f t="shared" si="1"/>
        <v>#N/A</v>
      </c>
      <c r="J30" s="2032" t="e">
        <f t="shared" si="2"/>
        <v>#N/A</v>
      </c>
    </row>
    <row r="31" spans="1:10">
      <c r="A31" s="2026">
        <v>23</v>
      </c>
      <c r="B31" s="2017"/>
      <c r="C31" s="2027"/>
      <c r="D31" s="2027"/>
      <c r="E31" s="2028"/>
      <c r="F31" s="2029" t="e">
        <f t="shared" si="0"/>
        <v>#N/A</v>
      </c>
      <c r="G31" s="2030"/>
      <c r="H31" s="2031">
        <f t="shared" si="3"/>
        <v>0</v>
      </c>
      <c r="I31" s="2029" t="e">
        <f t="shared" si="1"/>
        <v>#N/A</v>
      </c>
      <c r="J31" s="2032" t="e">
        <f t="shared" si="2"/>
        <v>#N/A</v>
      </c>
    </row>
    <row r="32" spans="1:10">
      <c r="A32" s="2026">
        <v>24</v>
      </c>
      <c r="B32" s="2017"/>
      <c r="C32" s="2027"/>
      <c r="D32" s="2027"/>
      <c r="E32" s="2028"/>
      <c r="F32" s="2029" t="e">
        <f t="shared" si="0"/>
        <v>#N/A</v>
      </c>
      <c r="G32" s="2030"/>
      <c r="H32" s="2031">
        <f t="shared" si="3"/>
        <v>0</v>
      </c>
      <c r="I32" s="2029" t="e">
        <f t="shared" si="1"/>
        <v>#N/A</v>
      </c>
      <c r="J32" s="2032" t="e">
        <f t="shared" si="2"/>
        <v>#N/A</v>
      </c>
    </row>
    <row r="33" spans="1:10">
      <c r="A33" s="2026">
        <v>25</v>
      </c>
      <c r="B33" s="2017"/>
      <c r="C33" s="2027"/>
      <c r="D33" s="2027"/>
      <c r="E33" s="2028"/>
      <c r="F33" s="2029" t="e">
        <f t="shared" si="0"/>
        <v>#N/A</v>
      </c>
      <c r="G33" s="2030"/>
      <c r="H33" s="2031">
        <f t="shared" si="3"/>
        <v>0</v>
      </c>
      <c r="I33" s="2029" t="e">
        <f t="shared" si="1"/>
        <v>#N/A</v>
      </c>
      <c r="J33" s="2032" t="e">
        <f t="shared" si="2"/>
        <v>#N/A</v>
      </c>
    </row>
    <row r="34" spans="1:10">
      <c r="A34" s="2026">
        <v>26</v>
      </c>
      <c r="B34" s="2017"/>
      <c r="C34" s="2027"/>
      <c r="D34" s="2027"/>
      <c r="E34" s="2028"/>
      <c r="F34" s="2029" t="e">
        <f t="shared" si="0"/>
        <v>#N/A</v>
      </c>
      <c r="G34" s="2030"/>
      <c r="H34" s="2031">
        <f t="shared" si="3"/>
        <v>0</v>
      </c>
      <c r="I34" s="2029" t="e">
        <f t="shared" si="1"/>
        <v>#N/A</v>
      </c>
      <c r="J34" s="2032" t="e">
        <f t="shared" si="2"/>
        <v>#N/A</v>
      </c>
    </row>
    <row r="35" spans="1:10">
      <c r="A35" s="2026">
        <v>27</v>
      </c>
      <c r="B35" s="2017"/>
      <c r="C35" s="2027"/>
      <c r="D35" s="2027"/>
      <c r="E35" s="2028"/>
      <c r="F35" s="2029" t="e">
        <f t="shared" si="0"/>
        <v>#N/A</v>
      </c>
      <c r="G35" s="2030"/>
      <c r="H35" s="2031">
        <f t="shared" si="3"/>
        <v>0</v>
      </c>
      <c r="I35" s="2029" t="e">
        <f t="shared" si="1"/>
        <v>#N/A</v>
      </c>
      <c r="J35" s="2032" t="e">
        <f t="shared" si="2"/>
        <v>#N/A</v>
      </c>
    </row>
    <row r="36" spans="1:10">
      <c r="A36" s="2026">
        <v>28</v>
      </c>
      <c r="B36" s="2017"/>
      <c r="C36" s="2027"/>
      <c r="D36" s="2027"/>
      <c r="E36" s="2028"/>
      <c r="F36" s="2029" t="e">
        <f t="shared" si="0"/>
        <v>#N/A</v>
      </c>
      <c r="G36" s="2030"/>
      <c r="H36" s="2031">
        <f t="shared" si="3"/>
        <v>0</v>
      </c>
      <c r="I36" s="2029" t="e">
        <f t="shared" si="1"/>
        <v>#N/A</v>
      </c>
      <c r="J36" s="2032" t="e">
        <f t="shared" si="2"/>
        <v>#N/A</v>
      </c>
    </row>
    <row r="37" spans="1:10">
      <c r="A37" s="2026">
        <v>29</v>
      </c>
      <c r="B37" s="2017"/>
      <c r="C37" s="2027"/>
      <c r="D37" s="2027"/>
      <c r="E37" s="2028"/>
      <c r="F37" s="2029" t="e">
        <f t="shared" si="0"/>
        <v>#N/A</v>
      </c>
      <c r="G37" s="2030"/>
      <c r="H37" s="2031">
        <f t="shared" si="3"/>
        <v>0</v>
      </c>
      <c r="I37" s="2029" t="e">
        <f t="shared" si="1"/>
        <v>#N/A</v>
      </c>
      <c r="J37" s="2032" t="e">
        <f t="shared" si="2"/>
        <v>#N/A</v>
      </c>
    </row>
    <row r="38" spans="1:10">
      <c r="A38" s="2026">
        <v>30</v>
      </c>
      <c r="B38" s="2017"/>
      <c r="C38" s="2027"/>
      <c r="D38" s="2027"/>
      <c r="E38" s="2028"/>
      <c r="F38" s="2029" t="e">
        <f t="shared" si="0"/>
        <v>#N/A</v>
      </c>
      <c r="G38" s="2030"/>
      <c r="H38" s="2031">
        <f t="shared" si="3"/>
        <v>0</v>
      </c>
      <c r="I38" s="2029" t="e">
        <f t="shared" si="1"/>
        <v>#N/A</v>
      </c>
      <c r="J38" s="2032" t="e">
        <f t="shared" si="2"/>
        <v>#N/A</v>
      </c>
    </row>
    <row r="39" spans="1:10">
      <c r="A39" s="2026">
        <v>31</v>
      </c>
      <c r="B39" s="2017"/>
      <c r="C39" s="2027"/>
      <c r="D39" s="2027"/>
      <c r="E39" s="2028"/>
      <c r="F39" s="2029" t="e">
        <f t="shared" si="0"/>
        <v>#N/A</v>
      </c>
      <c r="G39" s="2030"/>
      <c r="H39" s="2031">
        <f t="shared" si="3"/>
        <v>0</v>
      </c>
      <c r="I39" s="2029" t="e">
        <f t="shared" si="1"/>
        <v>#N/A</v>
      </c>
      <c r="J39" s="2032" t="e">
        <f t="shared" si="2"/>
        <v>#N/A</v>
      </c>
    </row>
    <row r="40" spans="1:10">
      <c r="A40" s="2026">
        <v>32</v>
      </c>
      <c r="B40" s="2017"/>
      <c r="C40" s="2027"/>
      <c r="D40" s="2027"/>
      <c r="E40" s="2028"/>
      <c r="F40" s="2029" t="e">
        <f t="shared" si="0"/>
        <v>#N/A</v>
      </c>
      <c r="G40" s="2030"/>
      <c r="H40" s="2031">
        <f t="shared" si="3"/>
        <v>0</v>
      </c>
      <c r="I40" s="2029" t="e">
        <f t="shared" si="1"/>
        <v>#N/A</v>
      </c>
      <c r="J40" s="2032" t="e">
        <f t="shared" si="2"/>
        <v>#N/A</v>
      </c>
    </row>
    <row r="41" spans="1:10">
      <c r="A41" s="2026">
        <v>33</v>
      </c>
      <c r="B41" s="2017"/>
      <c r="C41" s="2027"/>
      <c r="D41" s="2027"/>
      <c r="E41" s="2028"/>
      <c r="F41" s="2029" t="e">
        <f t="shared" si="0"/>
        <v>#N/A</v>
      </c>
      <c r="G41" s="2030"/>
      <c r="H41" s="2031">
        <f t="shared" si="3"/>
        <v>0</v>
      </c>
      <c r="I41" s="2029" t="e">
        <f t="shared" si="1"/>
        <v>#N/A</v>
      </c>
      <c r="J41" s="2032" t="e">
        <f t="shared" si="2"/>
        <v>#N/A</v>
      </c>
    </row>
    <row r="42" spans="1:10">
      <c r="A42" s="2026">
        <v>34</v>
      </c>
      <c r="B42" s="2017"/>
      <c r="C42" s="2027"/>
      <c r="D42" s="2027"/>
      <c r="E42" s="2028"/>
      <c r="F42" s="2029" t="e">
        <f t="shared" si="0"/>
        <v>#N/A</v>
      </c>
      <c r="G42" s="2030"/>
      <c r="H42" s="2031">
        <f t="shared" si="3"/>
        <v>0</v>
      </c>
      <c r="I42" s="2029" t="e">
        <f t="shared" si="1"/>
        <v>#N/A</v>
      </c>
      <c r="J42" s="2032" t="e">
        <f t="shared" si="2"/>
        <v>#N/A</v>
      </c>
    </row>
    <row r="43" spans="1:10">
      <c r="A43" s="2026">
        <v>35</v>
      </c>
      <c r="B43" s="2017"/>
      <c r="C43" s="2027"/>
      <c r="D43" s="2027"/>
      <c r="E43" s="2028"/>
      <c r="F43" s="2029" t="e">
        <f t="shared" si="0"/>
        <v>#N/A</v>
      </c>
      <c r="G43" s="2030"/>
      <c r="H43" s="2031">
        <f t="shared" si="3"/>
        <v>0</v>
      </c>
      <c r="I43" s="2029" t="e">
        <f t="shared" si="1"/>
        <v>#N/A</v>
      </c>
      <c r="J43" s="2032" t="e">
        <f t="shared" si="2"/>
        <v>#N/A</v>
      </c>
    </row>
    <row r="44" spans="1:10">
      <c r="A44" s="2026">
        <v>36</v>
      </c>
      <c r="B44" s="2017"/>
      <c r="C44" s="2027"/>
      <c r="D44" s="2027"/>
      <c r="E44" s="2028"/>
      <c r="F44" s="2029" t="e">
        <f t="shared" si="0"/>
        <v>#N/A</v>
      </c>
      <c r="G44" s="2030"/>
      <c r="H44" s="2031">
        <f t="shared" si="3"/>
        <v>0</v>
      </c>
      <c r="I44" s="2029" t="e">
        <f t="shared" si="1"/>
        <v>#N/A</v>
      </c>
      <c r="J44" s="2032" t="e">
        <f t="shared" si="2"/>
        <v>#N/A</v>
      </c>
    </row>
    <row r="45" spans="1:10">
      <c r="A45" s="2026">
        <v>37</v>
      </c>
      <c r="B45" s="2017"/>
      <c r="C45" s="2027"/>
      <c r="D45" s="2027"/>
      <c r="E45" s="2028"/>
      <c r="F45" s="2029" t="e">
        <f t="shared" si="0"/>
        <v>#N/A</v>
      </c>
      <c r="G45" s="2030"/>
      <c r="H45" s="2031">
        <f t="shared" si="3"/>
        <v>0</v>
      </c>
      <c r="I45" s="2029" t="e">
        <f t="shared" si="1"/>
        <v>#N/A</v>
      </c>
      <c r="J45" s="2032" t="e">
        <f t="shared" si="2"/>
        <v>#N/A</v>
      </c>
    </row>
    <row r="46" spans="1:10">
      <c r="A46" s="2026">
        <v>38</v>
      </c>
      <c r="B46" s="2017"/>
      <c r="C46" s="2027"/>
      <c r="D46" s="2027"/>
      <c r="E46" s="2028"/>
      <c r="F46" s="2029" t="e">
        <f t="shared" si="0"/>
        <v>#N/A</v>
      </c>
      <c r="G46" s="2030"/>
      <c r="H46" s="2031">
        <f t="shared" si="3"/>
        <v>0</v>
      </c>
      <c r="I46" s="2029" t="e">
        <f t="shared" si="1"/>
        <v>#N/A</v>
      </c>
      <c r="J46" s="2032" t="e">
        <f t="shared" si="2"/>
        <v>#N/A</v>
      </c>
    </row>
    <row r="47" spans="1:10">
      <c r="A47" s="2026">
        <v>39</v>
      </c>
      <c r="B47" s="2017"/>
      <c r="C47" s="2027"/>
      <c r="D47" s="2027"/>
      <c r="E47" s="2028"/>
      <c r="F47" s="2029" t="e">
        <f t="shared" si="0"/>
        <v>#N/A</v>
      </c>
      <c r="G47" s="2030"/>
      <c r="H47" s="2031">
        <f t="shared" si="3"/>
        <v>0</v>
      </c>
      <c r="I47" s="2029" t="e">
        <f t="shared" si="1"/>
        <v>#N/A</v>
      </c>
      <c r="J47" s="2032" t="e">
        <f t="shared" si="2"/>
        <v>#N/A</v>
      </c>
    </row>
    <row r="48" spans="1:10">
      <c r="A48" s="2026">
        <v>40</v>
      </c>
      <c r="B48" s="2017"/>
      <c r="C48" s="2027"/>
      <c r="D48" s="2027"/>
      <c r="E48" s="2028"/>
      <c r="F48" s="2029" t="e">
        <f t="shared" si="0"/>
        <v>#N/A</v>
      </c>
      <c r="G48" s="2030"/>
      <c r="H48" s="2031">
        <f t="shared" si="3"/>
        <v>0</v>
      </c>
      <c r="I48" s="2029" t="e">
        <f t="shared" si="1"/>
        <v>#N/A</v>
      </c>
      <c r="J48" s="2032" t="e">
        <f t="shared" si="2"/>
        <v>#N/A</v>
      </c>
    </row>
    <row r="49" spans="1:10">
      <c r="A49" s="2026">
        <v>41</v>
      </c>
      <c r="B49" s="2017"/>
      <c r="C49" s="2027"/>
      <c r="D49" s="2027"/>
      <c r="E49" s="2028"/>
      <c r="F49" s="2029" t="e">
        <f t="shared" si="0"/>
        <v>#N/A</v>
      </c>
      <c r="G49" s="2030"/>
      <c r="H49" s="2031">
        <f t="shared" si="3"/>
        <v>0</v>
      </c>
      <c r="I49" s="2029" t="e">
        <f t="shared" si="1"/>
        <v>#N/A</v>
      </c>
      <c r="J49" s="2032" t="e">
        <f t="shared" si="2"/>
        <v>#N/A</v>
      </c>
    </row>
    <row r="50" spans="1:10">
      <c r="A50" s="2026">
        <v>42</v>
      </c>
      <c r="B50" s="2017"/>
      <c r="C50" s="2027"/>
      <c r="D50" s="2027"/>
      <c r="E50" s="2028"/>
      <c r="F50" s="2029" t="e">
        <f t="shared" si="0"/>
        <v>#N/A</v>
      </c>
      <c r="G50" s="2030"/>
      <c r="H50" s="2031">
        <f t="shared" si="3"/>
        <v>0</v>
      </c>
      <c r="I50" s="2029" t="e">
        <f t="shared" si="1"/>
        <v>#N/A</v>
      </c>
      <c r="J50" s="2032" t="e">
        <f t="shared" si="2"/>
        <v>#N/A</v>
      </c>
    </row>
    <row r="51" spans="1:10">
      <c r="A51" s="2026">
        <v>43</v>
      </c>
      <c r="B51" s="2017"/>
      <c r="C51" s="2027"/>
      <c r="D51" s="2027"/>
      <c r="E51" s="2028"/>
      <c r="F51" s="2029" t="e">
        <f t="shared" si="0"/>
        <v>#N/A</v>
      </c>
      <c r="G51" s="2030"/>
      <c r="H51" s="2031">
        <f t="shared" si="3"/>
        <v>0</v>
      </c>
      <c r="I51" s="2029" t="e">
        <f t="shared" si="1"/>
        <v>#N/A</v>
      </c>
      <c r="J51" s="2032" t="e">
        <f t="shared" si="2"/>
        <v>#N/A</v>
      </c>
    </row>
    <row r="52" spans="1:10">
      <c r="A52" s="2026">
        <v>44</v>
      </c>
      <c r="B52" s="2017"/>
      <c r="C52" s="2027"/>
      <c r="D52" s="2027"/>
      <c r="E52" s="2028"/>
      <c r="F52" s="2029" t="e">
        <f t="shared" si="0"/>
        <v>#N/A</v>
      </c>
      <c r="G52" s="2030"/>
      <c r="H52" s="2031">
        <f t="shared" si="3"/>
        <v>0</v>
      </c>
      <c r="I52" s="2029" t="e">
        <f t="shared" si="1"/>
        <v>#N/A</v>
      </c>
      <c r="J52" s="2032" t="e">
        <f t="shared" si="2"/>
        <v>#N/A</v>
      </c>
    </row>
    <row r="53" spans="1:10">
      <c r="A53" s="2026">
        <v>45</v>
      </c>
      <c r="B53" s="2017"/>
      <c r="C53" s="2027"/>
      <c r="D53" s="2027"/>
      <c r="E53" s="2028"/>
      <c r="F53" s="2029" t="e">
        <f>VLOOKUP(B53,$G$6:$H$14,2)</f>
        <v>#N/A</v>
      </c>
      <c r="G53" s="2030"/>
      <c r="H53" s="2031">
        <f t="shared" si="3"/>
        <v>0</v>
      </c>
      <c r="I53" s="2029" t="e">
        <f t="shared" si="1"/>
        <v>#N/A</v>
      </c>
      <c r="J53" s="2032" t="e">
        <f t="shared" si="2"/>
        <v>#N/A</v>
      </c>
    </row>
    <row r="54" spans="1:10">
      <c r="A54" s="2033"/>
      <c r="B54" s="2005"/>
      <c r="C54" s="2034"/>
      <c r="D54" s="2035"/>
      <c r="E54" s="2036"/>
      <c r="F54" s="2037"/>
      <c r="G54" s="2038"/>
      <c r="H54" s="2036"/>
      <c r="I54" s="2039"/>
    </row>
    <row r="55" spans="1:10">
      <c r="A55" s="2003" t="s">
        <v>628</v>
      </c>
    </row>
    <row r="56" spans="1:10" ht="13.9" customHeight="1">
      <c r="A56" s="2040">
        <v>1</v>
      </c>
      <c r="B56" s="3432" t="s">
        <v>5100</v>
      </c>
      <c r="C56" s="3432"/>
      <c r="D56" s="3432"/>
      <c r="E56" s="3432"/>
      <c r="F56" s="3432"/>
      <c r="G56" s="3432"/>
      <c r="H56" s="3432"/>
      <c r="I56" s="3432"/>
      <c r="J56" s="3432"/>
    </row>
    <row r="57" spans="1:10">
      <c r="A57" s="2041">
        <v>2</v>
      </c>
      <c r="B57" s="2041" t="s">
        <v>4415</v>
      </c>
      <c r="C57" s="2041"/>
      <c r="D57" s="2041"/>
      <c r="E57" s="2041"/>
      <c r="F57" s="2041"/>
      <c r="G57" s="2041"/>
      <c r="H57" s="2041"/>
      <c r="I57" s="2041"/>
      <c r="J57" s="2041"/>
    </row>
    <row r="58" spans="1:10">
      <c r="A58" s="2041">
        <v>3</v>
      </c>
      <c r="B58" s="2042" t="s">
        <v>4812</v>
      </c>
      <c r="C58" s="2041"/>
      <c r="D58" s="2041"/>
      <c r="E58" s="2041"/>
      <c r="F58" s="2041"/>
      <c r="G58" s="2041"/>
      <c r="H58" s="2041"/>
      <c r="I58" s="2041"/>
      <c r="J58" s="2041"/>
    </row>
    <row r="59" spans="1:10" ht="28.5" customHeight="1">
      <c r="A59" s="2043">
        <v>4</v>
      </c>
      <c r="B59" s="3449" t="s">
        <v>5101</v>
      </c>
      <c r="C59" s="3449"/>
      <c r="D59" s="3449"/>
      <c r="E59" s="3449"/>
      <c r="F59" s="3449"/>
      <c r="G59" s="3449"/>
      <c r="H59" s="3449"/>
      <c r="I59" s="3449"/>
      <c r="J59" s="3449"/>
    </row>
    <row r="60" spans="1:10" ht="14.45" customHeight="1">
      <c r="A60" s="29">
        <v>5</v>
      </c>
      <c r="B60" s="3433" t="s">
        <v>5102</v>
      </c>
      <c r="C60" s="3433"/>
      <c r="D60" s="3433"/>
      <c r="E60" s="3433"/>
      <c r="F60" s="3433"/>
      <c r="G60" s="3433"/>
      <c r="H60" s="3433"/>
      <c r="I60" s="3433"/>
      <c r="J60" s="3433"/>
    </row>
  </sheetData>
  <mergeCells count="11">
    <mergeCell ref="B56:J56"/>
    <mergeCell ref="B60:J60"/>
    <mergeCell ref="B15:C15"/>
    <mergeCell ref="A17:A18"/>
    <mergeCell ref="A4:A5"/>
    <mergeCell ref="B4:C4"/>
    <mergeCell ref="B5:C5"/>
    <mergeCell ref="B6:B8"/>
    <mergeCell ref="B9:B10"/>
    <mergeCell ref="B11:B14"/>
    <mergeCell ref="B59:J59"/>
  </mergeCells>
  <phoneticPr fontId="32" type="noConversion"/>
  <pageMargins left="0.33" right="0.21" top="0.71" bottom="1" header="0.5" footer="0.5"/>
  <pageSetup paperSize="9" scale="64" fitToHeight="0"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tabColor rgb="FFFFFF00"/>
    <pageSetUpPr fitToPage="1"/>
  </sheetPr>
  <dimension ref="A1:J24"/>
  <sheetViews>
    <sheetView view="pageBreakPreview" zoomScaleNormal="100" workbookViewId="0">
      <selection activeCell="A24" sqref="A24:B24"/>
    </sheetView>
  </sheetViews>
  <sheetFormatPr defaultColWidth="9" defaultRowHeight="15.75"/>
  <cols>
    <col min="1" max="1" width="5.75" style="24" customWidth="1"/>
    <col min="2" max="2" width="20.125" style="24" customWidth="1"/>
    <col min="3" max="3" width="14.875" style="24" customWidth="1"/>
    <col min="4" max="4" width="13.25" style="24" customWidth="1"/>
    <col min="5" max="9" width="13.625" style="24" customWidth="1"/>
    <col min="10" max="10" width="12.75" style="24" customWidth="1"/>
    <col min="11" max="16384" width="9" style="24"/>
  </cols>
  <sheetData>
    <row r="1" spans="1:10">
      <c r="A1" s="458" t="str">
        <f>+封面!A3&amp;" "&amp;封面!A2</f>
        <v xml:space="preserve"> 中央再保險股份有限公司 年度檢查報表</v>
      </c>
      <c r="E1" s="25"/>
      <c r="F1" s="25"/>
      <c r="G1" s="25"/>
      <c r="H1" s="25"/>
      <c r="I1" s="25"/>
      <c r="J1" s="25"/>
    </row>
    <row r="2" spans="1:10">
      <c r="A2" s="459" t="s">
        <v>3624</v>
      </c>
    </row>
    <row r="4" spans="1:10" ht="17.649999999999999" customHeight="1">
      <c r="A4" s="2927" t="s">
        <v>3625</v>
      </c>
      <c r="B4" s="3454" t="s">
        <v>1359</v>
      </c>
      <c r="C4" s="3455"/>
      <c r="D4" s="3456"/>
      <c r="E4" s="2905" t="s">
        <v>3626</v>
      </c>
      <c r="F4" s="2905" t="s">
        <v>3627</v>
      </c>
      <c r="G4" s="2905" t="s">
        <v>3628</v>
      </c>
      <c r="H4" s="2912" t="s">
        <v>3629</v>
      </c>
      <c r="I4" s="2912"/>
      <c r="J4" s="2905" t="s">
        <v>3630</v>
      </c>
    </row>
    <row r="5" spans="1:10" ht="54" customHeight="1">
      <c r="A5" s="2928"/>
      <c r="B5" s="3457"/>
      <c r="C5" s="3458"/>
      <c r="D5" s="3459"/>
      <c r="E5" s="2921"/>
      <c r="F5" s="2921"/>
      <c r="G5" s="2910"/>
      <c r="H5" s="460" t="s">
        <v>3631</v>
      </c>
      <c r="I5" s="460" t="s">
        <v>3632</v>
      </c>
      <c r="J5" s="2910"/>
    </row>
    <row r="6" spans="1:10">
      <c r="A6" s="2929"/>
      <c r="B6" s="3463" t="s">
        <v>295</v>
      </c>
      <c r="C6" s="3464"/>
      <c r="D6" s="3465"/>
      <c r="E6" s="461" t="s">
        <v>874</v>
      </c>
      <c r="F6" s="461" t="s">
        <v>68</v>
      </c>
      <c r="G6" s="461" t="s">
        <v>69</v>
      </c>
      <c r="H6" s="461" t="s">
        <v>875</v>
      </c>
      <c r="I6" s="461" t="s">
        <v>876</v>
      </c>
      <c r="J6" s="461" t="s">
        <v>877</v>
      </c>
    </row>
    <row r="7" spans="1:10" ht="32.25" customHeight="1">
      <c r="A7" s="462">
        <v>1</v>
      </c>
      <c r="B7" s="2940" t="s">
        <v>3633</v>
      </c>
      <c r="C7" s="3450"/>
      <c r="D7" s="2941"/>
      <c r="E7" s="463">
        <f>SUMPRODUCT(('表10-1'!J6:J15="A1")*('表10-1'!I6:I15="A")*('表10-1'!AA6:AA15))+SUMPRODUCT(('表10-1'!J6:J15="A1")*('表10-1'!I6:I15="B")*('表10-1'!AA6:AA15))+SUMPRODUCT(('表10-1'!J6:J15="A2")*('表10-1'!I6:I15="A")*('表10-1'!AA6:AA15))+SUMPRODUCT(('表10-1'!J6:J15="A2")*('表10-1'!I6:I15="B")*('表10-1'!AA6:AA15))</f>
        <v>0</v>
      </c>
      <c r="F7" s="464">
        <f>SUMPRODUCT(('表10-1'!J6:J15="A1")*('表10-1'!I6:I15="A")*('表10-1'!V6:V15))+SUMPRODUCT(('表10-1'!J6:J15="A1")*('表10-1'!I6:I15="B")*('表10-1'!V6:V15))+SUMPRODUCT(('表10-1'!J6:J15="A2")*('表10-1'!I6:I15="A")*('表10-1'!V6:V15))+SUMPRODUCT(('表10-1'!J6:J15="A2")*('表10-1'!I6:I15="B")*('表10-1'!V6:V15))</f>
        <v>0</v>
      </c>
      <c r="G7" s="464">
        <f>SUMPRODUCT(('表10-1'!J6:J15="A1")*('表10-1'!I6:I15="A")*('表10-1'!AB6:AB15))+SUMPRODUCT(('表10-1'!J6:J15="A1")*('表10-1'!I6:I15="B")*('表10-1'!AB6:AB15))+SUMPRODUCT(('表10-1'!J6:J15="A2")*('表10-1'!I6:I15="A")*('表10-1'!AB6:AB15))+SUMPRODUCT(('表10-1'!J6:J15="A2")*('表10-1'!I6:I15="B")*('表10-1'!AB6:AB15))</f>
        <v>0</v>
      </c>
      <c r="H7" s="465">
        <f>F7-E7</f>
        <v>0</v>
      </c>
      <c r="I7" s="465">
        <f>G7-E7</f>
        <v>0</v>
      </c>
      <c r="J7" s="465">
        <f>I7-H7</f>
        <v>0</v>
      </c>
    </row>
    <row r="8" spans="1:10" ht="31.9" customHeight="1">
      <c r="A8" s="462">
        <v>2</v>
      </c>
      <c r="B8" s="2940" t="s">
        <v>3634</v>
      </c>
      <c r="C8" s="3450"/>
      <c r="D8" s="2941"/>
      <c r="E8" s="463">
        <f>SUMPRODUCT(('表10-1'!J6:J15="B")*('表10-1'!I6:I15="A")*('表10-1'!AA6:AA15))+SUMPRODUCT(('表10-1'!J6:J15="B")*('表10-1'!I6:I15="B")*('表10-1'!AA6:AA15))</f>
        <v>0</v>
      </c>
      <c r="F8" s="464">
        <f>SUMPRODUCT(('表10-1'!J6:J15="B")*('表10-1'!I6:I15="A")*('表10-1'!V6:V15))+SUMPRODUCT(('表10-1'!J6:J15="B")*('表10-1'!I6:I15="B")*('表10-1'!V6:V15))</f>
        <v>0</v>
      </c>
      <c r="G8" s="464">
        <f>SUMPRODUCT(('表10-1'!J6:J15="B")*('表10-1'!I6:I15="A")*('表10-1'!AB6:AB15))+SUMPRODUCT(('表10-1'!J6:J15="B")*('表10-1'!I6:I15="B")*('表10-1'!AB6:AB15))</f>
        <v>0</v>
      </c>
      <c r="H8" s="465">
        <f>F8-E8</f>
        <v>0</v>
      </c>
      <c r="I8" s="465">
        <f>G8-E8</f>
        <v>0</v>
      </c>
      <c r="J8" s="465">
        <f>I8-H8</f>
        <v>0</v>
      </c>
    </row>
    <row r="9" spans="1:10" ht="32.25" customHeight="1">
      <c r="A9" s="462">
        <v>3</v>
      </c>
      <c r="B9" s="2940" t="s">
        <v>3635</v>
      </c>
      <c r="C9" s="3450"/>
      <c r="D9" s="2941"/>
      <c r="E9" s="466">
        <f>'表09-1'!AD16</f>
        <v>0</v>
      </c>
      <c r="F9" s="467">
        <f>'表09-1'!Y16</f>
        <v>0</v>
      </c>
      <c r="G9" s="466">
        <f>'表09-1'!AE16</f>
        <v>0</v>
      </c>
      <c r="H9" s="465">
        <f>F9-E9</f>
        <v>0</v>
      </c>
      <c r="I9" s="465">
        <f>G9-E9</f>
        <v>0</v>
      </c>
      <c r="J9" s="465">
        <f>I9-H9</f>
        <v>0</v>
      </c>
    </row>
    <row r="10" spans="1:10" ht="33" customHeight="1">
      <c r="A10" s="462">
        <v>4</v>
      </c>
      <c r="B10" s="2940" t="s">
        <v>3636</v>
      </c>
      <c r="C10" s="3450"/>
      <c r="D10" s="2941"/>
      <c r="E10" s="465">
        <f>'表12-1'!Z16</f>
        <v>0</v>
      </c>
      <c r="F10" s="465">
        <f>'表12-1'!U16</f>
        <v>0</v>
      </c>
      <c r="G10" s="465">
        <f>'表12-1'!AA16</f>
        <v>0</v>
      </c>
      <c r="H10" s="465">
        <f>F10-E10</f>
        <v>0</v>
      </c>
      <c r="I10" s="465">
        <f>G10-E10</f>
        <v>0</v>
      </c>
      <c r="J10" s="465">
        <f>I10-H10</f>
        <v>0</v>
      </c>
    </row>
    <row r="11" spans="1:10" ht="32.25" customHeight="1">
      <c r="A11" s="462">
        <v>5</v>
      </c>
      <c r="B11" s="3461" t="s">
        <v>3637</v>
      </c>
      <c r="C11" s="3450"/>
      <c r="D11" s="3462"/>
      <c r="E11" s="465">
        <f>'表12-1'!Z17</f>
        <v>0</v>
      </c>
      <c r="F11" s="465">
        <f>'表12-1'!U17</f>
        <v>0</v>
      </c>
      <c r="G11" s="465">
        <f>'表12-1'!AA17</f>
        <v>0</v>
      </c>
      <c r="H11" s="465">
        <f>F11-E11</f>
        <v>0</v>
      </c>
      <c r="I11" s="465">
        <f>G11-E11</f>
        <v>0</v>
      </c>
      <c r="J11" s="465">
        <f>I11-H11</f>
        <v>0</v>
      </c>
    </row>
    <row r="12" spans="1:10">
      <c r="A12" s="462">
        <v>6</v>
      </c>
      <c r="B12" s="2940" t="s">
        <v>3638</v>
      </c>
      <c r="C12" s="3450"/>
      <c r="D12" s="2941"/>
      <c r="E12" s="468"/>
      <c r="F12" s="468"/>
      <c r="G12" s="468"/>
      <c r="H12" s="465">
        <f>SUM(H7:H11)</f>
        <v>0</v>
      </c>
      <c r="I12" s="468"/>
      <c r="J12" s="465">
        <f>SUM(J7:J11)</f>
        <v>0</v>
      </c>
    </row>
    <row r="14" spans="1:10">
      <c r="A14" s="469"/>
      <c r="B14" s="470"/>
      <c r="C14" s="470"/>
      <c r="D14" s="470"/>
    </row>
    <row r="15" spans="1:10" ht="28.5">
      <c r="A15" s="3452" t="s">
        <v>1328</v>
      </c>
      <c r="B15" s="3454" t="s">
        <v>1329</v>
      </c>
      <c r="C15" s="3455"/>
      <c r="D15" s="3456"/>
      <c r="E15" s="471" t="s">
        <v>1330</v>
      </c>
      <c r="F15" s="471" t="s">
        <v>1331</v>
      </c>
      <c r="G15" s="471" t="s">
        <v>1332</v>
      </c>
      <c r="H15" s="472" t="s">
        <v>1333</v>
      </c>
      <c r="I15" s="471" t="s">
        <v>1334</v>
      </c>
      <c r="J15" s="471" t="s">
        <v>1335</v>
      </c>
    </row>
    <row r="16" spans="1:10">
      <c r="A16" s="3453"/>
      <c r="B16" s="3457"/>
      <c r="C16" s="3458"/>
      <c r="D16" s="3459"/>
      <c r="E16" s="473" t="s">
        <v>1336</v>
      </c>
      <c r="F16" s="473" t="s">
        <v>1337</v>
      </c>
      <c r="G16" s="473" t="s">
        <v>1338</v>
      </c>
      <c r="H16" s="473" t="s">
        <v>1339</v>
      </c>
      <c r="I16" s="473" t="s">
        <v>1340</v>
      </c>
      <c r="J16" s="474" t="s">
        <v>1341</v>
      </c>
    </row>
    <row r="17" spans="1:10">
      <c r="A17" s="462">
        <v>7</v>
      </c>
      <c r="B17" s="2912" t="s">
        <v>3633</v>
      </c>
      <c r="C17" s="2911" t="s">
        <v>1342</v>
      </c>
      <c r="D17" s="128" t="s">
        <v>1343</v>
      </c>
      <c r="E17" s="463">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463">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463">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463">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463">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463">
        <f>+H17-I17</f>
        <v>0</v>
      </c>
    </row>
    <row r="18" spans="1:10">
      <c r="A18" s="462">
        <v>8</v>
      </c>
      <c r="B18" s="2912"/>
      <c r="C18" s="2937"/>
      <c r="D18" s="128" t="s">
        <v>1344</v>
      </c>
      <c r="E18" s="463">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463">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463">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475"/>
      <c r="I18" s="475"/>
      <c r="J18" s="475"/>
    </row>
    <row r="19" spans="1:10">
      <c r="A19" s="462">
        <v>9</v>
      </c>
      <c r="B19" s="2912"/>
      <c r="C19" s="3451" t="s">
        <v>1345</v>
      </c>
      <c r="D19" s="3460"/>
      <c r="E19" s="463">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463">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463">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475"/>
      <c r="I19" s="475"/>
      <c r="J19" s="475"/>
    </row>
    <row r="20" spans="1:10" ht="17.649999999999999" customHeight="1">
      <c r="A20" s="462">
        <v>10</v>
      </c>
      <c r="B20" s="2912" t="s">
        <v>3634</v>
      </c>
      <c r="C20" s="2911" t="s">
        <v>1346</v>
      </c>
      <c r="D20" s="128" t="s">
        <v>1347</v>
      </c>
      <c r="E20" s="463">
        <f>SUMPRODUCT(('表10-1'!J6:J26="B")*('表10-1'!I6:I26="C")*('表10-1'!X6:X26&gt;=0)*(-('表10-1'!W6:W26)&lt;=('表10-1'!X6:X26))*('表10-1'!AA6:AA26))+SUMPRODUCT(('表10-1'!J6:J26="B")*('表10-1'!I6:I26="D")*('表10-1'!X6:X26&gt;=0)*(-('表10-1'!W6:W26)&lt;=('表10-1'!X6:X26))*('表10-1'!AA6:AA26))+SUMPRODUCT(('表10-1'!J6:J26="B")*('表10-1'!I6:I26="E")*('表10-1'!X6:X26&gt;=0)*(-('表10-1'!W6:W26)&lt;=('表10-1'!X6:X26))*('表10-1'!AA6:AA26))</f>
        <v>0</v>
      </c>
      <c r="F20" s="463">
        <f>SUMPRODUCT(('表10-1'!J6:J26="B")*('表10-1'!I6:I26="C")*('表10-1'!X6:X26&gt;=0)*(-('表10-1'!W6:W26)&lt;=('表10-1'!X6:X26))*('表10-1'!U6:U26))+SUMPRODUCT(('表10-1'!J6:J26="B")*('表10-1'!I6:I26="D")*('表10-1'!X6:X26&gt;=0)*(-('表10-1'!W6:W26)&lt;=('表10-1'!X6:X26))*('表10-1'!U6:U26))+SUMPRODUCT(('表10-1'!J6:J26="B")*('表10-1'!I6:I26="E")*('表10-1'!X6:X26&gt;=0)*(-('表10-1'!W6:W26)&lt;=('表10-1'!X6:X26))*('表10-1'!U6:U26))</f>
        <v>0</v>
      </c>
      <c r="G20" s="463">
        <f>SUMPRODUCT(('表10-1'!J6:J26="B")*('表10-1'!I6:I26="C")*('表10-1'!X6:X26&gt;=0)*(-('表10-1'!W6:W26)&lt;=('表10-1'!X6:X26))*('表10-1'!V6:V26))+SUMPRODUCT(('表10-1'!J6:J26="B")*('表10-1'!I6:I26="D")*('表10-1'!X6:X26&gt;=0)*(-('表10-1'!W6:W26)&lt;=('表10-1'!X6:X26))*('表10-1'!V6:V26))+SUMPRODUCT(('表10-1'!J6:J26="B")*('表10-1'!I6:I26="E")*('表10-1'!X6:X26&gt;=0)*(-('表10-1'!W6:W26)&lt;=('表10-1'!X6:X26))*('表10-1'!V6:V26))</f>
        <v>0</v>
      </c>
      <c r="H20" s="463">
        <f>SUMPRODUCT(('表10-1'!J6:J26="B")*('表10-1'!I6:I26="C")*('表10-1'!X6:X26&gt;=0)*(-('表10-1'!W6:W26)&lt;=('表10-1'!X6:X26))*('表10-1'!X6:X26))+SUMPRODUCT(('表10-1'!J6:J26="B")*('表10-1'!I6:I26="D")*('表10-1'!X6:X26&gt;=0)*(-('表10-1'!W6:W26)&lt;=('表10-1'!X6:X26))*('表10-1'!X6:X26))+SUMPRODUCT(('表10-1'!J6:J26="B")*('表10-1'!I6:I26="E")*('表10-1'!X6:X26&gt;=0)*(-('表10-1'!W6:W26)&lt;=('表10-1'!X6:X26))*('表10-1'!X6:X26))</f>
        <v>0</v>
      </c>
      <c r="I20" s="463">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463">
        <f>+H20-I20</f>
        <v>0</v>
      </c>
    </row>
    <row r="21" spans="1:10">
      <c r="A21" s="462">
        <v>11</v>
      </c>
      <c r="B21" s="2912"/>
      <c r="C21" s="2937"/>
      <c r="D21" s="128" t="s">
        <v>1344</v>
      </c>
      <c r="E21" s="463">
        <f>SUMPRODUCT(('表10-1'!J6:J26="B")*('表10-1'!I6:I26="C")*('表10-1'!X6:X26&gt;=0)*(-('表10-1'!W6:W26)&gt;('表10-1'!X6:X26))*('表10-1'!AA6:AA26))+SUMPRODUCT(('表10-1'!J6:J26="B")*('表10-1'!I6:I26="D")*('表10-1'!X6:X26&gt;=0)*(-('表10-1'!W6:W26)&gt;('表10-1'!X6:X26))*('表10-1'!AA6:AA26))+SUMPRODUCT(('表10-1'!J6:J26="B")*('表10-1'!I6:I26="E")*('表10-1'!X6:X26&gt;=0)*(-('表10-1'!W6:W26)&gt;('表10-1'!X6:X26))*('表10-1'!AA6:AA26))</f>
        <v>0</v>
      </c>
      <c r="F21" s="463">
        <f>SUMPRODUCT(('表10-1'!J6:J26="B")*('表10-1'!I6:I26="C")*('表10-1'!X6:X26&gt;=0)*(-('表10-1'!W6:W26)&gt;('表10-1'!X6:X26))*('表10-1'!U6:U26))+SUMPRODUCT(('表10-1'!J6:J26="B")*('表10-1'!I6:I26="D")*('表10-1'!X6:X26&gt;=0)*(-('表10-1'!W6:W26)&gt;('表10-1'!X6:X26))*('表10-1'!U6:U26))+SUMPRODUCT(('表10-1'!J6:J26="B")*('表10-1'!I6:I26="E")*('表10-1'!X6:X26&gt;=0)*(-('表10-1'!W6:W26)&gt;('表10-1'!X6:X26))*('表10-1'!U6:U26))</f>
        <v>0</v>
      </c>
      <c r="G21" s="463">
        <f>SUMPRODUCT(('表10-1'!J6:J26="B")*('表10-1'!I6:I26="C")*('表10-1'!X6:X26&gt;=0)*(-('表10-1'!W6:W26)&gt;('表10-1'!X6:X26))*('表10-1'!V6:V26))+SUMPRODUCT(('表10-1'!J6:J26="B")*('表10-1'!I6:I26="D")*('表10-1'!X6:X26&gt;=0)*(-('表10-1'!W6:W26)&gt;('表10-1'!X6:X26))*('表10-1'!V6:V26))+SUMPRODUCT(('表10-1'!J6:J26="B")*('表10-1'!I6:I26="E")*('表10-1'!X6:X26&gt;=0)*(-('表10-1'!W6:W26)&gt;('表10-1'!X6:X26))*('表10-1'!V6:V26))</f>
        <v>0</v>
      </c>
      <c r="H21" s="475"/>
      <c r="I21" s="475"/>
      <c r="J21" s="475"/>
    </row>
    <row r="22" spans="1:10">
      <c r="A22" s="462">
        <v>12</v>
      </c>
      <c r="B22" s="2912"/>
      <c r="C22" s="3451" t="s">
        <v>1345</v>
      </c>
      <c r="D22" s="3460"/>
      <c r="E22" s="463">
        <f>SUMPRODUCT(('表10-1'!J6:J26="B")*('表10-1'!I6:I26="C")*('表10-1'!X6:X26&lt;0)*('表10-1'!AA6:AA26))+SUMPRODUCT(('表10-1'!J6:J26="B")*('表10-1'!I6:I26="D")*('表10-1'!X6:X26&lt;0)*('表10-1'!AA6:AA26))+SUMPRODUCT(('表10-1'!J6:J26="B")*('表10-1'!I6:I26="E")*('表10-1'!X6:X26&lt;0)*('表10-1'!AA6:AA26))</f>
        <v>0</v>
      </c>
      <c r="F22" s="463">
        <f>SUMPRODUCT(('表10-1'!J6:J26="B")*('表10-1'!I6:I26="C")*('表10-1'!X6:X26&lt;0)*('表10-1'!U6:U26))+SUMPRODUCT(('表10-1'!J6:J26="B")*('表10-1'!I6:I26="D")*('表10-1'!X6:X26&lt;0)*('表10-1'!U6:U26))+SUMPRODUCT(('表10-1'!J6:J26="B")*('表10-1'!I6:I26="E")*('表10-1'!X6:X26&lt;0)*('表10-1'!U6:U26))</f>
        <v>0</v>
      </c>
      <c r="G22" s="463">
        <f>SUMPRODUCT(('表10-1'!J6:J26="B")*('表10-1'!I6:I26="C")*('表10-1'!X6:X26&lt;0)*('表10-1'!V6:V26))+SUMPRODUCT(('表10-1'!J6:J26="B")*('表10-1'!I6:I26="D")*('表10-1'!X6:X26&lt;0)*('表10-1'!V6:V26))+SUMPRODUCT(('表10-1'!J6:J26="B")*('表10-1'!I6:I26="E")*('表10-1'!X6:X26&lt;0)*('表10-1'!V6:V26))</f>
        <v>0</v>
      </c>
      <c r="H22" s="475"/>
      <c r="I22" s="475"/>
      <c r="J22" s="475"/>
    </row>
    <row r="23" spans="1:10">
      <c r="A23" s="462">
        <v>13</v>
      </c>
      <c r="B23" s="3451" t="s">
        <v>1348</v>
      </c>
      <c r="C23" s="2904"/>
      <c r="D23" s="2900"/>
      <c r="E23" s="475"/>
      <c r="F23" s="475"/>
      <c r="G23" s="475"/>
      <c r="H23" s="475"/>
      <c r="I23" s="475"/>
      <c r="J23" s="463">
        <f>+J17+J20</f>
        <v>0</v>
      </c>
    </row>
    <row r="24" spans="1:10">
      <c r="A24" s="2793" t="s">
        <v>1394</v>
      </c>
      <c r="B24" s="2689" t="s">
        <v>8459</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30" type="noConversion"/>
  <pageMargins left="0.70866141732283472" right="0.70866141732283472" top="0.74803149606299213" bottom="0.74803149606299213" header="0.31496062992125984" footer="0.31496062992125984"/>
  <pageSetup paperSize="9"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tabColor rgb="FFFFFF00"/>
    <pageSetUpPr fitToPage="1"/>
  </sheetPr>
  <dimension ref="A1:P35"/>
  <sheetViews>
    <sheetView topLeftCell="A13" workbookViewId="0">
      <selection activeCell="A34" sqref="A34:B35"/>
    </sheetView>
  </sheetViews>
  <sheetFormatPr defaultColWidth="15.625" defaultRowHeight="15.75"/>
  <cols>
    <col min="1" max="1" width="5.625" style="1582" customWidth="1"/>
    <col min="2" max="2" width="15.625" style="1582" customWidth="1"/>
    <col min="3" max="3" width="35.625" style="1582" customWidth="1"/>
    <col min="4" max="16384" width="15.625" style="1582"/>
  </cols>
  <sheetData>
    <row r="1" spans="1:16" s="60" customFormat="1" ht="16.5">
      <c r="A1" s="2186" t="str">
        <f>+封面!A3&amp;" "&amp;封面!A2</f>
        <v xml:space="preserve"> 中央再保險股份有限公司 年度檢查報表</v>
      </c>
      <c r="B1" s="1718"/>
      <c r="C1" s="1718"/>
      <c r="D1" s="1718"/>
      <c r="E1" s="1718"/>
      <c r="F1" s="1718"/>
    </row>
    <row r="2" spans="1:16" s="60" customFormat="1" ht="16.5">
      <c r="A2" s="1719" t="s">
        <v>4672</v>
      </c>
      <c r="B2" s="1719"/>
      <c r="C2" s="1719"/>
      <c r="D2" s="1719"/>
      <c r="E2" s="1719"/>
      <c r="F2" s="1719"/>
      <c r="G2" s="1561"/>
      <c r="M2" s="1720"/>
      <c r="P2" s="1721" t="s">
        <v>4453</v>
      </c>
    </row>
    <row r="3" spans="1:16" s="60" customFormat="1">
      <c r="A3" s="2860" t="s">
        <v>3565</v>
      </c>
      <c r="B3" s="2858" t="s">
        <v>4440</v>
      </c>
      <c r="C3" s="2858"/>
      <c r="D3" s="2861" t="s">
        <v>4431</v>
      </c>
      <c r="E3" s="2862"/>
      <c r="F3" s="2862"/>
      <c r="G3" s="2863"/>
      <c r="H3" s="2861" t="s">
        <v>4432</v>
      </c>
      <c r="I3" s="2862"/>
      <c r="J3" s="2862"/>
      <c r="K3" s="2863"/>
      <c r="L3" s="2861" t="s">
        <v>4673</v>
      </c>
      <c r="M3" s="2862"/>
      <c r="N3" s="2862"/>
      <c r="O3" s="2863"/>
      <c r="P3" s="2858" t="s">
        <v>3449</v>
      </c>
    </row>
    <row r="4" spans="1:16" s="60" customFormat="1" ht="49.5">
      <c r="A4" s="2860"/>
      <c r="B4" s="2858"/>
      <c r="C4" s="2858"/>
      <c r="D4" s="1566" t="s">
        <v>4434</v>
      </c>
      <c r="E4" s="1566" t="s">
        <v>4674</v>
      </c>
      <c r="F4" s="1722" t="s">
        <v>4436</v>
      </c>
      <c r="G4" s="1722" t="s">
        <v>4437</v>
      </c>
      <c r="H4" s="1566" t="s">
        <v>4434</v>
      </c>
      <c r="I4" s="1566" t="s">
        <v>4674</v>
      </c>
      <c r="J4" s="1722" t="s">
        <v>4436</v>
      </c>
      <c r="K4" s="1722" t="s">
        <v>4437</v>
      </c>
      <c r="L4" s="1566" t="s">
        <v>4434</v>
      </c>
      <c r="M4" s="1566" t="s">
        <v>4674</v>
      </c>
      <c r="N4" s="1722" t="s">
        <v>4436</v>
      </c>
      <c r="O4" s="1722" t="s">
        <v>4437</v>
      </c>
      <c r="P4" s="2858"/>
    </row>
    <row r="5" spans="1:16" s="60" customFormat="1">
      <c r="A5" s="2860"/>
      <c r="B5" s="2859" t="s">
        <v>66</v>
      </c>
      <c r="C5" s="2859"/>
      <c r="D5" s="1551" t="s">
        <v>370</v>
      </c>
      <c r="E5" s="1551" t="s">
        <v>319</v>
      </c>
      <c r="F5" s="1723" t="s">
        <v>307</v>
      </c>
      <c r="G5" s="1723" t="s">
        <v>353</v>
      </c>
      <c r="H5" s="1723" t="s">
        <v>320</v>
      </c>
      <c r="I5" s="1723" t="s">
        <v>72</v>
      </c>
      <c r="J5" s="1723" t="s">
        <v>73</v>
      </c>
      <c r="K5" s="1723" t="s">
        <v>74</v>
      </c>
      <c r="L5" s="1723" t="s">
        <v>75</v>
      </c>
      <c r="M5" s="1723" t="s">
        <v>225</v>
      </c>
      <c r="N5" s="1723" t="s">
        <v>226</v>
      </c>
      <c r="O5" s="1723" t="s">
        <v>274</v>
      </c>
      <c r="P5" s="1723" t="s">
        <v>275</v>
      </c>
    </row>
    <row r="6" spans="1:16" s="60" customFormat="1" ht="16.5">
      <c r="A6" s="1567">
        <v>1</v>
      </c>
      <c r="B6" s="2855" t="s">
        <v>4675</v>
      </c>
      <c r="C6" s="1572" t="s">
        <v>4676</v>
      </c>
      <c r="D6" s="1724"/>
      <c r="E6" s="1725"/>
      <c r="F6" s="1724"/>
      <c r="G6" s="1724"/>
      <c r="H6" s="1724"/>
      <c r="I6" s="1725"/>
      <c r="J6" s="1724"/>
      <c r="K6" s="1724"/>
      <c r="L6" s="1724"/>
      <c r="M6" s="1725"/>
      <c r="N6" s="1724"/>
      <c r="O6" s="1724"/>
      <c r="P6" s="1726"/>
    </row>
    <row r="7" spans="1:16" s="60" customFormat="1" ht="16.5">
      <c r="A7" s="1567">
        <v>2</v>
      </c>
      <c r="B7" s="2855"/>
      <c r="C7" s="1572" t="s">
        <v>4677</v>
      </c>
      <c r="D7" s="1724"/>
      <c r="E7" s="1725"/>
      <c r="F7" s="1724"/>
      <c r="G7" s="1724"/>
      <c r="H7" s="1724"/>
      <c r="I7" s="1725"/>
      <c r="J7" s="1724"/>
      <c r="K7" s="1724"/>
      <c r="L7" s="1724"/>
      <c r="M7" s="1725"/>
      <c r="N7" s="1724"/>
      <c r="O7" s="1724"/>
      <c r="P7" s="1726"/>
    </row>
    <row r="8" spans="1:16" s="60" customFormat="1" ht="16.5">
      <c r="A8" s="1567">
        <v>3</v>
      </c>
      <c r="B8" s="2855"/>
      <c r="C8" s="1572" t="s">
        <v>4678</v>
      </c>
      <c r="D8" s="1724"/>
      <c r="E8" s="1725"/>
      <c r="F8" s="1724"/>
      <c r="G8" s="1724"/>
      <c r="H8" s="1724"/>
      <c r="I8" s="1725"/>
      <c r="J8" s="1724"/>
      <c r="K8" s="1724"/>
      <c r="L8" s="1724"/>
      <c r="M8" s="1725"/>
      <c r="N8" s="1724"/>
      <c r="O8" s="1724"/>
      <c r="P8" s="1726"/>
    </row>
    <row r="9" spans="1:16" s="60" customFormat="1" ht="16.5">
      <c r="A9" s="1567">
        <v>4</v>
      </c>
      <c r="B9" s="2855"/>
      <c r="C9" s="1572" t="s">
        <v>4679</v>
      </c>
      <c r="D9" s="1724"/>
      <c r="E9" s="1725"/>
      <c r="F9" s="1724"/>
      <c r="G9" s="1724"/>
      <c r="H9" s="1724"/>
      <c r="I9" s="1725"/>
      <c r="J9" s="1724"/>
      <c r="K9" s="1724"/>
      <c r="L9" s="1724"/>
      <c r="M9" s="1725"/>
      <c r="N9" s="1724"/>
      <c r="O9" s="1724"/>
      <c r="P9" s="1726"/>
    </row>
    <row r="10" spans="1:16" s="60" customFormat="1" ht="16.5">
      <c r="A10" s="1567">
        <v>5</v>
      </c>
      <c r="B10" s="2855"/>
      <c r="C10" s="1572" t="s">
        <v>4680</v>
      </c>
      <c r="D10" s="1724"/>
      <c r="E10" s="1725"/>
      <c r="F10" s="1724"/>
      <c r="G10" s="1724"/>
      <c r="H10" s="1724"/>
      <c r="I10" s="1725"/>
      <c r="J10" s="1724"/>
      <c r="K10" s="1724"/>
      <c r="L10" s="1724"/>
      <c r="M10" s="1725"/>
      <c r="N10" s="1724"/>
      <c r="O10" s="1724"/>
      <c r="P10" s="1726"/>
    </row>
    <row r="11" spans="1:16" s="60" customFormat="1" ht="16.5">
      <c r="A11" s="1567">
        <v>6</v>
      </c>
      <c r="B11" s="2855"/>
      <c r="C11" s="1572" t="s">
        <v>4681</v>
      </c>
      <c r="D11" s="1724"/>
      <c r="E11" s="1725"/>
      <c r="F11" s="1724"/>
      <c r="G11" s="1724"/>
      <c r="H11" s="1724"/>
      <c r="I11" s="1725"/>
      <c r="J11" s="1724"/>
      <c r="K11" s="1724"/>
      <c r="L11" s="1724"/>
      <c r="M11" s="1725"/>
      <c r="N11" s="1724"/>
      <c r="O11" s="1724"/>
      <c r="P11" s="1726"/>
    </row>
    <row r="12" spans="1:16" s="60" customFormat="1" ht="16.5">
      <c r="A12" s="1567">
        <v>7</v>
      </c>
      <c r="B12" s="2855"/>
      <c r="C12" s="1572" t="s">
        <v>4682</v>
      </c>
      <c r="D12" s="1724"/>
      <c r="E12" s="1725"/>
      <c r="F12" s="1724"/>
      <c r="G12" s="1724"/>
      <c r="H12" s="1724"/>
      <c r="I12" s="1725"/>
      <c r="J12" s="1724"/>
      <c r="K12" s="1724"/>
      <c r="L12" s="1724"/>
      <c r="M12" s="1725"/>
      <c r="N12" s="1724"/>
      <c r="O12" s="1724"/>
      <c r="P12" s="1726"/>
    </row>
    <row r="13" spans="1:16" s="60" customFormat="1" ht="16.5">
      <c r="A13" s="1567">
        <v>8</v>
      </c>
      <c r="B13" s="2855"/>
      <c r="C13" s="1572" t="s">
        <v>4683</v>
      </c>
      <c r="D13" s="1724"/>
      <c r="E13" s="1725"/>
      <c r="F13" s="1724"/>
      <c r="G13" s="1724"/>
      <c r="H13" s="1727"/>
      <c r="I13" s="1728"/>
      <c r="J13" s="1727"/>
      <c r="K13" s="1727"/>
      <c r="L13" s="1724"/>
      <c r="M13" s="1725"/>
      <c r="N13" s="1724"/>
      <c r="O13" s="1724"/>
      <c r="P13" s="1726"/>
    </row>
    <row r="14" spans="1:16" s="60" customFormat="1" ht="16.5">
      <c r="A14" s="1567">
        <v>9</v>
      </c>
      <c r="B14" s="2855"/>
      <c r="C14" s="1572" t="s">
        <v>4684</v>
      </c>
      <c r="D14" s="1724"/>
      <c r="E14" s="1725"/>
      <c r="F14" s="1724"/>
      <c r="G14" s="1724"/>
      <c r="H14" s="1727"/>
      <c r="I14" s="1728"/>
      <c r="J14" s="1727"/>
      <c r="K14" s="1727"/>
      <c r="L14" s="1724"/>
      <c r="M14" s="1725"/>
      <c r="N14" s="1724"/>
      <c r="O14" s="1724"/>
      <c r="P14" s="1726"/>
    </row>
    <row r="15" spans="1:16" s="60" customFormat="1" ht="16.5">
      <c r="A15" s="1567">
        <v>10</v>
      </c>
      <c r="B15" s="2855"/>
      <c r="C15" s="1572" t="s">
        <v>4685</v>
      </c>
      <c r="D15" s="1724"/>
      <c r="E15" s="1725"/>
      <c r="F15" s="1724"/>
      <c r="G15" s="1724"/>
      <c r="H15" s="1724"/>
      <c r="I15" s="1725"/>
      <c r="J15" s="1724"/>
      <c r="K15" s="1724"/>
      <c r="L15" s="1724"/>
      <c r="M15" s="1725"/>
      <c r="N15" s="1724"/>
      <c r="O15" s="1724"/>
      <c r="P15" s="1726"/>
    </row>
    <row r="16" spans="1:16" s="60" customFormat="1" ht="16.5">
      <c r="A16" s="1567">
        <v>11</v>
      </c>
      <c r="B16" s="2855"/>
      <c r="C16" s="1572" t="s">
        <v>4686</v>
      </c>
      <c r="D16" s="1724"/>
      <c r="E16" s="1725"/>
      <c r="F16" s="1724"/>
      <c r="G16" s="1724"/>
      <c r="H16" s="1724"/>
      <c r="I16" s="1725"/>
      <c r="J16" s="1724"/>
      <c r="K16" s="1724"/>
      <c r="L16" s="1724"/>
      <c r="M16" s="1725"/>
      <c r="N16" s="1724"/>
      <c r="O16" s="1724"/>
      <c r="P16" s="1726"/>
    </row>
    <row r="17" spans="1:16" s="60" customFormat="1" ht="16.5">
      <c r="A17" s="1567">
        <v>12</v>
      </c>
      <c r="B17" s="2855"/>
      <c r="C17" s="1572" t="s">
        <v>4687</v>
      </c>
      <c r="D17" s="1724"/>
      <c r="E17" s="1725"/>
      <c r="F17" s="1724"/>
      <c r="G17" s="1724"/>
      <c r="H17" s="1724"/>
      <c r="I17" s="1725"/>
      <c r="J17" s="1724"/>
      <c r="K17" s="1724"/>
      <c r="L17" s="1724"/>
      <c r="M17" s="1725"/>
      <c r="N17" s="1724"/>
      <c r="O17" s="1724"/>
      <c r="P17" s="1726"/>
    </row>
    <row r="18" spans="1:16" s="60" customFormat="1" ht="16.5">
      <c r="A18" s="1567">
        <v>13</v>
      </c>
      <c r="B18" s="2855"/>
      <c r="C18" s="1572" t="s">
        <v>4688</v>
      </c>
      <c r="D18" s="1724"/>
      <c r="E18" s="1725"/>
      <c r="F18" s="1724"/>
      <c r="G18" s="1724"/>
      <c r="H18" s="1724"/>
      <c r="I18" s="1725"/>
      <c r="J18" s="1724"/>
      <c r="K18" s="1724"/>
      <c r="L18" s="1724"/>
      <c r="M18" s="1725"/>
      <c r="N18" s="1724"/>
      <c r="O18" s="1724"/>
      <c r="P18" s="1726"/>
    </row>
    <row r="19" spans="1:16" s="60" customFormat="1">
      <c r="A19" s="1567">
        <v>14</v>
      </c>
      <c r="B19" s="2855"/>
      <c r="C19" s="1553" t="s">
        <v>1405</v>
      </c>
      <c r="D19" s="1724"/>
      <c r="E19" s="1725"/>
      <c r="F19" s="1724"/>
      <c r="G19" s="1724"/>
      <c r="H19" s="1724"/>
      <c r="I19" s="1725"/>
      <c r="J19" s="1724"/>
      <c r="K19" s="1724"/>
      <c r="L19" s="1724"/>
      <c r="M19" s="1725"/>
      <c r="N19" s="1724"/>
      <c r="O19" s="1724"/>
      <c r="P19" s="1726"/>
    </row>
    <row r="20" spans="1:16" s="60" customFormat="1" ht="16.5">
      <c r="A20" s="1567">
        <v>15</v>
      </c>
      <c r="B20" s="2855"/>
      <c r="C20" s="1572" t="s">
        <v>4601</v>
      </c>
      <c r="D20" s="1724"/>
      <c r="E20" s="1725"/>
      <c r="F20" s="1724"/>
      <c r="G20" s="1724"/>
      <c r="H20" s="1724"/>
      <c r="I20" s="1725"/>
      <c r="J20" s="1724"/>
      <c r="K20" s="1724"/>
      <c r="L20" s="1724"/>
      <c r="M20" s="1725"/>
      <c r="N20" s="1724"/>
      <c r="O20" s="1724"/>
      <c r="P20" s="1726"/>
    </row>
    <row r="21" spans="1:16" s="60" customFormat="1" ht="16.5">
      <c r="A21" s="1567">
        <v>16</v>
      </c>
      <c r="B21" s="2855" t="s">
        <v>4464</v>
      </c>
      <c r="C21" s="1572" t="s">
        <v>4689</v>
      </c>
      <c r="D21" s="1724"/>
      <c r="E21" s="1725"/>
      <c r="F21" s="1724"/>
      <c r="G21" s="1724"/>
      <c r="H21" s="1724"/>
      <c r="I21" s="1725"/>
      <c r="J21" s="1724"/>
      <c r="K21" s="1724"/>
      <c r="L21" s="1724"/>
      <c r="M21" s="1725"/>
      <c r="N21" s="1724"/>
      <c r="O21" s="1724"/>
      <c r="P21" s="1726"/>
    </row>
    <row r="22" spans="1:16" s="60" customFormat="1" ht="16.5">
      <c r="A22" s="1567">
        <v>17</v>
      </c>
      <c r="B22" s="2855"/>
      <c r="C22" s="1572" t="s">
        <v>4690</v>
      </c>
      <c r="D22" s="1724"/>
      <c r="E22" s="1725"/>
      <c r="F22" s="1724"/>
      <c r="G22" s="1724"/>
      <c r="H22" s="1724"/>
      <c r="I22" s="1725"/>
      <c r="J22" s="1724"/>
      <c r="K22" s="1724"/>
      <c r="L22" s="1724"/>
      <c r="M22" s="1725"/>
      <c r="N22" s="1724"/>
      <c r="O22" s="1724"/>
      <c r="P22" s="1726"/>
    </row>
    <row r="23" spans="1:16" s="60" customFormat="1" ht="16.5">
      <c r="A23" s="1567">
        <v>18</v>
      </c>
      <c r="B23" s="2856" t="s">
        <v>4483</v>
      </c>
      <c r="C23" s="1568" t="s">
        <v>3595</v>
      </c>
      <c r="D23" s="1724"/>
      <c r="E23" s="1725"/>
      <c r="F23" s="1724"/>
      <c r="G23" s="1724"/>
      <c r="H23" s="1724"/>
      <c r="I23" s="1725"/>
      <c r="J23" s="1724"/>
      <c r="K23" s="1724"/>
      <c r="L23" s="1724"/>
      <c r="M23" s="1725"/>
      <c r="N23" s="1724"/>
      <c r="O23" s="1724"/>
      <c r="P23" s="1726"/>
    </row>
    <row r="24" spans="1:16" s="60" customFormat="1" ht="16.5">
      <c r="A24" s="1567">
        <v>19</v>
      </c>
      <c r="B24" s="2856"/>
      <c r="C24" s="1557" t="s">
        <v>4484</v>
      </c>
      <c r="D24" s="1724"/>
      <c r="E24" s="1725"/>
      <c r="F24" s="1724"/>
      <c r="G24" s="1724"/>
      <c r="H24" s="1724"/>
      <c r="I24" s="1725"/>
      <c r="J24" s="1724"/>
      <c r="K24" s="1724"/>
      <c r="L24" s="1724"/>
      <c r="M24" s="1725"/>
      <c r="N24" s="1724"/>
      <c r="O24" s="1724"/>
      <c r="P24" s="1726"/>
    </row>
    <row r="25" spans="1:16" s="60" customFormat="1" ht="16.5">
      <c r="A25" s="1567">
        <v>20</v>
      </c>
      <c r="B25" s="2856"/>
      <c r="C25" s="1557" t="s">
        <v>4487</v>
      </c>
      <c r="D25" s="1724"/>
      <c r="E25" s="1725"/>
      <c r="F25" s="1724"/>
      <c r="G25" s="1724"/>
      <c r="H25" s="1724"/>
      <c r="I25" s="1725"/>
      <c r="J25" s="1724"/>
      <c r="K25" s="1724"/>
      <c r="L25" s="1724"/>
      <c r="M25" s="1725"/>
      <c r="N25" s="1724"/>
      <c r="O25" s="1724"/>
      <c r="P25" s="1726"/>
    </row>
    <row r="26" spans="1:16" s="60" customFormat="1" ht="16.5">
      <c r="A26" s="1567">
        <v>21</v>
      </c>
      <c r="B26" s="2856"/>
      <c r="C26" s="1553" t="s">
        <v>3608</v>
      </c>
      <c r="D26" s="1724"/>
      <c r="E26" s="1725"/>
      <c r="F26" s="1724"/>
      <c r="G26" s="1724"/>
      <c r="H26" s="1724"/>
      <c r="I26" s="1725"/>
      <c r="J26" s="1724"/>
      <c r="K26" s="1724"/>
      <c r="L26" s="1724"/>
      <c r="M26" s="1725"/>
      <c r="N26" s="1724"/>
      <c r="O26" s="1724"/>
      <c r="P26" s="1726"/>
    </row>
    <row r="27" spans="1:16" s="60" customFormat="1" ht="16.5">
      <c r="A27" s="1567">
        <v>22</v>
      </c>
      <c r="B27" s="2856"/>
      <c r="C27" s="1556" t="s">
        <v>4691</v>
      </c>
      <c r="D27" s="1724"/>
      <c r="E27" s="1725"/>
      <c r="F27" s="1724"/>
      <c r="G27" s="1724"/>
      <c r="H27" s="1724"/>
      <c r="I27" s="1725"/>
      <c r="J27" s="1724"/>
      <c r="K27" s="1724"/>
      <c r="L27" s="1724"/>
      <c r="M27" s="1725"/>
      <c r="N27" s="1724"/>
      <c r="O27" s="1724"/>
      <c r="P27" s="1726"/>
    </row>
    <row r="28" spans="1:16" s="60" customFormat="1">
      <c r="A28" s="1567">
        <v>23</v>
      </c>
      <c r="B28" s="2857" t="s">
        <v>4692</v>
      </c>
      <c r="C28" s="2857"/>
      <c r="D28" s="1724"/>
      <c r="E28" s="1725"/>
      <c r="F28" s="1724"/>
      <c r="G28" s="1724"/>
      <c r="H28" s="1724"/>
      <c r="I28" s="1725"/>
      <c r="J28" s="1724"/>
      <c r="K28" s="1724"/>
      <c r="L28" s="1724"/>
      <c r="M28" s="1725"/>
      <c r="N28" s="1724"/>
      <c r="O28" s="1724"/>
      <c r="P28" s="1726"/>
    </row>
    <row r="29" spans="1:16" s="60" customFormat="1" ht="16.5" thickBot="1">
      <c r="A29" s="2637"/>
      <c r="B29" s="435"/>
      <c r="C29" s="435"/>
      <c r="D29" s="2638"/>
      <c r="E29" s="2639"/>
      <c r="F29" s="2638"/>
      <c r="G29" s="2638"/>
      <c r="H29" s="2638"/>
      <c r="I29" s="2639"/>
      <c r="J29" s="2638"/>
      <c r="K29" s="2638"/>
      <c r="L29" s="2638"/>
      <c r="M29" s="2639"/>
      <c r="N29" s="2638"/>
      <c r="O29" s="2638"/>
      <c r="P29" s="2640"/>
    </row>
    <row r="30" spans="1:16" s="60" customFormat="1" ht="33">
      <c r="A30" s="2641">
        <f>A28+1</f>
        <v>24</v>
      </c>
      <c r="B30" s="2853" t="s">
        <v>8438</v>
      </c>
      <c r="C30" s="2642" t="s">
        <v>8439</v>
      </c>
      <c r="D30" s="2643"/>
      <c r="E30" s="2644"/>
      <c r="F30" s="2643"/>
      <c r="G30" s="2643"/>
      <c r="H30" s="2645"/>
      <c r="I30" s="2644"/>
      <c r="J30" s="2643"/>
      <c r="K30" s="2643"/>
      <c r="L30" s="2643"/>
      <c r="M30" s="2644"/>
      <c r="N30" s="2643"/>
      <c r="O30" s="2643"/>
      <c r="P30" s="2646"/>
    </row>
    <row r="31" spans="1:16" s="60" customFormat="1" ht="38.25" thickBot="1">
      <c r="A31" s="2647">
        <f>A30+1</f>
        <v>25</v>
      </c>
      <c r="B31" s="2854"/>
      <c r="C31" s="2648" t="s">
        <v>8440</v>
      </c>
      <c r="D31" s="2649"/>
      <c r="E31" s="2650"/>
      <c r="F31" s="2649"/>
      <c r="G31" s="2649"/>
      <c r="H31" s="2651"/>
      <c r="I31" s="2650"/>
      <c r="J31" s="2649"/>
      <c r="K31" s="2649"/>
      <c r="L31" s="2649"/>
      <c r="M31" s="2650"/>
      <c r="N31" s="2649"/>
      <c r="O31" s="2649"/>
      <c r="P31" s="2652"/>
    </row>
    <row r="32" spans="1:16" s="60" customFormat="1" ht="16.5">
      <c r="A32" s="450" t="s">
        <v>3609</v>
      </c>
      <c r="B32" s="496"/>
    </row>
    <row r="33" spans="1:2" ht="16.5">
      <c r="A33" s="450">
        <v>1</v>
      </c>
      <c r="B33" s="496" t="s">
        <v>4693</v>
      </c>
    </row>
    <row r="34" spans="1:2" ht="16.5">
      <c r="A34" s="2653">
        <v>2</v>
      </c>
      <c r="B34" s="2654" t="s">
        <v>8441</v>
      </c>
    </row>
    <row r="35" spans="1:2" ht="16.5">
      <c r="A35" s="2653">
        <v>3</v>
      </c>
      <c r="B35" s="2654" t="s">
        <v>8442</v>
      </c>
    </row>
  </sheetData>
  <mergeCells count="12">
    <mergeCell ref="P3:P4"/>
    <mergeCell ref="B5:C5"/>
    <mergeCell ref="A3:A5"/>
    <mergeCell ref="B3:C4"/>
    <mergeCell ref="D3:G3"/>
    <mergeCell ref="H3:K3"/>
    <mergeCell ref="L3:O3"/>
    <mergeCell ref="B30:B31"/>
    <mergeCell ref="B6:B20"/>
    <mergeCell ref="B21:B22"/>
    <mergeCell ref="B23:B27"/>
    <mergeCell ref="B28:C28"/>
  </mergeCells>
  <phoneticPr fontId="30" type="noConversion"/>
  <dataValidations count="2">
    <dataValidation type="whole" allowBlank="1" showInputMessage="1" showErrorMessage="1" errorTitle="錯誤" error="輸入資料格式錯誤!!" sqref="J6:L29 N6:O29 F6:H29 D6:D29" xr:uid="{00000000-0002-0000-0600-000000000000}">
      <formula1>-9.99999999999999E+28</formula1>
      <formula2>9.99999999999999E+28</formula2>
    </dataValidation>
    <dataValidation type="decimal" allowBlank="1" showInputMessage="1" showErrorMessage="1" errorTitle="錯誤" error="輸入資料格式錯誤!!" sqref="M6:M29 I6:I29 E6:E29"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H21"/>
  <sheetViews>
    <sheetView zoomScaleNormal="100" workbookViewId="0"/>
  </sheetViews>
  <sheetFormatPr defaultColWidth="9" defaultRowHeight="15.75"/>
  <cols>
    <col min="1" max="1" width="9" style="35"/>
    <col min="2" max="7" width="13.875" style="35" customWidth="1"/>
    <col min="8" max="8" width="29.625" style="35" bestFit="1" customWidth="1"/>
    <col min="9" max="16384" width="9" style="35"/>
  </cols>
  <sheetData>
    <row r="1" spans="1:8">
      <c r="A1" s="1987" t="str">
        <f>+封面!A3&amp;" "&amp;封面!A2</f>
        <v xml:space="preserve"> 中央再保險股份有限公司 年度檢查報表</v>
      </c>
    </row>
    <row r="2" spans="1:8">
      <c r="A2" s="1988" t="s">
        <v>5069</v>
      </c>
    </row>
    <row r="3" spans="1:8">
      <c r="A3" s="1988"/>
      <c r="B3" s="1989"/>
      <c r="C3" s="1989"/>
      <c r="D3" s="1990"/>
      <c r="E3" s="1990"/>
      <c r="F3" s="1990"/>
      <c r="G3" s="1990"/>
      <c r="H3" s="1990"/>
    </row>
    <row r="4" spans="1:8" ht="15.75" customHeight="1">
      <c r="A4" s="3466" t="s">
        <v>3658</v>
      </c>
      <c r="B4" s="3467" t="s">
        <v>4724</v>
      </c>
      <c r="C4" s="3468"/>
      <c r="D4" s="3468"/>
      <c r="E4" s="3468"/>
      <c r="F4" s="3468"/>
      <c r="G4" s="3468"/>
      <c r="H4" s="3469" t="s">
        <v>5070</v>
      </c>
    </row>
    <row r="5" spans="1:8" ht="15.75" customHeight="1">
      <c r="A5" s="3466"/>
      <c r="B5" s="3471" t="s">
        <v>5071</v>
      </c>
      <c r="C5" s="3466" t="s">
        <v>5072</v>
      </c>
      <c r="D5" s="3466" t="s">
        <v>5072</v>
      </c>
      <c r="E5" s="3466" t="s">
        <v>5072</v>
      </c>
      <c r="F5" s="3466" t="s">
        <v>5072</v>
      </c>
      <c r="G5" s="3466" t="s">
        <v>5073</v>
      </c>
      <c r="H5" s="3469"/>
    </row>
    <row r="6" spans="1:8">
      <c r="A6" s="3466"/>
      <c r="B6" s="3472"/>
      <c r="C6" s="3471"/>
      <c r="D6" s="3471"/>
      <c r="E6" s="3471"/>
      <c r="F6" s="3471"/>
      <c r="G6" s="3471"/>
      <c r="H6" s="3470"/>
    </row>
    <row r="7" spans="1:8">
      <c r="A7" s="3466"/>
      <c r="B7" s="1991" t="s">
        <v>295</v>
      </c>
      <c r="C7" s="1991" t="s">
        <v>370</v>
      </c>
      <c r="D7" s="1991" t="s">
        <v>68</v>
      </c>
      <c r="E7" s="1991" t="s">
        <v>69</v>
      </c>
      <c r="F7" s="1991" t="s">
        <v>70</v>
      </c>
      <c r="G7" s="1991" t="s">
        <v>5074</v>
      </c>
      <c r="H7" s="1991" t="s">
        <v>1327</v>
      </c>
    </row>
    <row r="8" spans="1:8">
      <c r="A8" s="1992">
        <v>1</v>
      </c>
      <c r="B8" s="1993"/>
      <c r="C8" s="1993"/>
      <c r="D8" s="1993"/>
      <c r="E8" s="1993"/>
      <c r="F8" s="1993"/>
      <c r="G8" s="1994"/>
      <c r="H8" s="1995">
        <f>SUM(B8:G8)/5</f>
        <v>0</v>
      </c>
    </row>
    <row r="11" spans="1:8">
      <c r="A11" s="1996" t="s">
        <v>5075</v>
      </c>
    </row>
    <row r="12" spans="1:8">
      <c r="A12" s="1997">
        <v>1</v>
      </c>
      <c r="B12" s="1791" t="s">
        <v>5076</v>
      </c>
    </row>
    <row r="13" spans="1:8">
      <c r="A13" s="1997">
        <v>2</v>
      </c>
      <c r="B13" s="1791" t="s">
        <v>5077</v>
      </c>
    </row>
    <row r="14" spans="1:8">
      <c r="B14" s="1791" t="s">
        <v>5078</v>
      </c>
    </row>
    <row r="15" spans="1:8">
      <c r="B15" s="1791" t="s">
        <v>5079</v>
      </c>
    </row>
    <row r="16" spans="1:8">
      <c r="B16" s="1786" t="s">
        <v>4800</v>
      </c>
    </row>
    <row r="17" spans="1:2">
      <c r="A17" s="1997">
        <v>3</v>
      </c>
      <c r="B17" s="1791" t="s">
        <v>5080</v>
      </c>
    </row>
    <row r="18" spans="1:2">
      <c r="A18" s="1997"/>
      <c r="B18" s="1791" t="s">
        <v>5081</v>
      </c>
    </row>
    <row r="19" spans="1:2">
      <c r="B19" s="1791" t="s">
        <v>5078</v>
      </c>
    </row>
    <row r="20" spans="1:2">
      <c r="B20" s="1791" t="s">
        <v>5082</v>
      </c>
    </row>
    <row r="21" spans="1:2">
      <c r="B21" s="1786" t="s">
        <v>4800</v>
      </c>
    </row>
  </sheetData>
  <mergeCells count="9">
    <mergeCell ref="A4:A7"/>
    <mergeCell ref="B4:G4"/>
    <mergeCell ref="H4:H6"/>
    <mergeCell ref="B5:B6"/>
    <mergeCell ref="C5:C6"/>
    <mergeCell ref="D5:D6"/>
    <mergeCell ref="G5:G6"/>
    <mergeCell ref="E5:E6"/>
    <mergeCell ref="F5:F6"/>
  </mergeCells>
  <phoneticPr fontId="30"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zoomScaleNormal="85" zoomScaleSheetLayoutView="100" workbookViewId="0"/>
  </sheetViews>
  <sheetFormatPr defaultColWidth="20.625" defaultRowHeight="15.75"/>
  <cols>
    <col min="1" max="1" width="5.625" style="20" customWidth="1"/>
    <col min="2" max="2" width="30.625" style="20" customWidth="1"/>
    <col min="3" max="255" width="20.625" style="20"/>
    <col min="256" max="256" width="1.625" style="20" customWidth="1"/>
    <col min="257" max="257" width="5.625" style="20" customWidth="1"/>
    <col min="258" max="258" width="30.625" style="20" customWidth="1"/>
    <col min="259" max="511" width="20.625" style="20"/>
    <col min="512" max="512" width="1.625" style="20" customWidth="1"/>
    <col min="513" max="513" width="5.625" style="20" customWidth="1"/>
    <col min="514" max="514" width="30.625" style="20" customWidth="1"/>
    <col min="515" max="767" width="20.625" style="20"/>
    <col min="768" max="768" width="1.625" style="20" customWidth="1"/>
    <col min="769" max="769" width="5.625" style="20" customWidth="1"/>
    <col min="770" max="770" width="30.625" style="20" customWidth="1"/>
    <col min="771" max="1023" width="20.625" style="20"/>
    <col min="1024" max="1024" width="1.625" style="20" customWidth="1"/>
    <col min="1025" max="1025" width="5.625" style="20" customWidth="1"/>
    <col min="1026" max="1026" width="30.625" style="20" customWidth="1"/>
    <col min="1027" max="1279" width="20.625" style="20"/>
    <col min="1280" max="1280" width="1.625" style="20" customWidth="1"/>
    <col min="1281" max="1281" width="5.625" style="20" customWidth="1"/>
    <col min="1282" max="1282" width="30.625" style="20" customWidth="1"/>
    <col min="1283" max="1535" width="20.625" style="20"/>
    <col min="1536" max="1536" width="1.625" style="20" customWidth="1"/>
    <col min="1537" max="1537" width="5.625" style="20" customWidth="1"/>
    <col min="1538" max="1538" width="30.625" style="20" customWidth="1"/>
    <col min="1539" max="1791" width="20.625" style="20"/>
    <col min="1792" max="1792" width="1.625" style="20" customWidth="1"/>
    <col min="1793" max="1793" width="5.625" style="20" customWidth="1"/>
    <col min="1794" max="1794" width="30.625" style="20" customWidth="1"/>
    <col min="1795" max="2047" width="20.625" style="20"/>
    <col min="2048" max="2048" width="1.625" style="20" customWidth="1"/>
    <col min="2049" max="2049" width="5.625" style="20" customWidth="1"/>
    <col min="2050" max="2050" width="30.625" style="20" customWidth="1"/>
    <col min="2051" max="2303" width="20.625" style="20"/>
    <col min="2304" max="2304" width="1.625" style="20" customWidth="1"/>
    <col min="2305" max="2305" width="5.625" style="20" customWidth="1"/>
    <col min="2306" max="2306" width="30.625" style="20" customWidth="1"/>
    <col min="2307" max="2559" width="20.625" style="20"/>
    <col min="2560" max="2560" width="1.625" style="20" customWidth="1"/>
    <col min="2561" max="2561" width="5.625" style="20" customWidth="1"/>
    <col min="2562" max="2562" width="30.625" style="20" customWidth="1"/>
    <col min="2563" max="2815" width="20.625" style="20"/>
    <col min="2816" max="2816" width="1.625" style="20" customWidth="1"/>
    <col min="2817" max="2817" width="5.625" style="20" customWidth="1"/>
    <col min="2818" max="2818" width="30.625" style="20" customWidth="1"/>
    <col min="2819" max="3071" width="20.625" style="20"/>
    <col min="3072" max="3072" width="1.625" style="20" customWidth="1"/>
    <col min="3073" max="3073" width="5.625" style="20" customWidth="1"/>
    <col min="3074" max="3074" width="30.625" style="20" customWidth="1"/>
    <col min="3075" max="3327" width="20.625" style="20"/>
    <col min="3328" max="3328" width="1.625" style="20" customWidth="1"/>
    <col min="3329" max="3329" width="5.625" style="20" customWidth="1"/>
    <col min="3330" max="3330" width="30.625" style="20" customWidth="1"/>
    <col min="3331" max="3583" width="20.625" style="20"/>
    <col min="3584" max="3584" width="1.625" style="20" customWidth="1"/>
    <col min="3585" max="3585" width="5.625" style="20" customWidth="1"/>
    <col min="3586" max="3586" width="30.625" style="20" customWidth="1"/>
    <col min="3587" max="3839" width="20.625" style="20"/>
    <col min="3840" max="3840" width="1.625" style="20" customWidth="1"/>
    <col min="3841" max="3841" width="5.625" style="20" customWidth="1"/>
    <col min="3842" max="3842" width="30.625" style="20" customWidth="1"/>
    <col min="3843" max="4095" width="20.625" style="20"/>
    <col min="4096" max="4096" width="1.625" style="20" customWidth="1"/>
    <col min="4097" max="4097" width="5.625" style="20" customWidth="1"/>
    <col min="4098" max="4098" width="30.625" style="20" customWidth="1"/>
    <col min="4099" max="4351" width="20.625" style="20"/>
    <col min="4352" max="4352" width="1.625" style="20" customWidth="1"/>
    <col min="4353" max="4353" width="5.625" style="20" customWidth="1"/>
    <col min="4354" max="4354" width="30.625" style="20" customWidth="1"/>
    <col min="4355" max="4607" width="20.625" style="20"/>
    <col min="4608" max="4608" width="1.625" style="20" customWidth="1"/>
    <col min="4609" max="4609" width="5.625" style="20" customWidth="1"/>
    <col min="4610" max="4610" width="30.625" style="20" customWidth="1"/>
    <col min="4611" max="4863" width="20.625" style="20"/>
    <col min="4864" max="4864" width="1.625" style="20" customWidth="1"/>
    <col min="4865" max="4865" width="5.625" style="20" customWidth="1"/>
    <col min="4866" max="4866" width="30.625" style="20" customWidth="1"/>
    <col min="4867" max="5119" width="20.625" style="20"/>
    <col min="5120" max="5120" width="1.625" style="20" customWidth="1"/>
    <col min="5121" max="5121" width="5.625" style="20" customWidth="1"/>
    <col min="5122" max="5122" width="30.625" style="20" customWidth="1"/>
    <col min="5123" max="5375" width="20.625" style="20"/>
    <col min="5376" max="5376" width="1.625" style="20" customWidth="1"/>
    <col min="5377" max="5377" width="5.625" style="20" customWidth="1"/>
    <col min="5378" max="5378" width="30.625" style="20" customWidth="1"/>
    <col min="5379" max="5631" width="20.625" style="20"/>
    <col min="5632" max="5632" width="1.625" style="20" customWidth="1"/>
    <col min="5633" max="5633" width="5.625" style="20" customWidth="1"/>
    <col min="5634" max="5634" width="30.625" style="20" customWidth="1"/>
    <col min="5635" max="5887" width="20.625" style="20"/>
    <col min="5888" max="5888" width="1.625" style="20" customWidth="1"/>
    <col min="5889" max="5889" width="5.625" style="20" customWidth="1"/>
    <col min="5890" max="5890" width="30.625" style="20" customWidth="1"/>
    <col min="5891" max="6143" width="20.625" style="20"/>
    <col min="6144" max="6144" width="1.625" style="20" customWidth="1"/>
    <col min="6145" max="6145" width="5.625" style="20" customWidth="1"/>
    <col min="6146" max="6146" width="30.625" style="20" customWidth="1"/>
    <col min="6147" max="6399" width="20.625" style="20"/>
    <col min="6400" max="6400" width="1.625" style="20" customWidth="1"/>
    <col min="6401" max="6401" width="5.625" style="20" customWidth="1"/>
    <col min="6402" max="6402" width="30.625" style="20" customWidth="1"/>
    <col min="6403" max="6655" width="20.625" style="20"/>
    <col min="6656" max="6656" width="1.625" style="20" customWidth="1"/>
    <col min="6657" max="6657" width="5.625" style="20" customWidth="1"/>
    <col min="6658" max="6658" width="30.625" style="20" customWidth="1"/>
    <col min="6659" max="6911" width="20.625" style="20"/>
    <col min="6912" max="6912" width="1.625" style="20" customWidth="1"/>
    <col min="6913" max="6913" width="5.625" style="20" customWidth="1"/>
    <col min="6914" max="6914" width="30.625" style="20" customWidth="1"/>
    <col min="6915" max="7167" width="20.625" style="20"/>
    <col min="7168" max="7168" width="1.625" style="20" customWidth="1"/>
    <col min="7169" max="7169" width="5.625" style="20" customWidth="1"/>
    <col min="7170" max="7170" width="30.625" style="20" customWidth="1"/>
    <col min="7171" max="7423" width="20.625" style="20"/>
    <col min="7424" max="7424" width="1.625" style="20" customWidth="1"/>
    <col min="7425" max="7425" width="5.625" style="20" customWidth="1"/>
    <col min="7426" max="7426" width="30.625" style="20" customWidth="1"/>
    <col min="7427" max="7679" width="20.625" style="20"/>
    <col min="7680" max="7680" width="1.625" style="20" customWidth="1"/>
    <col min="7681" max="7681" width="5.625" style="20" customWidth="1"/>
    <col min="7682" max="7682" width="30.625" style="20" customWidth="1"/>
    <col min="7683" max="7935" width="20.625" style="20"/>
    <col min="7936" max="7936" width="1.625" style="20" customWidth="1"/>
    <col min="7937" max="7937" width="5.625" style="20" customWidth="1"/>
    <col min="7938" max="7938" width="30.625" style="20" customWidth="1"/>
    <col min="7939" max="8191" width="20.625" style="20"/>
    <col min="8192" max="8192" width="1.625" style="20" customWidth="1"/>
    <col min="8193" max="8193" width="5.625" style="20" customWidth="1"/>
    <col min="8194" max="8194" width="30.625" style="20" customWidth="1"/>
    <col min="8195" max="8447" width="20.625" style="20"/>
    <col min="8448" max="8448" width="1.625" style="20" customWidth="1"/>
    <col min="8449" max="8449" width="5.625" style="20" customWidth="1"/>
    <col min="8450" max="8450" width="30.625" style="20" customWidth="1"/>
    <col min="8451" max="8703" width="20.625" style="20"/>
    <col min="8704" max="8704" width="1.625" style="20" customWidth="1"/>
    <col min="8705" max="8705" width="5.625" style="20" customWidth="1"/>
    <col min="8706" max="8706" width="30.625" style="20" customWidth="1"/>
    <col min="8707" max="8959" width="20.625" style="20"/>
    <col min="8960" max="8960" width="1.625" style="20" customWidth="1"/>
    <col min="8961" max="8961" width="5.625" style="20" customWidth="1"/>
    <col min="8962" max="8962" width="30.625" style="20" customWidth="1"/>
    <col min="8963" max="9215" width="20.625" style="20"/>
    <col min="9216" max="9216" width="1.625" style="20" customWidth="1"/>
    <col min="9217" max="9217" width="5.625" style="20" customWidth="1"/>
    <col min="9218" max="9218" width="30.625" style="20" customWidth="1"/>
    <col min="9219" max="9471" width="20.625" style="20"/>
    <col min="9472" max="9472" width="1.625" style="20" customWidth="1"/>
    <col min="9473" max="9473" width="5.625" style="20" customWidth="1"/>
    <col min="9474" max="9474" width="30.625" style="20" customWidth="1"/>
    <col min="9475" max="9727" width="20.625" style="20"/>
    <col min="9728" max="9728" width="1.625" style="20" customWidth="1"/>
    <col min="9729" max="9729" width="5.625" style="20" customWidth="1"/>
    <col min="9730" max="9730" width="30.625" style="20" customWidth="1"/>
    <col min="9731" max="9983" width="20.625" style="20"/>
    <col min="9984" max="9984" width="1.625" style="20" customWidth="1"/>
    <col min="9985" max="9985" width="5.625" style="20" customWidth="1"/>
    <col min="9986" max="9986" width="30.625" style="20" customWidth="1"/>
    <col min="9987" max="10239" width="20.625" style="20"/>
    <col min="10240" max="10240" width="1.625" style="20" customWidth="1"/>
    <col min="10241" max="10241" width="5.625" style="20" customWidth="1"/>
    <col min="10242" max="10242" width="30.625" style="20" customWidth="1"/>
    <col min="10243" max="10495" width="20.625" style="20"/>
    <col min="10496" max="10496" width="1.625" style="20" customWidth="1"/>
    <col min="10497" max="10497" width="5.625" style="20" customWidth="1"/>
    <col min="10498" max="10498" width="30.625" style="20" customWidth="1"/>
    <col min="10499" max="10751" width="20.625" style="20"/>
    <col min="10752" max="10752" width="1.625" style="20" customWidth="1"/>
    <col min="10753" max="10753" width="5.625" style="20" customWidth="1"/>
    <col min="10754" max="10754" width="30.625" style="20" customWidth="1"/>
    <col min="10755" max="11007" width="20.625" style="20"/>
    <col min="11008" max="11008" width="1.625" style="20" customWidth="1"/>
    <col min="11009" max="11009" width="5.625" style="20" customWidth="1"/>
    <col min="11010" max="11010" width="30.625" style="20" customWidth="1"/>
    <col min="11011" max="11263" width="20.625" style="20"/>
    <col min="11264" max="11264" width="1.625" style="20" customWidth="1"/>
    <col min="11265" max="11265" width="5.625" style="20" customWidth="1"/>
    <col min="11266" max="11266" width="30.625" style="20" customWidth="1"/>
    <col min="11267" max="11519" width="20.625" style="20"/>
    <col min="11520" max="11520" width="1.625" style="20" customWidth="1"/>
    <col min="11521" max="11521" width="5.625" style="20" customWidth="1"/>
    <col min="11522" max="11522" width="30.625" style="20" customWidth="1"/>
    <col min="11523" max="11775" width="20.625" style="20"/>
    <col min="11776" max="11776" width="1.625" style="20" customWidth="1"/>
    <col min="11777" max="11777" width="5.625" style="20" customWidth="1"/>
    <col min="11778" max="11778" width="30.625" style="20" customWidth="1"/>
    <col min="11779" max="12031" width="20.625" style="20"/>
    <col min="12032" max="12032" width="1.625" style="20" customWidth="1"/>
    <col min="12033" max="12033" width="5.625" style="20" customWidth="1"/>
    <col min="12034" max="12034" width="30.625" style="20" customWidth="1"/>
    <col min="12035" max="12287" width="20.625" style="20"/>
    <col min="12288" max="12288" width="1.625" style="20" customWidth="1"/>
    <col min="12289" max="12289" width="5.625" style="20" customWidth="1"/>
    <col min="12290" max="12290" width="30.625" style="20" customWidth="1"/>
    <col min="12291" max="12543" width="20.625" style="20"/>
    <col min="12544" max="12544" width="1.625" style="20" customWidth="1"/>
    <col min="12545" max="12545" width="5.625" style="20" customWidth="1"/>
    <col min="12546" max="12546" width="30.625" style="20" customWidth="1"/>
    <col min="12547" max="12799" width="20.625" style="20"/>
    <col min="12800" max="12800" width="1.625" style="20" customWidth="1"/>
    <col min="12801" max="12801" width="5.625" style="20" customWidth="1"/>
    <col min="12802" max="12802" width="30.625" style="20" customWidth="1"/>
    <col min="12803" max="13055" width="20.625" style="20"/>
    <col min="13056" max="13056" width="1.625" style="20" customWidth="1"/>
    <col min="13057" max="13057" width="5.625" style="20" customWidth="1"/>
    <col min="13058" max="13058" width="30.625" style="20" customWidth="1"/>
    <col min="13059" max="13311" width="20.625" style="20"/>
    <col min="13312" max="13312" width="1.625" style="20" customWidth="1"/>
    <col min="13313" max="13313" width="5.625" style="20" customWidth="1"/>
    <col min="13314" max="13314" width="30.625" style="20" customWidth="1"/>
    <col min="13315" max="13567" width="20.625" style="20"/>
    <col min="13568" max="13568" width="1.625" style="20" customWidth="1"/>
    <col min="13569" max="13569" width="5.625" style="20" customWidth="1"/>
    <col min="13570" max="13570" width="30.625" style="20" customWidth="1"/>
    <col min="13571" max="13823" width="20.625" style="20"/>
    <col min="13824" max="13824" width="1.625" style="20" customWidth="1"/>
    <col min="13825" max="13825" width="5.625" style="20" customWidth="1"/>
    <col min="13826" max="13826" width="30.625" style="20" customWidth="1"/>
    <col min="13827" max="14079" width="20.625" style="20"/>
    <col min="14080" max="14080" width="1.625" style="20" customWidth="1"/>
    <col min="14081" max="14081" width="5.625" style="20" customWidth="1"/>
    <col min="14082" max="14082" width="30.625" style="20" customWidth="1"/>
    <col min="14083" max="14335" width="20.625" style="20"/>
    <col min="14336" max="14336" width="1.625" style="20" customWidth="1"/>
    <col min="14337" max="14337" width="5.625" style="20" customWidth="1"/>
    <col min="14338" max="14338" width="30.625" style="20" customWidth="1"/>
    <col min="14339" max="14591" width="20.625" style="20"/>
    <col min="14592" max="14592" width="1.625" style="20" customWidth="1"/>
    <col min="14593" max="14593" width="5.625" style="20" customWidth="1"/>
    <col min="14594" max="14594" width="30.625" style="20" customWidth="1"/>
    <col min="14595" max="14847" width="20.625" style="20"/>
    <col min="14848" max="14848" width="1.625" style="20" customWidth="1"/>
    <col min="14849" max="14849" width="5.625" style="20" customWidth="1"/>
    <col min="14850" max="14850" width="30.625" style="20" customWidth="1"/>
    <col min="14851" max="15103" width="20.625" style="20"/>
    <col min="15104" max="15104" width="1.625" style="20" customWidth="1"/>
    <col min="15105" max="15105" width="5.625" style="20" customWidth="1"/>
    <col min="15106" max="15106" width="30.625" style="20" customWidth="1"/>
    <col min="15107" max="15359" width="20.625" style="20"/>
    <col min="15360" max="15360" width="1.625" style="20" customWidth="1"/>
    <col min="15361" max="15361" width="5.625" style="20" customWidth="1"/>
    <col min="15362" max="15362" width="30.625" style="20" customWidth="1"/>
    <col min="15363" max="15615" width="20.625" style="20"/>
    <col min="15616" max="15616" width="1.625" style="20" customWidth="1"/>
    <col min="15617" max="15617" width="5.625" style="20" customWidth="1"/>
    <col min="15618" max="15618" width="30.625" style="20" customWidth="1"/>
    <col min="15619" max="15871" width="20.625" style="20"/>
    <col min="15872" max="15872" width="1.625" style="20" customWidth="1"/>
    <col min="15873" max="15873" width="5.625" style="20" customWidth="1"/>
    <col min="15874" max="15874" width="30.625" style="20" customWidth="1"/>
    <col min="15875" max="16127" width="20.625" style="20"/>
    <col min="16128" max="16128" width="1.625" style="20" customWidth="1"/>
    <col min="16129" max="16129" width="5.625" style="20" customWidth="1"/>
    <col min="16130" max="16130" width="30.625" style="20" customWidth="1"/>
    <col min="16131" max="16384" width="20.625" style="20"/>
  </cols>
  <sheetData>
    <row r="1" spans="1:24" ht="16.5">
      <c r="A1" s="425" t="str">
        <f>+封面!A3&amp;" "&amp;封面!A2</f>
        <v xml:space="preserve"> 中央再保險股份有限公司 年度檢查報表</v>
      </c>
      <c r="B1" s="23"/>
      <c r="C1" s="23"/>
      <c r="D1" s="23"/>
      <c r="E1" s="23"/>
      <c r="F1" s="23"/>
      <c r="G1" s="23"/>
      <c r="H1" s="23"/>
      <c r="I1" s="23"/>
      <c r="J1" s="23"/>
      <c r="K1" s="23"/>
      <c r="L1" s="23"/>
      <c r="M1" s="23"/>
      <c r="N1" s="23"/>
      <c r="O1" s="23"/>
      <c r="P1" s="23"/>
      <c r="Q1" s="23"/>
      <c r="R1" s="23"/>
      <c r="S1" s="23"/>
      <c r="T1" s="23"/>
      <c r="U1" s="23"/>
      <c r="V1" s="23"/>
      <c r="W1" s="39"/>
    </row>
    <row r="2" spans="1:24" ht="16.5">
      <c r="A2" s="426" t="s">
        <v>3562</v>
      </c>
      <c r="B2" s="23"/>
      <c r="C2" s="23"/>
      <c r="D2" s="23"/>
      <c r="E2" s="23"/>
      <c r="F2" s="23"/>
      <c r="G2" s="23"/>
      <c r="H2" s="23"/>
      <c r="I2" s="23"/>
      <c r="J2" s="23"/>
      <c r="K2" s="23"/>
      <c r="L2" s="23"/>
      <c r="M2" s="23"/>
      <c r="N2" s="23"/>
      <c r="O2" s="23"/>
      <c r="P2" s="23"/>
      <c r="Q2" s="23"/>
      <c r="R2" s="23"/>
      <c r="W2" s="39"/>
    </row>
    <row r="3" spans="1:24" ht="16.5">
      <c r="A3" s="426" t="s">
        <v>3563</v>
      </c>
      <c r="B3" s="23"/>
      <c r="C3" s="23"/>
      <c r="D3" s="23"/>
      <c r="E3" s="23"/>
      <c r="F3" s="23"/>
      <c r="G3" s="23"/>
      <c r="H3" s="23"/>
      <c r="I3" s="23"/>
      <c r="J3" s="23"/>
      <c r="K3" s="23"/>
      <c r="L3" s="23"/>
      <c r="M3" s="23"/>
      <c r="N3" s="23"/>
      <c r="O3" s="23"/>
      <c r="P3" s="23"/>
      <c r="Q3" s="23"/>
      <c r="R3" s="23"/>
      <c r="V3" s="427"/>
      <c r="W3" s="427" t="s">
        <v>3564</v>
      </c>
    </row>
    <row r="4" spans="1:24" ht="15.75" customHeight="1">
      <c r="A4" s="2879" t="s">
        <v>3565</v>
      </c>
      <c r="B4" s="2882" t="s">
        <v>3566</v>
      </c>
      <c r="C4" s="2884"/>
      <c r="D4" s="2882" t="s">
        <v>3567</v>
      </c>
      <c r="E4" s="2883"/>
      <c r="F4" s="2883"/>
      <c r="G4" s="2884"/>
      <c r="H4" s="2879" t="s">
        <v>3568</v>
      </c>
      <c r="I4" s="2879" t="s">
        <v>3569</v>
      </c>
      <c r="J4" s="2879" t="s">
        <v>3570</v>
      </c>
      <c r="K4" s="2879" t="s">
        <v>3571</v>
      </c>
      <c r="L4" s="2879" t="s">
        <v>3572</v>
      </c>
      <c r="M4" s="2879" t="s">
        <v>3573</v>
      </c>
      <c r="N4" s="2879" t="s">
        <v>3574</v>
      </c>
      <c r="O4" s="2879" t="s">
        <v>3575</v>
      </c>
      <c r="P4" s="2879" t="s">
        <v>3576</v>
      </c>
      <c r="Q4" s="2879" t="s">
        <v>3577</v>
      </c>
      <c r="R4" s="2879" t="s">
        <v>3578</v>
      </c>
      <c r="S4" s="2879" t="s">
        <v>3579</v>
      </c>
      <c r="T4" s="2879" t="s">
        <v>3580</v>
      </c>
      <c r="U4" s="2879" t="s">
        <v>3581</v>
      </c>
      <c r="V4" s="2879" t="s">
        <v>3582</v>
      </c>
      <c r="W4" s="2879" t="s">
        <v>3449</v>
      </c>
      <c r="X4" s="39"/>
    </row>
    <row r="5" spans="1:24" ht="16.5">
      <c r="A5" s="2881"/>
      <c r="B5" s="428" t="s">
        <v>3583</v>
      </c>
      <c r="C5" s="428" t="s">
        <v>3584</v>
      </c>
      <c r="D5" s="428" t="s">
        <v>3583</v>
      </c>
      <c r="E5" s="428" t="s">
        <v>3584</v>
      </c>
      <c r="F5" s="428" t="s">
        <v>3585</v>
      </c>
      <c r="G5" s="428" t="s">
        <v>3586</v>
      </c>
      <c r="H5" s="2880"/>
      <c r="I5" s="2880"/>
      <c r="J5" s="2880"/>
      <c r="K5" s="2880"/>
      <c r="L5" s="2880"/>
      <c r="M5" s="2880"/>
      <c r="N5" s="2880"/>
      <c r="O5" s="2880"/>
      <c r="P5" s="2880"/>
      <c r="Q5" s="2880"/>
      <c r="R5" s="2880"/>
      <c r="S5" s="2880"/>
      <c r="T5" s="2880"/>
      <c r="U5" s="2880"/>
      <c r="V5" s="2880"/>
      <c r="W5" s="2880"/>
      <c r="X5" s="39"/>
    </row>
    <row r="6" spans="1:24">
      <c r="A6" s="2880"/>
      <c r="B6" s="429" t="s">
        <v>66</v>
      </c>
      <c r="C6" s="429" t="s">
        <v>67</v>
      </c>
      <c r="D6" s="429" t="s">
        <v>68</v>
      </c>
      <c r="E6" s="429" t="s">
        <v>69</v>
      </c>
      <c r="F6" s="429" t="s">
        <v>70</v>
      </c>
      <c r="G6" s="429" t="s">
        <v>71</v>
      </c>
      <c r="H6" s="429" t="s">
        <v>72</v>
      </c>
      <c r="I6" s="429" t="s">
        <v>73</v>
      </c>
      <c r="J6" s="429" t="s">
        <v>74</v>
      </c>
      <c r="K6" s="429" t="s">
        <v>75</v>
      </c>
      <c r="L6" s="429" t="s">
        <v>225</v>
      </c>
      <c r="M6" s="429" t="s">
        <v>226</v>
      </c>
      <c r="N6" s="429" t="s">
        <v>274</v>
      </c>
      <c r="O6" s="429" t="s">
        <v>275</v>
      </c>
      <c r="P6" s="429" t="s">
        <v>276</v>
      </c>
      <c r="Q6" s="429" t="s">
        <v>277</v>
      </c>
      <c r="R6" s="429" t="s">
        <v>278</v>
      </c>
      <c r="S6" s="429" t="s">
        <v>138</v>
      </c>
      <c r="T6" s="429" t="s">
        <v>139</v>
      </c>
      <c r="U6" s="429" t="s">
        <v>140</v>
      </c>
      <c r="V6" s="429" t="s">
        <v>141</v>
      </c>
      <c r="W6" s="429" t="s">
        <v>142</v>
      </c>
      <c r="X6" s="39"/>
    </row>
    <row r="7" spans="1:24">
      <c r="A7" s="430">
        <v>1</v>
      </c>
      <c r="B7" s="431"/>
      <c r="C7" s="432"/>
      <c r="D7" s="431"/>
      <c r="E7" s="432"/>
      <c r="F7" s="432"/>
      <c r="G7" s="432"/>
      <c r="H7" s="432"/>
      <c r="I7" s="432"/>
      <c r="J7" s="432"/>
      <c r="K7" s="432"/>
      <c r="L7" s="432"/>
      <c r="M7" s="432"/>
      <c r="N7" s="432"/>
      <c r="O7" s="432"/>
      <c r="P7" s="433"/>
      <c r="Q7" s="432"/>
      <c r="R7" s="434"/>
      <c r="S7" s="434"/>
      <c r="T7" s="434"/>
      <c r="U7" s="434"/>
      <c r="V7" s="432"/>
      <c r="W7" s="432"/>
      <c r="X7" s="39"/>
    </row>
    <row r="8" spans="1:24">
      <c r="A8" s="430">
        <v>2</v>
      </c>
      <c r="B8" s="431"/>
      <c r="C8" s="432"/>
      <c r="D8" s="431"/>
      <c r="E8" s="432"/>
      <c r="F8" s="432"/>
      <c r="G8" s="432"/>
      <c r="H8" s="432"/>
      <c r="I8" s="432"/>
      <c r="J8" s="432"/>
      <c r="K8" s="432"/>
      <c r="L8" s="432"/>
      <c r="M8" s="432"/>
      <c r="N8" s="432"/>
      <c r="O8" s="432"/>
      <c r="P8" s="433"/>
      <c r="Q8" s="432"/>
      <c r="R8" s="434"/>
      <c r="S8" s="434"/>
      <c r="T8" s="434"/>
      <c r="U8" s="434"/>
      <c r="V8" s="432"/>
      <c r="W8" s="432"/>
      <c r="X8" s="39"/>
    </row>
    <row r="9" spans="1:24">
      <c r="A9" s="430">
        <v>3</v>
      </c>
      <c r="B9" s="431"/>
      <c r="C9" s="432"/>
      <c r="D9" s="431"/>
      <c r="E9" s="432"/>
      <c r="F9" s="432"/>
      <c r="G9" s="432"/>
      <c r="H9" s="432"/>
      <c r="I9" s="432"/>
      <c r="J9" s="432"/>
      <c r="K9" s="432"/>
      <c r="L9" s="432"/>
      <c r="M9" s="432"/>
      <c r="N9" s="432"/>
      <c r="O9" s="432"/>
      <c r="P9" s="433"/>
      <c r="Q9" s="432"/>
      <c r="R9" s="434"/>
      <c r="S9" s="434"/>
      <c r="T9" s="434"/>
      <c r="U9" s="434"/>
      <c r="V9" s="432"/>
      <c r="W9" s="432"/>
      <c r="X9" s="39"/>
    </row>
    <row r="10" spans="1:24">
      <c r="A10" s="430">
        <v>4</v>
      </c>
      <c r="B10" s="431"/>
      <c r="C10" s="432"/>
      <c r="D10" s="431"/>
      <c r="E10" s="432"/>
      <c r="F10" s="432"/>
      <c r="G10" s="432"/>
      <c r="H10" s="432"/>
      <c r="I10" s="432"/>
      <c r="J10" s="432"/>
      <c r="K10" s="432"/>
      <c r="L10" s="432"/>
      <c r="M10" s="432"/>
      <c r="N10" s="432"/>
      <c r="O10" s="432"/>
      <c r="P10" s="433"/>
      <c r="Q10" s="432"/>
      <c r="R10" s="434"/>
      <c r="S10" s="434"/>
      <c r="T10" s="434"/>
      <c r="U10" s="434"/>
      <c r="V10" s="432"/>
      <c r="W10" s="432"/>
      <c r="X10" s="39"/>
    </row>
    <row r="11" spans="1:24">
      <c r="A11" s="430">
        <v>5</v>
      </c>
      <c r="B11" s="431"/>
      <c r="C11" s="432"/>
      <c r="D11" s="431"/>
      <c r="E11" s="432"/>
      <c r="F11" s="432"/>
      <c r="G11" s="432"/>
      <c r="H11" s="432"/>
      <c r="I11" s="432"/>
      <c r="J11" s="432"/>
      <c r="K11" s="432"/>
      <c r="L11" s="432"/>
      <c r="M11" s="432"/>
      <c r="N11" s="432"/>
      <c r="O11" s="432"/>
      <c r="P11" s="433"/>
      <c r="Q11" s="432"/>
      <c r="R11" s="434"/>
      <c r="S11" s="434"/>
      <c r="T11" s="434"/>
      <c r="U11" s="434"/>
      <c r="V11" s="432"/>
      <c r="W11" s="432"/>
      <c r="X11" s="39"/>
    </row>
    <row r="12" spans="1:24">
      <c r="A12" s="430">
        <v>6</v>
      </c>
      <c r="B12" s="431"/>
      <c r="C12" s="432"/>
      <c r="D12" s="431"/>
      <c r="E12" s="432"/>
      <c r="F12" s="432"/>
      <c r="G12" s="432"/>
      <c r="H12" s="432"/>
      <c r="I12" s="432"/>
      <c r="J12" s="432"/>
      <c r="K12" s="432"/>
      <c r="L12" s="432"/>
      <c r="M12" s="432"/>
      <c r="N12" s="432"/>
      <c r="O12" s="432"/>
      <c r="P12" s="433"/>
      <c r="Q12" s="432"/>
      <c r="R12" s="434"/>
      <c r="S12" s="434"/>
      <c r="T12" s="434"/>
      <c r="U12" s="434"/>
      <c r="V12" s="432"/>
      <c r="W12" s="432"/>
      <c r="X12" s="39"/>
    </row>
    <row r="13" spans="1:24">
      <c r="A13" s="430">
        <v>7</v>
      </c>
      <c r="B13" s="431"/>
      <c r="C13" s="432"/>
      <c r="D13" s="431"/>
      <c r="E13" s="432"/>
      <c r="F13" s="432"/>
      <c r="G13" s="432"/>
      <c r="H13" s="432"/>
      <c r="I13" s="432"/>
      <c r="J13" s="432"/>
      <c r="K13" s="432"/>
      <c r="L13" s="432"/>
      <c r="M13" s="432"/>
      <c r="N13" s="432"/>
      <c r="O13" s="432"/>
      <c r="P13" s="433"/>
      <c r="Q13" s="432"/>
      <c r="R13" s="434"/>
      <c r="S13" s="434"/>
      <c r="T13" s="434"/>
      <c r="U13" s="434"/>
      <c r="V13" s="432"/>
      <c r="W13" s="432"/>
      <c r="X13" s="39"/>
    </row>
    <row r="14" spans="1:24">
      <c r="A14" s="430">
        <v>8</v>
      </c>
      <c r="B14" s="431"/>
      <c r="C14" s="432"/>
      <c r="D14" s="431"/>
      <c r="E14" s="432"/>
      <c r="F14" s="432"/>
      <c r="G14" s="432"/>
      <c r="H14" s="432"/>
      <c r="I14" s="432"/>
      <c r="J14" s="432"/>
      <c r="K14" s="432"/>
      <c r="L14" s="432"/>
      <c r="M14" s="432"/>
      <c r="N14" s="432"/>
      <c r="O14" s="432"/>
      <c r="P14" s="433"/>
      <c r="Q14" s="432"/>
      <c r="R14" s="434"/>
      <c r="S14" s="434"/>
      <c r="T14" s="434"/>
      <c r="U14" s="434"/>
      <c r="V14" s="432"/>
      <c r="W14" s="432"/>
      <c r="X14" s="39"/>
    </row>
    <row r="15" spans="1:24">
      <c r="A15" s="430">
        <v>9</v>
      </c>
      <c r="B15" s="431"/>
      <c r="C15" s="432"/>
      <c r="D15" s="431"/>
      <c r="E15" s="432"/>
      <c r="F15" s="432"/>
      <c r="G15" s="432"/>
      <c r="H15" s="432"/>
      <c r="I15" s="432"/>
      <c r="J15" s="432"/>
      <c r="K15" s="432"/>
      <c r="L15" s="432"/>
      <c r="M15" s="432"/>
      <c r="N15" s="432"/>
      <c r="O15" s="432"/>
      <c r="P15" s="433"/>
      <c r="Q15" s="432"/>
      <c r="R15" s="434"/>
      <c r="S15" s="434"/>
      <c r="T15" s="434"/>
      <c r="U15" s="434"/>
      <c r="V15" s="432"/>
      <c r="W15" s="432"/>
      <c r="X15" s="39"/>
    </row>
    <row r="16" spans="1:24">
      <c r="A16" s="430">
        <v>10</v>
      </c>
      <c r="B16" s="431"/>
      <c r="C16" s="432"/>
      <c r="D16" s="431"/>
      <c r="E16" s="432"/>
      <c r="F16" s="432"/>
      <c r="G16" s="432"/>
      <c r="H16" s="432"/>
      <c r="I16" s="432"/>
      <c r="J16" s="432"/>
      <c r="K16" s="432"/>
      <c r="L16" s="432"/>
      <c r="M16" s="432"/>
      <c r="N16" s="432"/>
      <c r="O16" s="432"/>
      <c r="P16" s="433"/>
      <c r="Q16" s="432"/>
      <c r="R16" s="434"/>
      <c r="S16" s="434"/>
      <c r="T16" s="434"/>
      <c r="U16" s="434"/>
      <c r="V16" s="432"/>
      <c r="W16" s="432"/>
      <c r="X16" s="39"/>
    </row>
    <row r="17" spans="1:25">
      <c r="A17" s="435"/>
      <c r="B17" s="436"/>
      <c r="C17" s="437"/>
      <c r="D17" s="436"/>
      <c r="E17" s="437"/>
      <c r="F17" s="437"/>
      <c r="G17" s="437"/>
      <c r="H17" s="437"/>
      <c r="I17" s="437"/>
      <c r="J17" s="437"/>
      <c r="K17" s="437"/>
      <c r="L17" s="437"/>
      <c r="M17" s="437"/>
      <c r="N17" s="437"/>
      <c r="O17" s="438"/>
      <c r="P17" s="437"/>
      <c r="Q17" s="439"/>
      <c r="R17" s="439"/>
      <c r="S17" s="437"/>
      <c r="T17" s="437"/>
      <c r="U17" s="437"/>
      <c r="V17" s="437"/>
      <c r="W17" s="39"/>
    </row>
    <row r="18" spans="1:25" ht="16.5">
      <c r="A18" s="426" t="s">
        <v>3587</v>
      </c>
      <c r="B18" s="436"/>
      <c r="C18" s="437"/>
      <c r="D18" s="436"/>
      <c r="E18" s="437"/>
      <c r="F18" s="437"/>
      <c r="G18" s="437"/>
      <c r="H18" s="437"/>
      <c r="I18" s="437"/>
      <c r="J18" s="437"/>
      <c r="K18" s="437"/>
      <c r="L18" s="437"/>
      <c r="M18" s="437"/>
      <c r="N18" s="437"/>
      <c r="O18" s="438"/>
      <c r="P18" s="437"/>
      <c r="Q18" s="439"/>
      <c r="R18" s="439"/>
      <c r="S18" s="437"/>
      <c r="T18" s="437"/>
      <c r="U18" s="437"/>
      <c r="V18" s="437"/>
      <c r="W18" s="39"/>
    </row>
    <row r="19" spans="1:25" ht="15.75" customHeight="1">
      <c r="A19" s="2879" t="s">
        <v>3565</v>
      </c>
      <c r="B19" s="3478" t="s">
        <v>3588</v>
      </c>
      <c r="C19" s="3480" t="s">
        <v>3589</v>
      </c>
      <c r="D19" s="3481"/>
      <c r="E19" s="3482"/>
      <c r="F19" s="3483" t="s">
        <v>1423</v>
      </c>
      <c r="G19" s="3484"/>
      <c r="H19" s="3485"/>
      <c r="I19" s="437"/>
      <c r="J19" s="2879" t="s">
        <v>3565</v>
      </c>
      <c r="K19" s="3486" t="s">
        <v>3590</v>
      </c>
      <c r="L19" s="3487"/>
      <c r="M19" s="3478" t="s">
        <v>3591</v>
      </c>
      <c r="N19" s="437"/>
      <c r="O19" s="438"/>
      <c r="P19" s="437"/>
      <c r="Q19" s="439"/>
      <c r="R19" s="439"/>
      <c r="S19" s="437"/>
      <c r="T19" s="437"/>
      <c r="U19" s="437"/>
      <c r="V19" s="437"/>
      <c r="W19" s="39"/>
    </row>
    <row r="20" spans="1:25" ht="33">
      <c r="A20" s="2881"/>
      <c r="B20" s="3479"/>
      <c r="C20" s="440" t="s">
        <v>3592</v>
      </c>
      <c r="D20" s="440" t="s">
        <v>3593</v>
      </c>
      <c r="E20" s="440" t="s">
        <v>3594</v>
      </c>
      <c r="F20" s="440" t="s">
        <v>3592</v>
      </c>
      <c r="G20" s="440" t="s">
        <v>3593</v>
      </c>
      <c r="H20" s="440" t="s">
        <v>3594</v>
      </c>
      <c r="I20" s="437"/>
      <c r="J20" s="2881"/>
      <c r="K20" s="3488"/>
      <c r="L20" s="3489"/>
      <c r="M20" s="3479"/>
      <c r="N20" s="437"/>
      <c r="P20" s="437"/>
      <c r="Q20" s="438"/>
      <c r="R20" s="437"/>
      <c r="S20" s="439"/>
      <c r="T20" s="439"/>
      <c r="U20" s="439"/>
      <c r="V20" s="439"/>
      <c r="W20" s="437"/>
      <c r="X20" s="437"/>
      <c r="Y20" s="39"/>
    </row>
    <row r="21" spans="1:25">
      <c r="A21" s="2880"/>
      <c r="B21" s="429" t="s">
        <v>202</v>
      </c>
      <c r="C21" s="429" t="s">
        <v>243</v>
      </c>
      <c r="D21" s="429" t="s">
        <v>244</v>
      </c>
      <c r="E21" s="429" t="s">
        <v>245</v>
      </c>
      <c r="F21" s="429" t="s">
        <v>246</v>
      </c>
      <c r="G21" s="429" t="s">
        <v>247</v>
      </c>
      <c r="H21" s="429" t="s">
        <v>248</v>
      </c>
      <c r="I21" s="437"/>
      <c r="J21" s="2880"/>
      <c r="K21" s="3490" t="s">
        <v>1424</v>
      </c>
      <c r="L21" s="3491"/>
      <c r="M21" s="429" t="s">
        <v>1412</v>
      </c>
      <c r="N21" s="437"/>
      <c r="P21" s="437"/>
      <c r="Q21" s="438"/>
      <c r="R21" s="437"/>
      <c r="S21" s="439"/>
      <c r="T21" s="439"/>
      <c r="U21" s="439"/>
      <c r="V21" s="439"/>
      <c r="W21" s="437"/>
      <c r="X21" s="437"/>
      <c r="Y21" s="39"/>
    </row>
    <row r="22" spans="1:25" ht="16.5">
      <c r="A22" s="430">
        <v>1</v>
      </c>
      <c r="B22" s="441" t="s">
        <v>3595</v>
      </c>
      <c r="C22" s="442">
        <f t="shared" ref="C22:H22" si="0">C23++C28</f>
        <v>0</v>
      </c>
      <c r="D22" s="442">
        <f t="shared" si="0"/>
        <v>0</v>
      </c>
      <c r="E22" s="442">
        <f t="shared" si="0"/>
        <v>0</v>
      </c>
      <c r="F22" s="442">
        <f>F23++F28</f>
        <v>0</v>
      </c>
      <c r="G22" s="442">
        <f t="shared" si="0"/>
        <v>0</v>
      </c>
      <c r="H22" s="442">
        <f t="shared" si="0"/>
        <v>0</v>
      </c>
      <c r="I22" s="437"/>
      <c r="J22" s="443">
        <f>A37+1</f>
        <v>17</v>
      </c>
      <c r="K22" s="3473" t="s">
        <v>3596</v>
      </c>
      <c r="L22" s="441" t="s">
        <v>3597</v>
      </c>
      <c r="M22" s="444">
        <f>SUM(C24:E24,C29:E29,C34:E34)</f>
        <v>0</v>
      </c>
      <c r="N22" s="437"/>
      <c r="O22" s="437"/>
      <c r="P22" s="437"/>
      <c r="Q22" s="438"/>
      <c r="R22" s="437"/>
      <c r="S22" s="439"/>
      <c r="T22" s="439"/>
      <c r="U22" s="439"/>
      <c r="V22" s="439"/>
      <c r="W22" s="437"/>
      <c r="X22" s="437"/>
      <c r="Y22" s="39"/>
    </row>
    <row r="23" spans="1:25" ht="16.5">
      <c r="A23" s="430">
        <f>A22+1</f>
        <v>2</v>
      </c>
      <c r="B23" s="445" t="s">
        <v>3598</v>
      </c>
      <c r="C23" s="442">
        <f t="shared" ref="C23:H23" si="1">C24+C25</f>
        <v>0</v>
      </c>
      <c r="D23" s="442">
        <f t="shared" si="1"/>
        <v>0</v>
      </c>
      <c r="E23" s="442">
        <f t="shared" si="1"/>
        <v>0</v>
      </c>
      <c r="F23" s="442">
        <f t="shared" si="1"/>
        <v>0</v>
      </c>
      <c r="G23" s="442">
        <f t="shared" si="1"/>
        <v>0</v>
      </c>
      <c r="H23" s="442">
        <f t="shared" si="1"/>
        <v>0</v>
      </c>
      <c r="I23" s="437"/>
      <c r="J23" s="443">
        <f t="shared" ref="J23:J28" si="2">J22+1</f>
        <v>18</v>
      </c>
      <c r="K23" s="3474"/>
      <c r="L23" s="441" t="s">
        <v>3599</v>
      </c>
      <c r="M23" s="446">
        <f>M24+M25</f>
        <v>0</v>
      </c>
      <c r="N23" s="437"/>
      <c r="O23" s="437"/>
      <c r="P23" s="437"/>
      <c r="Q23" s="438"/>
      <c r="R23" s="437"/>
      <c r="S23" s="439"/>
      <c r="T23" s="439"/>
      <c r="U23" s="439"/>
      <c r="V23" s="439"/>
      <c r="W23" s="437"/>
      <c r="X23" s="437"/>
      <c r="Y23" s="39"/>
    </row>
    <row r="24" spans="1:25" ht="33" customHeight="1">
      <c r="A24" s="430">
        <f t="shared" ref="A24:A36" si="3">A23+1</f>
        <v>3</v>
      </c>
      <c r="B24" s="447" t="s">
        <v>3597</v>
      </c>
      <c r="C24" s="448">
        <f>SUMPRODUCT(($F$7:$F$16="C")*1,($J$7:$J$16="A")*1,($K$7:$K$16="Y")*1,$S$7:$S$16,$T$7:$T$16,$U$7:$U$16)</f>
        <v>0</v>
      </c>
      <c r="D24" s="448">
        <f>SUMPRODUCT(($F$7:$F$16="C")*1,($J$7:$J$16="B1")*1,($K$7:$K$16="Y")*1,$S$7:$S$16,$T$7:$T$16,$U$7:$U$16)</f>
        <v>0</v>
      </c>
      <c r="E24" s="448">
        <f>SUMPRODUCT(($F$7:$F$16="C")*1,($J$7:$J$16="B2")*1,($K$7:$K$16="Y")*1,$S$7:$S$16,$T$7:$T$16,$U$7:$U$16)</f>
        <v>0</v>
      </c>
      <c r="F24" s="448">
        <f>C24</f>
        <v>0</v>
      </c>
      <c r="G24" s="448">
        <f>D24</f>
        <v>0</v>
      </c>
      <c r="H24" s="448">
        <f>E24</f>
        <v>0</v>
      </c>
      <c r="I24" s="437"/>
      <c r="J24" s="443">
        <f t="shared" si="2"/>
        <v>19</v>
      </c>
      <c r="K24" s="3474"/>
      <c r="L24" s="445" t="s">
        <v>3600</v>
      </c>
      <c r="M24" s="444">
        <f>SUM(C26:E26,C31:E31,C36:E36)</f>
        <v>0</v>
      </c>
      <c r="N24" s="437"/>
      <c r="O24" s="437"/>
      <c r="P24" s="437"/>
      <c r="Q24" s="438"/>
      <c r="R24" s="437"/>
      <c r="S24" s="439"/>
      <c r="T24" s="439"/>
      <c r="U24" s="439"/>
      <c r="V24" s="439"/>
      <c r="W24" s="437"/>
      <c r="X24" s="437"/>
      <c r="Y24" s="39"/>
    </row>
    <row r="25" spans="1:25" ht="33" customHeight="1">
      <c r="A25" s="430">
        <f t="shared" si="3"/>
        <v>4</v>
      </c>
      <c r="B25" s="447" t="s">
        <v>3599</v>
      </c>
      <c r="C25" s="442">
        <f t="shared" ref="C25:H25" si="4">C26+C27</f>
        <v>0</v>
      </c>
      <c r="D25" s="442">
        <f t="shared" si="4"/>
        <v>0</v>
      </c>
      <c r="E25" s="442">
        <f t="shared" si="4"/>
        <v>0</v>
      </c>
      <c r="F25" s="442">
        <f t="shared" si="4"/>
        <v>0</v>
      </c>
      <c r="G25" s="442">
        <f t="shared" si="4"/>
        <v>0</v>
      </c>
      <c r="H25" s="442">
        <f t="shared" si="4"/>
        <v>0</v>
      </c>
      <c r="I25" s="437"/>
      <c r="J25" s="443">
        <f t="shared" si="2"/>
        <v>20</v>
      </c>
      <c r="K25" s="3475"/>
      <c r="L25" s="445" t="s">
        <v>3601</v>
      </c>
      <c r="M25" s="444">
        <f>SUM(C27:E27,C32:E32,C37:E37)</f>
        <v>0</v>
      </c>
      <c r="N25" s="437"/>
      <c r="O25" s="437"/>
      <c r="P25" s="437"/>
      <c r="Q25" s="438"/>
      <c r="R25" s="437"/>
      <c r="S25" s="439"/>
      <c r="T25" s="439"/>
      <c r="U25" s="439"/>
      <c r="V25" s="439"/>
      <c r="W25" s="437"/>
      <c r="X25" s="437"/>
      <c r="Y25" s="39"/>
    </row>
    <row r="26" spans="1:25" ht="33" customHeight="1">
      <c r="A26" s="430">
        <f t="shared" si="3"/>
        <v>5</v>
      </c>
      <c r="B26" s="449" t="s">
        <v>3602</v>
      </c>
      <c r="C26" s="448">
        <f>SUMPRODUCT(($F$7:$F$16="C")*1,($J$7:$J$16="A")*1,($K$7:$K$16="N")*1,($L$7:$L$16="Y")*1,$S$7:$S$16,$T$7:$T$16,$U$7:$U$16)</f>
        <v>0</v>
      </c>
      <c r="D26" s="448">
        <f>SUMPRODUCT(($F$7:$F$16="C")*1,($J$7:$J$16="B1")*1,($K$7:$K$16="N")*1,($L$7:$L$16="Y")*1,$S$7:$S$16,$T$7:$T$16,$U$7:$U$16)</f>
        <v>0</v>
      </c>
      <c r="E26" s="448">
        <f>SUMPRODUCT(($F$7:$F$16="C")*1,($J$7:$J$16="B2")*1,($K$7:$K$16="N")*1,($L$7:$L$16="Y")*1,$S$7:$S$16,$T$7:$T$16,$U$7:$U$16)</f>
        <v>0</v>
      </c>
      <c r="F26" s="448">
        <f t="shared" ref="F26:H27" si="5">IF($M$23=0,0,C26/$M$23*$M$28)</f>
        <v>0</v>
      </c>
      <c r="G26" s="448">
        <f t="shared" si="5"/>
        <v>0</v>
      </c>
      <c r="H26" s="448">
        <f t="shared" si="5"/>
        <v>0</v>
      </c>
      <c r="I26" s="437"/>
      <c r="J26" s="443">
        <f t="shared" si="2"/>
        <v>21</v>
      </c>
      <c r="K26" s="3476" t="s">
        <v>3603</v>
      </c>
      <c r="L26" s="3477"/>
      <c r="M26" s="441">
        <f>表03!O96*10%</f>
        <v>0</v>
      </c>
      <c r="N26" s="437"/>
      <c r="O26" s="437"/>
      <c r="P26" s="437"/>
      <c r="Q26" s="438"/>
      <c r="R26" s="437"/>
      <c r="S26" s="439"/>
      <c r="T26" s="439"/>
      <c r="U26" s="439"/>
      <c r="V26" s="439"/>
      <c r="W26" s="437"/>
      <c r="X26" s="437"/>
      <c r="Y26" s="39"/>
    </row>
    <row r="27" spans="1:25" ht="33">
      <c r="A27" s="430">
        <f t="shared" si="3"/>
        <v>6</v>
      </c>
      <c r="B27" s="449" t="s">
        <v>3604</v>
      </c>
      <c r="C27" s="448">
        <f>SUMPRODUCT(($F$7:$F$16="C")*1,($J$7:$J$16="A")*1,($K$7:$K$16="N")*1,($L$7:$L$16="N")*1,$S$7:$S$16,$T$7:$T$16,$U$7:$U$16)</f>
        <v>0</v>
      </c>
      <c r="D27" s="448">
        <f>SUMPRODUCT(($F$7:$F$16="C")*1,($J$7:$J$16="B1")*1,($K$7:$K$16="N")*1,($L$7:$L$16="N")*1,$S$7:$S$16,$T$7:$T$16,$U$7:$U$16)</f>
        <v>0</v>
      </c>
      <c r="E27" s="448">
        <f>SUMPRODUCT(($F$7:$F$16="C")*1,($J$7:$J$16="B2")*1,($K$7:$K$16="N")*1,($L$7:$L$16="N")*1,$S$7:$S$16,$T$7:$T$16,$U$7:$U$16)</f>
        <v>0</v>
      </c>
      <c r="F27" s="448">
        <f t="shared" si="5"/>
        <v>0</v>
      </c>
      <c r="G27" s="448">
        <f t="shared" si="5"/>
        <v>0</v>
      </c>
      <c r="H27" s="448">
        <f t="shared" si="5"/>
        <v>0</v>
      </c>
      <c r="I27" s="437"/>
      <c r="J27" s="443">
        <f t="shared" si="2"/>
        <v>22</v>
      </c>
      <c r="K27" s="3476" t="s">
        <v>3605</v>
      </c>
      <c r="L27" s="3477"/>
      <c r="M27" s="444">
        <f>M22</f>
        <v>0</v>
      </c>
      <c r="N27" s="437"/>
      <c r="O27" s="437"/>
      <c r="P27" s="437"/>
      <c r="Q27" s="438"/>
      <c r="R27" s="437"/>
      <c r="S27" s="439"/>
      <c r="T27" s="439"/>
      <c r="U27" s="439"/>
      <c r="V27" s="439"/>
      <c r="W27" s="437"/>
      <c r="X27" s="437"/>
      <c r="Y27" s="39"/>
    </row>
    <row r="28" spans="1:25" ht="16.5" customHeight="1">
      <c r="A28" s="430">
        <f t="shared" si="3"/>
        <v>7</v>
      </c>
      <c r="B28" s="445" t="s">
        <v>3606</v>
      </c>
      <c r="C28" s="442">
        <f t="shared" ref="C28:H28" si="6">C29+C30</f>
        <v>0</v>
      </c>
      <c r="D28" s="442">
        <f t="shared" si="6"/>
        <v>0</v>
      </c>
      <c r="E28" s="442">
        <f t="shared" si="6"/>
        <v>0</v>
      </c>
      <c r="F28" s="442">
        <f t="shared" si="6"/>
        <v>0</v>
      </c>
      <c r="G28" s="442">
        <f t="shared" si="6"/>
        <v>0</v>
      </c>
      <c r="H28" s="442">
        <f t="shared" si="6"/>
        <v>0</v>
      </c>
      <c r="I28" s="437"/>
      <c r="J28" s="443">
        <f t="shared" si="2"/>
        <v>23</v>
      </c>
      <c r="K28" s="3476" t="s">
        <v>3607</v>
      </c>
      <c r="L28" s="3477"/>
      <c r="M28" s="444">
        <f>IF(M25=0,0,
IF(M25&gt;0,MAX(M23-M26,0)))</f>
        <v>0</v>
      </c>
      <c r="N28" s="437"/>
      <c r="O28" s="437"/>
      <c r="P28" s="437"/>
      <c r="Q28" s="438"/>
      <c r="R28" s="437"/>
      <c r="S28" s="439"/>
      <c r="T28" s="439"/>
      <c r="U28" s="439"/>
      <c r="V28" s="439"/>
      <c r="W28" s="437"/>
      <c r="X28" s="437"/>
      <c r="Y28" s="39"/>
    </row>
    <row r="29" spans="1:25" ht="16.5">
      <c r="A29" s="430">
        <f t="shared" si="3"/>
        <v>8</v>
      </c>
      <c r="B29" s="447" t="s">
        <v>3597</v>
      </c>
      <c r="C29" s="448">
        <f>SUMPRODUCT(($F$7:$F$16="B")*1,($J$7:$J$16="A")*1,($K$7:$K$16="Y")*1,$S$7:$S$16,$T$7:$T$16,$U$7:$U$16)</f>
        <v>0</v>
      </c>
      <c r="D29" s="448">
        <f>SUMPRODUCT(($F$7:$F$16="B")*1,($J$7:$J$16="B1")*1,($K$7:$K$16="Y")*1,$S$7:$S$16,$T$7:$T$16,$U$7:$U$16)</f>
        <v>0</v>
      </c>
      <c r="E29" s="448">
        <f>SUMPRODUCT(($F$7:$F$16="B")*1,($J$7:$J$16="B2")*1,($K$7:$K$16="Y")*1,$S$7:$S$16,$T$7:$T$16,$U$7:$U$16)</f>
        <v>0</v>
      </c>
      <c r="F29" s="448">
        <f>C29</f>
        <v>0</v>
      </c>
      <c r="G29" s="448">
        <f>D29</f>
        <v>0</v>
      </c>
      <c r="H29" s="448">
        <f>E29</f>
        <v>0</v>
      </c>
      <c r="I29" s="437"/>
      <c r="J29" s="437"/>
      <c r="K29" s="437"/>
      <c r="L29" s="437"/>
      <c r="M29" s="438"/>
      <c r="N29" s="437"/>
      <c r="O29" s="439"/>
      <c r="P29" s="439"/>
      <c r="Q29" s="437"/>
      <c r="R29" s="437"/>
      <c r="S29" s="39"/>
      <c r="T29" s="39"/>
      <c r="U29" s="39"/>
    </row>
    <row r="30" spans="1:25" ht="16.5">
      <c r="A30" s="430">
        <f t="shared" si="3"/>
        <v>9</v>
      </c>
      <c r="B30" s="447" t="s">
        <v>3599</v>
      </c>
      <c r="C30" s="442">
        <f t="shared" ref="C30:H30" si="7">C31+C32</f>
        <v>0</v>
      </c>
      <c r="D30" s="442">
        <f t="shared" si="7"/>
        <v>0</v>
      </c>
      <c r="E30" s="442">
        <f t="shared" si="7"/>
        <v>0</v>
      </c>
      <c r="F30" s="442">
        <f t="shared" si="7"/>
        <v>0</v>
      </c>
      <c r="G30" s="442">
        <f t="shared" si="7"/>
        <v>0</v>
      </c>
      <c r="H30" s="442">
        <f t="shared" si="7"/>
        <v>0</v>
      </c>
      <c r="I30" s="437"/>
      <c r="N30" s="437"/>
      <c r="O30" s="437"/>
      <c r="P30" s="437"/>
      <c r="Q30" s="438"/>
      <c r="R30" s="437"/>
      <c r="S30" s="439"/>
      <c r="T30" s="439"/>
      <c r="U30" s="439"/>
      <c r="V30" s="439"/>
      <c r="W30" s="437"/>
      <c r="X30" s="437"/>
      <c r="Y30" s="39"/>
    </row>
    <row r="31" spans="1:25" ht="33">
      <c r="A31" s="430">
        <f t="shared" si="3"/>
        <v>10</v>
      </c>
      <c r="B31" s="449" t="s">
        <v>3602</v>
      </c>
      <c r="C31" s="448">
        <f>SUMPRODUCT(($F$7:$F$16="B")*1,($J$7:$J$16="A")*1,($K$7:$K$16="N")*1,($L$7:$L$16="Y")*1,$S$7:$S$16,$T$7:$T$16,$U$7:$U$16)</f>
        <v>0</v>
      </c>
      <c r="D31" s="448">
        <f>SUMPRODUCT(($F$7:$F$16="B")*1,($J$7:$J$16="B1")*1,($K$7:$K$16="N")*1,($L$7:$L$16="Y")*1,$S$7:$S$16,$T$7:$T$16,$U$7:$U$16)</f>
        <v>0</v>
      </c>
      <c r="E31" s="448">
        <f>SUMPRODUCT(($F$7:$F$16="B")*1,($J$7:$J$16="B2")*1,($K$7:$K$16="N")*1,($L$7:$L$16="Y")*1,$S$7:$S$16,$T$7:$T$16,$U$7:$U$16)</f>
        <v>0</v>
      </c>
      <c r="F31" s="448">
        <f t="shared" ref="F31:H32" si="8">IF($M$23=0,0,C31/$M$23*$M$28)</f>
        <v>0</v>
      </c>
      <c r="G31" s="448">
        <f t="shared" si="8"/>
        <v>0</v>
      </c>
      <c r="H31" s="448">
        <f t="shared" si="8"/>
        <v>0</v>
      </c>
      <c r="I31" s="437"/>
      <c r="J31" s="437"/>
      <c r="K31" s="437"/>
      <c r="L31" s="437"/>
      <c r="M31" s="437"/>
      <c r="N31" s="437"/>
      <c r="O31" s="437"/>
      <c r="P31" s="437"/>
      <c r="Q31" s="438"/>
      <c r="R31" s="437"/>
      <c r="S31" s="439"/>
      <c r="T31" s="439"/>
      <c r="U31" s="439"/>
      <c r="V31" s="439"/>
      <c r="W31" s="437"/>
      <c r="X31" s="437"/>
      <c r="Y31" s="39"/>
    </row>
    <row r="32" spans="1:25" ht="33">
      <c r="A32" s="430">
        <f t="shared" si="3"/>
        <v>11</v>
      </c>
      <c r="B32" s="449" t="s">
        <v>3604</v>
      </c>
      <c r="C32" s="448">
        <f>SUMPRODUCT(($F$7:$F$16="B")*1,($J$7:$J$16="A")*1,($K$7:$K$16="N")*1,($L$7:$L$16="N")*1,$S$7:$S$16,$T$7:$T$16,$U$7:$U$16)</f>
        <v>0</v>
      </c>
      <c r="D32" s="448">
        <f>SUMPRODUCT(($F$7:$F$16="B")*1,($J$7:$J$16="B1")*1,($K$7:$K$16="N")*1,($L$7:$L$16="N")*1,$S$7:$S$16,$T$7:$T$16,$U$7:$U$16)</f>
        <v>0</v>
      </c>
      <c r="E32" s="448">
        <f>SUMPRODUCT(($F$7:$F$16="B")*1,($J$7:$J$16="B2")*1,($K$7:$K$16="N")*1,($L$7:$L$16="N")*1,$S$7:$S$16,$T$7:$T$16,$U$7:$U$16)</f>
        <v>0</v>
      </c>
      <c r="F32" s="448">
        <f t="shared" si="8"/>
        <v>0</v>
      </c>
      <c r="G32" s="448">
        <f t="shared" si="8"/>
        <v>0</v>
      </c>
      <c r="H32" s="448">
        <f t="shared" si="8"/>
        <v>0</v>
      </c>
      <c r="I32" s="437"/>
      <c r="J32" s="437"/>
      <c r="K32" s="437"/>
      <c r="L32" s="437"/>
      <c r="M32" s="437"/>
      <c r="N32" s="437"/>
      <c r="O32" s="437"/>
      <c r="P32" s="437"/>
      <c r="Q32" s="438"/>
      <c r="R32" s="437"/>
      <c r="S32" s="439"/>
      <c r="T32" s="439"/>
      <c r="U32" s="439"/>
      <c r="V32" s="439"/>
      <c r="W32" s="437"/>
      <c r="X32" s="437"/>
      <c r="Y32" s="39"/>
    </row>
    <row r="33" spans="1:25" ht="16.5">
      <c r="A33" s="430">
        <f t="shared" si="3"/>
        <v>12</v>
      </c>
      <c r="B33" s="441" t="s">
        <v>3608</v>
      </c>
      <c r="C33" s="442">
        <f t="shared" ref="C33:H33" si="9">C34+C35</f>
        <v>0</v>
      </c>
      <c r="D33" s="442">
        <f t="shared" si="9"/>
        <v>0</v>
      </c>
      <c r="E33" s="442">
        <f t="shared" si="9"/>
        <v>0</v>
      </c>
      <c r="F33" s="442">
        <f t="shared" si="9"/>
        <v>0</v>
      </c>
      <c r="G33" s="442">
        <f t="shared" si="9"/>
        <v>0</v>
      </c>
      <c r="H33" s="442">
        <f t="shared" si="9"/>
        <v>0</v>
      </c>
      <c r="I33" s="437"/>
      <c r="J33" s="437"/>
      <c r="K33" s="437"/>
      <c r="L33" s="437"/>
      <c r="M33" s="437"/>
      <c r="N33" s="437"/>
      <c r="O33" s="437"/>
      <c r="P33" s="437"/>
      <c r="Q33" s="438"/>
      <c r="R33" s="437"/>
      <c r="S33" s="439"/>
      <c r="T33" s="439"/>
      <c r="U33" s="439"/>
      <c r="V33" s="439"/>
      <c r="W33" s="437"/>
      <c r="X33" s="437"/>
      <c r="Y33" s="39"/>
    </row>
    <row r="34" spans="1:25" ht="16.5">
      <c r="A34" s="430">
        <f t="shared" si="3"/>
        <v>13</v>
      </c>
      <c r="B34" s="445" t="s">
        <v>3597</v>
      </c>
      <c r="C34" s="448">
        <f>SUMPRODUCT(($F$7:$F$16="A")*1,($J$7:$J$16="A")*1,($K$7:$K$16="Y")*1,$S$7:$S$16,$T$7:$T$16,$U$7:$U$16)</f>
        <v>0</v>
      </c>
      <c r="D34" s="448">
        <f>SUMPRODUCT(($F$7:$F$16="A")*1,($J$7:$J$16="B1")*1,($K$7:$K$16="Y")*1,$S$7:$S$16,$T$7:$T$16,$U$7:$U$16)</f>
        <v>0</v>
      </c>
      <c r="E34" s="448">
        <f>SUMPRODUCT(($F$7:$F$16="A")*1,($J$7:$J$16="B2")*1,($K$7:$K$16="Y")*1,$S$7:$S$16,$T$7:$T$16,$U$7:$U$16)</f>
        <v>0</v>
      </c>
      <c r="F34" s="448">
        <f>C34</f>
        <v>0</v>
      </c>
      <c r="G34" s="448">
        <f>D34</f>
        <v>0</v>
      </c>
      <c r="H34" s="448">
        <f>E34</f>
        <v>0</v>
      </c>
      <c r="I34" s="437"/>
      <c r="J34" s="437"/>
      <c r="K34" s="437"/>
      <c r="L34" s="437"/>
      <c r="M34" s="437"/>
      <c r="N34" s="437"/>
      <c r="O34" s="437"/>
      <c r="P34" s="437"/>
      <c r="Q34" s="438"/>
      <c r="R34" s="437"/>
      <c r="S34" s="439"/>
      <c r="T34" s="439"/>
      <c r="U34" s="439"/>
      <c r="V34" s="439"/>
      <c r="W34" s="437"/>
      <c r="X34" s="437"/>
      <c r="Y34" s="39"/>
    </row>
    <row r="35" spans="1:25" ht="16.5">
      <c r="A35" s="430">
        <f t="shared" si="3"/>
        <v>14</v>
      </c>
      <c r="B35" s="445" t="s">
        <v>3599</v>
      </c>
      <c r="C35" s="442">
        <f t="shared" ref="C35:H35" si="10">C36+C37</f>
        <v>0</v>
      </c>
      <c r="D35" s="442">
        <f t="shared" si="10"/>
        <v>0</v>
      </c>
      <c r="E35" s="442">
        <f>E36+E37</f>
        <v>0</v>
      </c>
      <c r="F35" s="442">
        <f t="shared" si="10"/>
        <v>0</v>
      </c>
      <c r="G35" s="442">
        <f t="shared" si="10"/>
        <v>0</v>
      </c>
      <c r="H35" s="442">
        <f t="shared" si="10"/>
        <v>0</v>
      </c>
      <c r="I35" s="437"/>
      <c r="J35" s="437"/>
      <c r="K35" s="437"/>
      <c r="L35" s="437"/>
      <c r="M35" s="437"/>
      <c r="N35" s="437"/>
      <c r="O35" s="437"/>
      <c r="P35" s="437"/>
      <c r="Q35" s="438"/>
      <c r="R35" s="437"/>
      <c r="S35" s="439"/>
      <c r="T35" s="439"/>
      <c r="U35" s="439"/>
      <c r="V35" s="439"/>
      <c r="W35" s="437"/>
      <c r="X35" s="437"/>
      <c r="Y35" s="39"/>
    </row>
    <row r="36" spans="1:25" ht="16.5">
      <c r="A36" s="430">
        <f t="shared" si="3"/>
        <v>15</v>
      </c>
      <c r="B36" s="447" t="s">
        <v>3602</v>
      </c>
      <c r="C36" s="448">
        <f>SUMPRODUCT(($F$7:$F$16="A")*1,($J$7:$J$16="A")*1,($K$7:$K$16="N")*1,($L$7:$L$16="Y")*1,$S$7:$S$16,$T$7:$T$16,$U$7:$U$16)</f>
        <v>0</v>
      </c>
      <c r="D36" s="448">
        <f>SUMPRODUCT(($F$7:$F$16="A")*1,($J$7:$J$16="B1")*1,($K$7:$K$16="N")*1,($L$7:$L$16="Y")*1,$S$7:$S$16,$T$7:$T$16,$U$7:$U$16)</f>
        <v>0</v>
      </c>
      <c r="E36" s="448">
        <f>SUMPRODUCT(($F$7:$F$16="A")*1,($J$7:$J$16="B2")*1,($K$7:$K$16="N")*1,($L$7:$L$16="Y")*1,$S$7:$S$16,$T$7:$T$16,$U$7:$U$16)</f>
        <v>0</v>
      </c>
      <c r="F36" s="448">
        <f t="shared" ref="F36:H37" si="11">IF($M$23=0,0,C36/$M$23*$M$28)</f>
        <v>0</v>
      </c>
      <c r="G36" s="448">
        <f t="shared" si="11"/>
        <v>0</v>
      </c>
      <c r="H36" s="448">
        <f t="shared" si="11"/>
        <v>0</v>
      </c>
      <c r="I36" s="437"/>
      <c r="J36" s="437"/>
      <c r="K36" s="437"/>
      <c r="L36" s="437"/>
      <c r="M36" s="437"/>
      <c r="N36" s="437"/>
      <c r="O36" s="437"/>
      <c r="P36" s="437"/>
      <c r="Q36" s="438"/>
      <c r="R36" s="437"/>
      <c r="S36" s="439"/>
      <c r="T36" s="439"/>
      <c r="U36" s="439"/>
      <c r="V36" s="439"/>
      <c r="W36" s="437"/>
      <c r="X36" s="437"/>
      <c r="Y36" s="39"/>
    </row>
    <row r="37" spans="1:25" ht="16.5">
      <c r="A37" s="430">
        <f>A36+1</f>
        <v>16</v>
      </c>
      <c r="B37" s="447" t="s">
        <v>3604</v>
      </c>
      <c r="C37" s="448">
        <f>SUMPRODUCT(($F$7:$F$16="A")*1,($J$7:$J$16="A")*1,($K$7:$K$16="N")*1,($L$7:$L$16="N")*1,$S$7:$S$16,$T$7:$T$16,$U$7:$U$16)</f>
        <v>0</v>
      </c>
      <c r="D37" s="448">
        <f>SUMPRODUCT(($F$7:$F$16="A")*1,($J$7:$J$16="B1")*1,($K$7:$K$16="N")*1,($L$7:$L$16="N")*1,$S$7:$S$16,$T$7:$T$16,$U$7:$U$16)</f>
        <v>0</v>
      </c>
      <c r="E37" s="448">
        <f>SUMPRODUCT(($F$7:$F$16="A")*1,($J$7:$J$16="B2")*1,($K$7:$K$16="N")*1,($L$7:$L$16="N")*1,$S$7:$S$16,$T$7:$T$16,$U$7:$U$16)</f>
        <v>0</v>
      </c>
      <c r="F37" s="448">
        <f t="shared" si="11"/>
        <v>0</v>
      </c>
      <c r="G37" s="448">
        <f t="shared" si="11"/>
        <v>0</v>
      </c>
      <c r="H37" s="448">
        <f t="shared" si="11"/>
        <v>0</v>
      </c>
      <c r="I37" s="437"/>
      <c r="J37" s="437"/>
      <c r="K37" s="437"/>
      <c r="L37" s="437"/>
      <c r="M37" s="437"/>
      <c r="N37" s="437"/>
      <c r="O37" s="437"/>
      <c r="P37" s="437"/>
      <c r="Q37" s="438"/>
      <c r="R37" s="437"/>
      <c r="S37" s="439"/>
      <c r="T37" s="439"/>
      <c r="U37" s="439"/>
      <c r="V37" s="439"/>
      <c r="W37" s="437"/>
      <c r="X37" s="437"/>
      <c r="Y37" s="39"/>
    </row>
    <row r="38" spans="1:25">
      <c r="A38" s="435"/>
      <c r="B38" s="436"/>
      <c r="C38" s="437"/>
      <c r="D38" s="436"/>
      <c r="E38" s="437"/>
      <c r="F38" s="437"/>
      <c r="G38" s="437"/>
      <c r="H38" s="437"/>
      <c r="I38" s="437"/>
      <c r="J38" s="437"/>
      <c r="K38" s="437"/>
      <c r="L38" s="437"/>
      <c r="M38" s="437"/>
      <c r="N38" s="437"/>
      <c r="O38" s="438"/>
      <c r="P38" s="437"/>
      <c r="Q38" s="439"/>
      <c r="R38" s="439"/>
      <c r="S38" s="437"/>
      <c r="T38" s="437"/>
      <c r="U38" s="437"/>
      <c r="V38" s="437"/>
      <c r="W38" s="39"/>
    </row>
    <row r="39" spans="1:25" ht="16.5">
      <c r="A39" s="450" t="s">
        <v>3609</v>
      </c>
      <c r="B39" s="426"/>
      <c r="C39" s="23"/>
      <c r="D39" s="23"/>
      <c r="E39" s="23"/>
      <c r="F39" s="23"/>
      <c r="G39" s="23"/>
      <c r="H39" s="23"/>
      <c r="I39" s="23"/>
      <c r="J39" s="23"/>
      <c r="K39" s="23"/>
      <c r="L39" s="23"/>
      <c r="M39" s="23"/>
      <c r="N39" s="23"/>
      <c r="O39" s="23"/>
      <c r="P39" s="23"/>
      <c r="Q39" s="23"/>
      <c r="R39" s="23"/>
      <c r="S39" s="23"/>
      <c r="T39" s="23"/>
      <c r="U39" s="23"/>
      <c r="V39" s="23"/>
      <c r="W39" s="39"/>
    </row>
    <row r="40" spans="1:25" ht="16.5">
      <c r="A40" s="450">
        <v>1</v>
      </c>
      <c r="B40" s="426" t="s">
        <v>3610</v>
      </c>
      <c r="C40" s="451"/>
      <c r="D40" s="451"/>
      <c r="E40" s="451"/>
      <c r="F40" s="451"/>
      <c r="G40" s="451"/>
      <c r="H40" s="451"/>
      <c r="I40" s="451"/>
      <c r="J40" s="451"/>
      <c r="K40" s="451"/>
      <c r="L40" s="451"/>
      <c r="M40" s="451"/>
      <c r="N40" s="451"/>
      <c r="O40" s="451"/>
      <c r="P40" s="451"/>
      <c r="Q40" s="451"/>
      <c r="R40" s="451"/>
      <c r="S40" s="451"/>
      <c r="T40" s="451"/>
      <c r="U40" s="451"/>
      <c r="V40" s="451"/>
      <c r="W40" s="39"/>
    </row>
    <row r="41" spans="1:25" ht="16.5">
      <c r="A41" s="450">
        <v>2</v>
      </c>
      <c r="B41" s="426" t="s">
        <v>3611</v>
      </c>
      <c r="C41" s="451"/>
      <c r="D41" s="451"/>
      <c r="E41" s="451"/>
      <c r="F41" s="451"/>
      <c r="G41" s="451"/>
      <c r="H41" s="451"/>
      <c r="I41" s="451"/>
      <c r="J41" s="451"/>
      <c r="K41" s="451"/>
      <c r="L41" s="451"/>
      <c r="M41" s="451"/>
      <c r="N41" s="451"/>
      <c r="O41" s="451"/>
      <c r="P41" s="451"/>
      <c r="Q41" s="451"/>
      <c r="R41" s="451"/>
      <c r="S41" s="451"/>
      <c r="T41" s="451"/>
      <c r="U41" s="451"/>
      <c r="V41" s="451"/>
      <c r="W41" s="39"/>
    </row>
    <row r="42" spans="1:25" ht="16.5">
      <c r="A42" s="450"/>
      <c r="B42" s="426" t="s">
        <v>3612</v>
      </c>
      <c r="C42" s="451"/>
      <c r="D42" s="451"/>
      <c r="E42" s="451"/>
      <c r="F42" s="451"/>
      <c r="G42" s="451"/>
      <c r="H42" s="451"/>
      <c r="I42" s="451"/>
      <c r="J42" s="451"/>
      <c r="K42" s="451"/>
      <c r="L42" s="451"/>
      <c r="M42" s="451"/>
      <c r="N42" s="451"/>
      <c r="O42" s="451"/>
      <c r="P42" s="451"/>
      <c r="Q42" s="451"/>
      <c r="R42" s="451"/>
      <c r="S42" s="451"/>
      <c r="T42" s="451"/>
      <c r="U42" s="451"/>
      <c r="V42" s="451"/>
      <c r="W42" s="39"/>
    </row>
    <row r="43" spans="1:25" ht="16.5">
      <c r="A43" s="450">
        <v>3</v>
      </c>
      <c r="B43" s="426" t="s">
        <v>3613</v>
      </c>
      <c r="C43" s="451"/>
      <c r="D43" s="451"/>
      <c r="E43" s="451"/>
      <c r="F43" s="451"/>
      <c r="G43" s="451"/>
      <c r="H43" s="451"/>
      <c r="I43" s="451"/>
      <c r="J43" s="451"/>
      <c r="K43" s="451"/>
      <c r="L43" s="451"/>
      <c r="M43" s="451"/>
      <c r="N43" s="451"/>
      <c r="O43" s="451"/>
      <c r="P43" s="451"/>
      <c r="Q43" s="451"/>
      <c r="R43" s="451"/>
      <c r="S43" s="451"/>
      <c r="T43" s="451"/>
      <c r="U43" s="451"/>
      <c r="V43" s="451"/>
      <c r="W43" s="39"/>
    </row>
    <row r="44" spans="1:25" ht="16.5">
      <c r="A44" s="450">
        <v>4</v>
      </c>
      <c r="B44" s="452" t="s">
        <v>3614</v>
      </c>
      <c r="C44" s="451"/>
      <c r="D44" s="451"/>
      <c r="E44" s="451"/>
      <c r="F44" s="451"/>
      <c r="G44" s="451"/>
      <c r="H44" s="451"/>
      <c r="I44" s="451"/>
      <c r="J44" s="451"/>
      <c r="K44" s="451"/>
      <c r="L44" s="451"/>
      <c r="M44" s="451"/>
      <c r="N44" s="451"/>
      <c r="O44" s="451"/>
      <c r="P44" s="451"/>
      <c r="Q44" s="451"/>
      <c r="R44" s="451"/>
      <c r="S44" s="451"/>
      <c r="T44" s="451"/>
      <c r="U44" s="451"/>
      <c r="V44" s="451"/>
      <c r="W44" s="39"/>
    </row>
    <row r="45" spans="1:25" ht="16.5">
      <c r="A45" s="450">
        <v>5</v>
      </c>
      <c r="B45" s="452" t="s">
        <v>3615</v>
      </c>
      <c r="C45" s="451"/>
      <c r="D45" s="451"/>
      <c r="E45" s="451"/>
      <c r="F45" s="451"/>
      <c r="G45" s="451"/>
      <c r="H45" s="451"/>
      <c r="I45" s="451"/>
      <c r="J45" s="451"/>
      <c r="K45" s="451"/>
      <c r="L45" s="451"/>
      <c r="M45" s="451"/>
      <c r="N45" s="451"/>
      <c r="O45" s="451"/>
      <c r="P45" s="451"/>
      <c r="Q45" s="451"/>
      <c r="R45" s="451"/>
      <c r="S45" s="451"/>
      <c r="T45" s="451"/>
      <c r="U45" s="451"/>
      <c r="V45" s="451"/>
      <c r="W45" s="39"/>
    </row>
    <row r="46" spans="1:25" ht="16.5">
      <c r="A46" s="450">
        <v>6</v>
      </c>
      <c r="B46" s="452" t="s">
        <v>3616</v>
      </c>
      <c r="C46" s="451"/>
      <c r="D46" s="451"/>
      <c r="E46" s="451"/>
      <c r="F46" s="451"/>
      <c r="G46" s="451"/>
      <c r="H46" s="451"/>
      <c r="I46" s="451"/>
      <c r="J46" s="451"/>
      <c r="K46" s="451"/>
      <c r="L46" s="451"/>
      <c r="M46" s="451"/>
      <c r="N46" s="451"/>
      <c r="O46" s="451"/>
      <c r="P46" s="451"/>
      <c r="Q46" s="451"/>
      <c r="R46" s="451"/>
      <c r="S46" s="451"/>
      <c r="T46" s="451"/>
      <c r="U46" s="451"/>
      <c r="V46" s="451"/>
      <c r="W46" s="39"/>
    </row>
    <row r="47" spans="1:25" s="455" customFormat="1" ht="16.5">
      <c r="A47" s="453">
        <v>7</v>
      </c>
      <c r="B47" s="2312" t="s">
        <v>5637</v>
      </c>
      <c r="C47" s="23"/>
      <c r="D47" s="23"/>
      <c r="E47" s="23"/>
      <c r="F47" s="23"/>
      <c r="G47" s="23"/>
      <c r="H47" s="23"/>
      <c r="I47" s="23"/>
      <c r="J47" s="23"/>
      <c r="K47" s="23"/>
      <c r="L47" s="23"/>
      <c r="M47" s="23"/>
      <c r="N47" s="23"/>
      <c r="O47" s="23"/>
      <c r="P47" s="23"/>
      <c r="Q47" s="23"/>
      <c r="R47" s="23"/>
      <c r="S47" s="23"/>
      <c r="T47" s="23"/>
      <c r="U47" s="23"/>
    </row>
    <row r="48" spans="1:25" ht="16.5">
      <c r="A48" s="435"/>
      <c r="B48" s="454" t="s">
        <v>3617</v>
      </c>
    </row>
    <row r="49" spans="1:23" ht="16.5">
      <c r="A49" s="435">
        <v>8</v>
      </c>
      <c r="B49" s="454" t="s">
        <v>3618</v>
      </c>
    </row>
    <row r="50" spans="1:23" ht="16.5">
      <c r="A50" s="435">
        <v>9</v>
      </c>
      <c r="B50" s="452" t="s">
        <v>3619</v>
      </c>
      <c r="C50" s="451"/>
      <c r="D50" s="451"/>
      <c r="E50" s="451"/>
      <c r="F50" s="451"/>
      <c r="G50" s="451"/>
      <c r="H50" s="451"/>
      <c r="I50" s="451"/>
      <c r="J50" s="451"/>
      <c r="K50" s="451"/>
      <c r="L50" s="451"/>
      <c r="M50" s="451"/>
      <c r="N50" s="451"/>
      <c r="O50" s="451"/>
      <c r="P50" s="451"/>
      <c r="Q50" s="451"/>
      <c r="R50" s="451"/>
      <c r="S50" s="451"/>
      <c r="T50" s="451"/>
      <c r="U50" s="451"/>
      <c r="V50" s="451"/>
      <c r="W50" s="39"/>
    </row>
    <row r="51" spans="1:23" ht="16.5">
      <c r="A51" s="435">
        <v>10</v>
      </c>
      <c r="B51" s="452" t="s">
        <v>3620</v>
      </c>
      <c r="C51" s="451"/>
      <c r="D51" s="451"/>
      <c r="E51" s="451"/>
      <c r="F51" s="451"/>
      <c r="G51" s="451"/>
      <c r="H51" s="451"/>
      <c r="I51" s="451"/>
      <c r="J51" s="451"/>
      <c r="K51" s="451"/>
      <c r="L51" s="451"/>
      <c r="M51" s="451"/>
      <c r="N51" s="451"/>
      <c r="O51" s="451"/>
      <c r="P51" s="451"/>
      <c r="Q51" s="451"/>
      <c r="R51" s="451"/>
      <c r="S51" s="451"/>
      <c r="T51" s="451"/>
      <c r="U51" s="451"/>
      <c r="V51" s="451"/>
      <c r="W51" s="39"/>
    </row>
    <row r="52" spans="1:23" ht="16.5">
      <c r="A52" s="435">
        <v>11</v>
      </c>
      <c r="B52" s="452" t="s">
        <v>3621</v>
      </c>
      <c r="C52" s="451"/>
      <c r="D52" s="451"/>
      <c r="E52" s="451"/>
      <c r="F52" s="451"/>
      <c r="G52" s="451"/>
      <c r="H52" s="451"/>
      <c r="I52" s="451"/>
      <c r="J52" s="451"/>
      <c r="K52" s="451"/>
      <c r="L52" s="451"/>
      <c r="M52" s="451"/>
      <c r="N52" s="451"/>
      <c r="O52" s="451"/>
      <c r="P52" s="451"/>
      <c r="Q52" s="451"/>
      <c r="R52" s="451"/>
      <c r="S52" s="451"/>
      <c r="T52" s="451"/>
      <c r="U52" s="451"/>
      <c r="V52" s="451"/>
      <c r="W52" s="39"/>
    </row>
    <row r="53" spans="1:23" ht="16.5">
      <c r="A53" s="435">
        <v>12</v>
      </c>
      <c r="B53" s="452" t="s">
        <v>3622</v>
      </c>
      <c r="C53" s="451"/>
      <c r="D53" s="451"/>
      <c r="E53" s="451"/>
      <c r="F53" s="451"/>
      <c r="G53" s="451"/>
      <c r="H53" s="451"/>
      <c r="I53" s="451"/>
      <c r="J53" s="451"/>
      <c r="K53" s="451"/>
      <c r="L53" s="451"/>
      <c r="M53" s="451"/>
      <c r="N53" s="451"/>
      <c r="O53" s="451"/>
      <c r="P53" s="451"/>
      <c r="Q53" s="451"/>
      <c r="R53" s="451"/>
      <c r="S53" s="451"/>
      <c r="T53" s="451"/>
      <c r="U53" s="451"/>
      <c r="V53" s="451"/>
      <c r="W53" s="39"/>
    </row>
    <row r="54" spans="1:23" ht="16.5">
      <c r="A54" s="435">
        <v>13</v>
      </c>
      <c r="B54" s="426" t="s">
        <v>3623</v>
      </c>
      <c r="C54" s="23"/>
      <c r="D54" s="23"/>
      <c r="E54" s="23"/>
      <c r="F54" s="23"/>
      <c r="G54" s="23"/>
      <c r="H54" s="23"/>
      <c r="I54" s="23"/>
      <c r="J54" s="23"/>
      <c r="K54" s="23"/>
      <c r="L54" s="23"/>
      <c r="M54" s="23"/>
      <c r="N54" s="23"/>
      <c r="O54" s="23"/>
      <c r="P54" s="23"/>
      <c r="Q54" s="23"/>
      <c r="R54" s="23"/>
      <c r="S54" s="23"/>
      <c r="T54" s="23"/>
      <c r="U54" s="23"/>
      <c r="V54" s="23"/>
      <c r="W54" s="39"/>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30" type="noConversion"/>
  <pageMargins left="0.7" right="0.7" top="0.75" bottom="0.75" header="0.3" footer="0.3"/>
  <pageSetup paperSize="9" scale="51" fitToWidth="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17"/>
  <sheetViews>
    <sheetView workbookViewId="0">
      <selection activeCell="E11" sqref="E11:E12"/>
    </sheetView>
  </sheetViews>
  <sheetFormatPr defaultColWidth="9" defaultRowHeight="15.75"/>
  <cols>
    <col min="1" max="1" width="5.375" style="68" customWidth="1"/>
    <col min="2" max="2" width="24.5" style="68" customWidth="1"/>
    <col min="3" max="3" width="23.625" style="68" customWidth="1"/>
    <col min="4" max="4" width="25" style="68" bestFit="1" customWidth="1"/>
    <col min="5" max="5" width="19" style="68" customWidth="1"/>
    <col min="6" max="6" width="24.25" style="68" customWidth="1"/>
    <col min="7" max="7" width="25.625" style="68" customWidth="1"/>
    <col min="8" max="256" width="9" style="22"/>
    <col min="257" max="257" width="5.375" style="22" customWidth="1"/>
    <col min="258" max="258" width="24.5" style="22" customWidth="1"/>
    <col min="259" max="259" width="23.625" style="22" customWidth="1"/>
    <col min="260" max="260" width="25" style="22" bestFit="1" customWidth="1"/>
    <col min="261" max="261" width="19" style="22" customWidth="1"/>
    <col min="262" max="262" width="22.625" style="22" customWidth="1"/>
    <col min="263" max="263" width="25.625" style="22" customWidth="1"/>
    <col min="264" max="512" width="9" style="22"/>
    <col min="513" max="513" width="5.375" style="22" customWidth="1"/>
    <col min="514" max="514" width="24.5" style="22" customWidth="1"/>
    <col min="515" max="515" width="23.625" style="22" customWidth="1"/>
    <col min="516" max="516" width="25" style="22" bestFit="1" customWidth="1"/>
    <col min="517" max="517" width="19" style="22" customWidth="1"/>
    <col min="518" max="518" width="22.625" style="22" customWidth="1"/>
    <col min="519" max="519" width="25.625" style="22" customWidth="1"/>
    <col min="520" max="768" width="9" style="22"/>
    <col min="769" max="769" width="5.375" style="22" customWidth="1"/>
    <col min="770" max="770" width="24.5" style="22" customWidth="1"/>
    <col min="771" max="771" width="23.625" style="22" customWidth="1"/>
    <col min="772" max="772" width="25" style="22" bestFit="1" customWidth="1"/>
    <col min="773" max="773" width="19" style="22" customWidth="1"/>
    <col min="774" max="774" width="22.625" style="22" customWidth="1"/>
    <col min="775" max="775" width="25.625" style="22" customWidth="1"/>
    <col min="776" max="1024" width="9" style="22"/>
    <col min="1025" max="1025" width="5.375" style="22" customWidth="1"/>
    <col min="1026" max="1026" width="24.5" style="22" customWidth="1"/>
    <col min="1027" max="1027" width="23.625" style="22" customWidth="1"/>
    <col min="1028" max="1028" width="25" style="22" bestFit="1" customWidth="1"/>
    <col min="1029" max="1029" width="19" style="22" customWidth="1"/>
    <col min="1030" max="1030" width="22.625" style="22" customWidth="1"/>
    <col min="1031" max="1031" width="25.625" style="22" customWidth="1"/>
    <col min="1032" max="1280" width="9" style="22"/>
    <col min="1281" max="1281" width="5.375" style="22" customWidth="1"/>
    <col min="1282" max="1282" width="24.5" style="22" customWidth="1"/>
    <col min="1283" max="1283" width="23.625" style="22" customWidth="1"/>
    <col min="1284" max="1284" width="25" style="22" bestFit="1" customWidth="1"/>
    <col min="1285" max="1285" width="19" style="22" customWidth="1"/>
    <col min="1286" max="1286" width="22.625" style="22" customWidth="1"/>
    <col min="1287" max="1287" width="25.625" style="22" customWidth="1"/>
    <col min="1288" max="1536" width="9" style="22"/>
    <col min="1537" max="1537" width="5.375" style="22" customWidth="1"/>
    <col min="1538" max="1538" width="24.5" style="22" customWidth="1"/>
    <col min="1539" max="1539" width="23.625" style="22" customWidth="1"/>
    <col min="1540" max="1540" width="25" style="22" bestFit="1" customWidth="1"/>
    <col min="1541" max="1541" width="19" style="22" customWidth="1"/>
    <col min="1542" max="1542" width="22.625" style="22" customWidth="1"/>
    <col min="1543" max="1543" width="25.625" style="22" customWidth="1"/>
    <col min="1544" max="1792" width="9" style="22"/>
    <col min="1793" max="1793" width="5.375" style="22" customWidth="1"/>
    <col min="1794" max="1794" width="24.5" style="22" customWidth="1"/>
    <col min="1795" max="1795" width="23.625" style="22" customWidth="1"/>
    <col min="1796" max="1796" width="25" style="22" bestFit="1" customWidth="1"/>
    <col min="1797" max="1797" width="19" style="22" customWidth="1"/>
    <col min="1798" max="1798" width="22.625" style="22" customWidth="1"/>
    <col min="1799" max="1799" width="25.625" style="22" customWidth="1"/>
    <col min="1800" max="2048" width="9" style="22"/>
    <col min="2049" max="2049" width="5.375" style="22" customWidth="1"/>
    <col min="2050" max="2050" width="24.5" style="22" customWidth="1"/>
    <col min="2051" max="2051" width="23.625" style="22" customWidth="1"/>
    <col min="2052" max="2052" width="25" style="22" bestFit="1" customWidth="1"/>
    <col min="2053" max="2053" width="19" style="22" customWidth="1"/>
    <col min="2054" max="2054" width="22.625" style="22" customWidth="1"/>
    <col min="2055" max="2055" width="25.625" style="22" customWidth="1"/>
    <col min="2056" max="2304" width="9" style="22"/>
    <col min="2305" max="2305" width="5.375" style="22" customWidth="1"/>
    <col min="2306" max="2306" width="24.5" style="22" customWidth="1"/>
    <col min="2307" max="2307" width="23.625" style="22" customWidth="1"/>
    <col min="2308" max="2308" width="25" style="22" bestFit="1" customWidth="1"/>
    <col min="2309" max="2309" width="19" style="22" customWidth="1"/>
    <col min="2310" max="2310" width="22.625" style="22" customWidth="1"/>
    <col min="2311" max="2311" width="25.625" style="22" customWidth="1"/>
    <col min="2312" max="2560" width="9" style="22"/>
    <col min="2561" max="2561" width="5.375" style="22" customWidth="1"/>
    <col min="2562" max="2562" width="24.5" style="22" customWidth="1"/>
    <col min="2563" max="2563" width="23.625" style="22" customWidth="1"/>
    <col min="2564" max="2564" width="25" style="22" bestFit="1" customWidth="1"/>
    <col min="2565" max="2565" width="19" style="22" customWidth="1"/>
    <col min="2566" max="2566" width="22.625" style="22" customWidth="1"/>
    <col min="2567" max="2567" width="25.625" style="22" customWidth="1"/>
    <col min="2568" max="2816" width="9" style="22"/>
    <col min="2817" max="2817" width="5.375" style="22" customWidth="1"/>
    <col min="2818" max="2818" width="24.5" style="22" customWidth="1"/>
    <col min="2819" max="2819" width="23.625" style="22" customWidth="1"/>
    <col min="2820" max="2820" width="25" style="22" bestFit="1" customWidth="1"/>
    <col min="2821" max="2821" width="19" style="22" customWidth="1"/>
    <col min="2822" max="2822" width="22.625" style="22" customWidth="1"/>
    <col min="2823" max="2823" width="25.625" style="22" customWidth="1"/>
    <col min="2824" max="3072" width="9" style="22"/>
    <col min="3073" max="3073" width="5.375" style="22" customWidth="1"/>
    <col min="3074" max="3074" width="24.5" style="22" customWidth="1"/>
    <col min="3075" max="3075" width="23.625" style="22" customWidth="1"/>
    <col min="3076" max="3076" width="25" style="22" bestFit="1" customWidth="1"/>
    <col min="3077" max="3077" width="19" style="22" customWidth="1"/>
    <col min="3078" max="3078" width="22.625" style="22" customWidth="1"/>
    <col min="3079" max="3079" width="25.625" style="22" customWidth="1"/>
    <col min="3080" max="3328" width="9" style="22"/>
    <col min="3329" max="3329" width="5.375" style="22" customWidth="1"/>
    <col min="3330" max="3330" width="24.5" style="22" customWidth="1"/>
    <col min="3331" max="3331" width="23.625" style="22" customWidth="1"/>
    <col min="3332" max="3332" width="25" style="22" bestFit="1" customWidth="1"/>
    <col min="3333" max="3333" width="19" style="22" customWidth="1"/>
    <col min="3334" max="3334" width="22.625" style="22" customWidth="1"/>
    <col min="3335" max="3335" width="25.625" style="22" customWidth="1"/>
    <col min="3336" max="3584" width="9" style="22"/>
    <col min="3585" max="3585" width="5.375" style="22" customWidth="1"/>
    <col min="3586" max="3586" width="24.5" style="22" customWidth="1"/>
    <col min="3587" max="3587" width="23.625" style="22" customWidth="1"/>
    <col min="3588" max="3588" width="25" style="22" bestFit="1" customWidth="1"/>
    <col min="3589" max="3589" width="19" style="22" customWidth="1"/>
    <col min="3590" max="3590" width="22.625" style="22" customWidth="1"/>
    <col min="3591" max="3591" width="25.625" style="22" customWidth="1"/>
    <col min="3592" max="3840" width="9" style="22"/>
    <col min="3841" max="3841" width="5.375" style="22" customWidth="1"/>
    <col min="3842" max="3842" width="24.5" style="22" customWidth="1"/>
    <col min="3843" max="3843" width="23.625" style="22" customWidth="1"/>
    <col min="3844" max="3844" width="25" style="22" bestFit="1" customWidth="1"/>
    <col min="3845" max="3845" width="19" style="22" customWidth="1"/>
    <col min="3846" max="3846" width="22.625" style="22" customWidth="1"/>
    <col min="3847" max="3847" width="25.625" style="22" customWidth="1"/>
    <col min="3848" max="4096" width="9" style="22"/>
    <col min="4097" max="4097" width="5.375" style="22" customWidth="1"/>
    <col min="4098" max="4098" width="24.5" style="22" customWidth="1"/>
    <col min="4099" max="4099" width="23.625" style="22" customWidth="1"/>
    <col min="4100" max="4100" width="25" style="22" bestFit="1" customWidth="1"/>
    <col min="4101" max="4101" width="19" style="22" customWidth="1"/>
    <col min="4102" max="4102" width="22.625" style="22" customWidth="1"/>
    <col min="4103" max="4103" width="25.625" style="22" customWidth="1"/>
    <col min="4104" max="4352" width="9" style="22"/>
    <col min="4353" max="4353" width="5.375" style="22" customWidth="1"/>
    <col min="4354" max="4354" width="24.5" style="22" customWidth="1"/>
    <col min="4355" max="4355" width="23.625" style="22" customWidth="1"/>
    <col min="4356" max="4356" width="25" style="22" bestFit="1" customWidth="1"/>
    <col min="4357" max="4357" width="19" style="22" customWidth="1"/>
    <col min="4358" max="4358" width="22.625" style="22" customWidth="1"/>
    <col min="4359" max="4359" width="25.625" style="22" customWidth="1"/>
    <col min="4360" max="4608" width="9" style="22"/>
    <col min="4609" max="4609" width="5.375" style="22" customWidth="1"/>
    <col min="4610" max="4610" width="24.5" style="22" customWidth="1"/>
    <col min="4611" max="4611" width="23.625" style="22" customWidth="1"/>
    <col min="4612" max="4612" width="25" style="22" bestFit="1" customWidth="1"/>
    <col min="4613" max="4613" width="19" style="22" customWidth="1"/>
    <col min="4614" max="4614" width="22.625" style="22" customWidth="1"/>
    <col min="4615" max="4615" width="25.625" style="22" customWidth="1"/>
    <col min="4616" max="4864" width="9" style="22"/>
    <col min="4865" max="4865" width="5.375" style="22" customWidth="1"/>
    <col min="4866" max="4866" width="24.5" style="22" customWidth="1"/>
    <col min="4867" max="4867" width="23.625" style="22" customWidth="1"/>
    <col min="4868" max="4868" width="25" style="22" bestFit="1" customWidth="1"/>
    <col min="4869" max="4869" width="19" style="22" customWidth="1"/>
    <col min="4870" max="4870" width="22.625" style="22" customWidth="1"/>
    <col min="4871" max="4871" width="25.625" style="22" customWidth="1"/>
    <col min="4872" max="5120" width="9" style="22"/>
    <col min="5121" max="5121" width="5.375" style="22" customWidth="1"/>
    <col min="5122" max="5122" width="24.5" style="22" customWidth="1"/>
    <col min="5123" max="5123" width="23.625" style="22" customWidth="1"/>
    <col min="5124" max="5124" width="25" style="22" bestFit="1" customWidth="1"/>
    <col min="5125" max="5125" width="19" style="22" customWidth="1"/>
    <col min="5126" max="5126" width="22.625" style="22" customWidth="1"/>
    <col min="5127" max="5127" width="25.625" style="22" customWidth="1"/>
    <col min="5128" max="5376" width="9" style="22"/>
    <col min="5377" max="5377" width="5.375" style="22" customWidth="1"/>
    <col min="5378" max="5378" width="24.5" style="22" customWidth="1"/>
    <col min="5379" max="5379" width="23.625" style="22" customWidth="1"/>
    <col min="5380" max="5380" width="25" style="22" bestFit="1" customWidth="1"/>
    <col min="5381" max="5381" width="19" style="22" customWidth="1"/>
    <col min="5382" max="5382" width="22.625" style="22" customWidth="1"/>
    <col min="5383" max="5383" width="25.625" style="22" customWidth="1"/>
    <col min="5384" max="5632" width="9" style="22"/>
    <col min="5633" max="5633" width="5.375" style="22" customWidth="1"/>
    <col min="5634" max="5634" width="24.5" style="22" customWidth="1"/>
    <col min="5635" max="5635" width="23.625" style="22" customWidth="1"/>
    <col min="5636" max="5636" width="25" style="22" bestFit="1" customWidth="1"/>
    <col min="5637" max="5637" width="19" style="22" customWidth="1"/>
    <col min="5638" max="5638" width="22.625" style="22" customWidth="1"/>
    <col min="5639" max="5639" width="25.625" style="22" customWidth="1"/>
    <col min="5640" max="5888" width="9" style="22"/>
    <col min="5889" max="5889" width="5.375" style="22" customWidth="1"/>
    <col min="5890" max="5890" width="24.5" style="22" customWidth="1"/>
    <col min="5891" max="5891" width="23.625" style="22" customWidth="1"/>
    <col min="5892" max="5892" width="25" style="22" bestFit="1" customWidth="1"/>
    <col min="5893" max="5893" width="19" style="22" customWidth="1"/>
    <col min="5894" max="5894" width="22.625" style="22" customWidth="1"/>
    <col min="5895" max="5895" width="25.625" style="22" customWidth="1"/>
    <col min="5896" max="6144" width="9" style="22"/>
    <col min="6145" max="6145" width="5.375" style="22" customWidth="1"/>
    <col min="6146" max="6146" width="24.5" style="22" customWidth="1"/>
    <col min="6147" max="6147" width="23.625" style="22" customWidth="1"/>
    <col min="6148" max="6148" width="25" style="22" bestFit="1" customWidth="1"/>
    <col min="6149" max="6149" width="19" style="22" customWidth="1"/>
    <col min="6150" max="6150" width="22.625" style="22" customWidth="1"/>
    <col min="6151" max="6151" width="25.625" style="22" customWidth="1"/>
    <col min="6152" max="6400" width="9" style="22"/>
    <col min="6401" max="6401" width="5.375" style="22" customWidth="1"/>
    <col min="6402" max="6402" width="24.5" style="22" customWidth="1"/>
    <col min="6403" max="6403" width="23.625" style="22" customWidth="1"/>
    <col min="6404" max="6404" width="25" style="22" bestFit="1" customWidth="1"/>
    <col min="6405" max="6405" width="19" style="22" customWidth="1"/>
    <col min="6406" max="6406" width="22.625" style="22" customWidth="1"/>
    <col min="6407" max="6407" width="25.625" style="22" customWidth="1"/>
    <col min="6408" max="6656" width="9" style="22"/>
    <col min="6657" max="6657" width="5.375" style="22" customWidth="1"/>
    <col min="6658" max="6658" width="24.5" style="22" customWidth="1"/>
    <col min="6659" max="6659" width="23.625" style="22" customWidth="1"/>
    <col min="6660" max="6660" width="25" style="22" bestFit="1" customWidth="1"/>
    <col min="6661" max="6661" width="19" style="22" customWidth="1"/>
    <col min="6662" max="6662" width="22.625" style="22" customWidth="1"/>
    <col min="6663" max="6663" width="25.625" style="22" customWidth="1"/>
    <col min="6664" max="6912" width="9" style="22"/>
    <col min="6913" max="6913" width="5.375" style="22" customWidth="1"/>
    <col min="6914" max="6914" width="24.5" style="22" customWidth="1"/>
    <col min="6915" max="6915" width="23.625" style="22" customWidth="1"/>
    <col min="6916" max="6916" width="25" style="22" bestFit="1" customWidth="1"/>
    <col min="6917" max="6917" width="19" style="22" customWidth="1"/>
    <col min="6918" max="6918" width="22.625" style="22" customWidth="1"/>
    <col min="6919" max="6919" width="25.625" style="22" customWidth="1"/>
    <col min="6920" max="7168" width="9" style="22"/>
    <col min="7169" max="7169" width="5.375" style="22" customWidth="1"/>
    <col min="7170" max="7170" width="24.5" style="22" customWidth="1"/>
    <col min="7171" max="7171" width="23.625" style="22" customWidth="1"/>
    <col min="7172" max="7172" width="25" style="22" bestFit="1" customWidth="1"/>
    <col min="7173" max="7173" width="19" style="22" customWidth="1"/>
    <col min="7174" max="7174" width="22.625" style="22" customWidth="1"/>
    <col min="7175" max="7175" width="25.625" style="22" customWidth="1"/>
    <col min="7176" max="7424" width="9" style="22"/>
    <col min="7425" max="7425" width="5.375" style="22" customWidth="1"/>
    <col min="7426" max="7426" width="24.5" style="22" customWidth="1"/>
    <col min="7427" max="7427" width="23.625" style="22" customWidth="1"/>
    <col min="7428" max="7428" width="25" style="22" bestFit="1" customWidth="1"/>
    <col min="7429" max="7429" width="19" style="22" customWidth="1"/>
    <col min="7430" max="7430" width="22.625" style="22" customWidth="1"/>
    <col min="7431" max="7431" width="25.625" style="22" customWidth="1"/>
    <col min="7432" max="7680" width="9" style="22"/>
    <col min="7681" max="7681" width="5.375" style="22" customWidth="1"/>
    <col min="7682" max="7682" width="24.5" style="22" customWidth="1"/>
    <col min="7683" max="7683" width="23.625" style="22" customWidth="1"/>
    <col min="7684" max="7684" width="25" style="22" bestFit="1" customWidth="1"/>
    <col min="7685" max="7685" width="19" style="22" customWidth="1"/>
    <col min="7686" max="7686" width="22.625" style="22" customWidth="1"/>
    <col min="7687" max="7687" width="25.625" style="22" customWidth="1"/>
    <col min="7688" max="7936" width="9" style="22"/>
    <col min="7937" max="7937" width="5.375" style="22" customWidth="1"/>
    <col min="7938" max="7938" width="24.5" style="22" customWidth="1"/>
    <col min="7939" max="7939" width="23.625" style="22" customWidth="1"/>
    <col min="7940" max="7940" width="25" style="22" bestFit="1" customWidth="1"/>
    <col min="7941" max="7941" width="19" style="22" customWidth="1"/>
    <col min="7942" max="7942" width="22.625" style="22" customWidth="1"/>
    <col min="7943" max="7943" width="25.625" style="22" customWidth="1"/>
    <col min="7944" max="8192" width="9" style="22"/>
    <col min="8193" max="8193" width="5.375" style="22" customWidth="1"/>
    <col min="8194" max="8194" width="24.5" style="22" customWidth="1"/>
    <col min="8195" max="8195" width="23.625" style="22" customWidth="1"/>
    <col min="8196" max="8196" width="25" style="22" bestFit="1" customWidth="1"/>
    <col min="8197" max="8197" width="19" style="22" customWidth="1"/>
    <col min="8198" max="8198" width="22.625" style="22" customWidth="1"/>
    <col min="8199" max="8199" width="25.625" style="22" customWidth="1"/>
    <col min="8200" max="8448" width="9" style="22"/>
    <col min="8449" max="8449" width="5.375" style="22" customWidth="1"/>
    <col min="8450" max="8450" width="24.5" style="22" customWidth="1"/>
    <col min="8451" max="8451" width="23.625" style="22" customWidth="1"/>
    <col min="8452" max="8452" width="25" style="22" bestFit="1" customWidth="1"/>
    <col min="8453" max="8453" width="19" style="22" customWidth="1"/>
    <col min="8454" max="8454" width="22.625" style="22" customWidth="1"/>
    <col min="8455" max="8455" width="25.625" style="22" customWidth="1"/>
    <col min="8456" max="8704" width="9" style="22"/>
    <col min="8705" max="8705" width="5.375" style="22" customWidth="1"/>
    <col min="8706" max="8706" width="24.5" style="22" customWidth="1"/>
    <col min="8707" max="8707" width="23.625" style="22" customWidth="1"/>
    <col min="8708" max="8708" width="25" style="22" bestFit="1" customWidth="1"/>
    <col min="8709" max="8709" width="19" style="22" customWidth="1"/>
    <col min="8710" max="8710" width="22.625" style="22" customWidth="1"/>
    <col min="8711" max="8711" width="25.625" style="22" customWidth="1"/>
    <col min="8712" max="8960" width="9" style="22"/>
    <col min="8961" max="8961" width="5.375" style="22" customWidth="1"/>
    <col min="8962" max="8962" width="24.5" style="22" customWidth="1"/>
    <col min="8963" max="8963" width="23.625" style="22" customWidth="1"/>
    <col min="8964" max="8964" width="25" style="22" bestFit="1" customWidth="1"/>
    <col min="8965" max="8965" width="19" style="22" customWidth="1"/>
    <col min="8966" max="8966" width="22.625" style="22" customWidth="1"/>
    <col min="8967" max="8967" width="25.625" style="22" customWidth="1"/>
    <col min="8968" max="9216" width="9" style="22"/>
    <col min="9217" max="9217" width="5.375" style="22" customWidth="1"/>
    <col min="9218" max="9218" width="24.5" style="22" customWidth="1"/>
    <col min="9219" max="9219" width="23.625" style="22" customWidth="1"/>
    <col min="9220" max="9220" width="25" style="22" bestFit="1" customWidth="1"/>
    <col min="9221" max="9221" width="19" style="22" customWidth="1"/>
    <col min="9222" max="9222" width="22.625" style="22" customWidth="1"/>
    <col min="9223" max="9223" width="25.625" style="22" customWidth="1"/>
    <col min="9224" max="9472" width="9" style="22"/>
    <col min="9473" max="9473" width="5.375" style="22" customWidth="1"/>
    <col min="9474" max="9474" width="24.5" style="22" customWidth="1"/>
    <col min="9475" max="9475" width="23.625" style="22" customWidth="1"/>
    <col min="9476" max="9476" width="25" style="22" bestFit="1" customWidth="1"/>
    <col min="9477" max="9477" width="19" style="22" customWidth="1"/>
    <col min="9478" max="9478" width="22.625" style="22" customWidth="1"/>
    <col min="9479" max="9479" width="25.625" style="22" customWidth="1"/>
    <col min="9480" max="9728" width="9" style="22"/>
    <col min="9729" max="9729" width="5.375" style="22" customWidth="1"/>
    <col min="9730" max="9730" width="24.5" style="22" customWidth="1"/>
    <col min="9731" max="9731" width="23.625" style="22" customWidth="1"/>
    <col min="9732" max="9732" width="25" style="22" bestFit="1" customWidth="1"/>
    <col min="9733" max="9733" width="19" style="22" customWidth="1"/>
    <col min="9734" max="9734" width="22.625" style="22" customWidth="1"/>
    <col min="9735" max="9735" width="25.625" style="22" customWidth="1"/>
    <col min="9736" max="9984" width="9" style="22"/>
    <col min="9985" max="9985" width="5.375" style="22" customWidth="1"/>
    <col min="9986" max="9986" width="24.5" style="22" customWidth="1"/>
    <col min="9987" max="9987" width="23.625" style="22" customWidth="1"/>
    <col min="9988" max="9988" width="25" style="22" bestFit="1" customWidth="1"/>
    <col min="9989" max="9989" width="19" style="22" customWidth="1"/>
    <col min="9990" max="9990" width="22.625" style="22" customWidth="1"/>
    <col min="9991" max="9991" width="25.625" style="22" customWidth="1"/>
    <col min="9992" max="10240" width="9" style="22"/>
    <col min="10241" max="10241" width="5.375" style="22" customWidth="1"/>
    <col min="10242" max="10242" width="24.5" style="22" customWidth="1"/>
    <col min="10243" max="10243" width="23.625" style="22" customWidth="1"/>
    <col min="10244" max="10244" width="25" style="22" bestFit="1" customWidth="1"/>
    <col min="10245" max="10245" width="19" style="22" customWidth="1"/>
    <col min="10246" max="10246" width="22.625" style="22" customWidth="1"/>
    <col min="10247" max="10247" width="25.625" style="22" customWidth="1"/>
    <col min="10248" max="10496" width="9" style="22"/>
    <col min="10497" max="10497" width="5.375" style="22" customWidth="1"/>
    <col min="10498" max="10498" width="24.5" style="22" customWidth="1"/>
    <col min="10499" max="10499" width="23.625" style="22" customWidth="1"/>
    <col min="10500" max="10500" width="25" style="22" bestFit="1" customWidth="1"/>
    <col min="10501" max="10501" width="19" style="22" customWidth="1"/>
    <col min="10502" max="10502" width="22.625" style="22" customWidth="1"/>
    <col min="10503" max="10503" width="25.625" style="22" customWidth="1"/>
    <col min="10504" max="10752" width="9" style="22"/>
    <col min="10753" max="10753" width="5.375" style="22" customWidth="1"/>
    <col min="10754" max="10754" width="24.5" style="22" customWidth="1"/>
    <col min="10755" max="10755" width="23.625" style="22" customWidth="1"/>
    <col min="10756" max="10756" width="25" style="22" bestFit="1" customWidth="1"/>
    <col min="10757" max="10757" width="19" style="22" customWidth="1"/>
    <col min="10758" max="10758" width="22.625" style="22" customWidth="1"/>
    <col min="10759" max="10759" width="25.625" style="22" customWidth="1"/>
    <col min="10760" max="11008" width="9" style="22"/>
    <col min="11009" max="11009" width="5.375" style="22" customWidth="1"/>
    <col min="11010" max="11010" width="24.5" style="22" customWidth="1"/>
    <col min="11011" max="11011" width="23.625" style="22" customWidth="1"/>
    <col min="11012" max="11012" width="25" style="22" bestFit="1" customWidth="1"/>
    <col min="11013" max="11013" width="19" style="22" customWidth="1"/>
    <col min="11014" max="11014" width="22.625" style="22" customWidth="1"/>
    <col min="11015" max="11015" width="25.625" style="22" customWidth="1"/>
    <col min="11016" max="11264" width="9" style="22"/>
    <col min="11265" max="11265" width="5.375" style="22" customWidth="1"/>
    <col min="11266" max="11266" width="24.5" style="22" customWidth="1"/>
    <col min="11267" max="11267" width="23.625" style="22" customWidth="1"/>
    <col min="11268" max="11268" width="25" style="22" bestFit="1" customWidth="1"/>
    <col min="11269" max="11269" width="19" style="22" customWidth="1"/>
    <col min="11270" max="11270" width="22.625" style="22" customWidth="1"/>
    <col min="11271" max="11271" width="25.625" style="22" customWidth="1"/>
    <col min="11272" max="11520" width="9" style="22"/>
    <col min="11521" max="11521" width="5.375" style="22" customWidth="1"/>
    <col min="11522" max="11522" width="24.5" style="22" customWidth="1"/>
    <col min="11523" max="11523" width="23.625" style="22" customWidth="1"/>
    <col min="11524" max="11524" width="25" style="22" bestFit="1" customWidth="1"/>
    <col min="11525" max="11525" width="19" style="22" customWidth="1"/>
    <col min="11526" max="11526" width="22.625" style="22" customWidth="1"/>
    <col min="11527" max="11527" width="25.625" style="22" customWidth="1"/>
    <col min="11528" max="11776" width="9" style="22"/>
    <col min="11777" max="11777" width="5.375" style="22" customWidth="1"/>
    <col min="11778" max="11778" width="24.5" style="22" customWidth="1"/>
    <col min="11779" max="11779" width="23.625" style="22" customWidth="1"/>
    <col min="11780" max="11780" width="25" style="22" bestFit="1" customWidth="1"/>
    <col min="11781" max="11781" width="19" style="22" customWidth="1"/>
    <col min="11782" max="11782" width="22.625" style="22" customWidth="1"/>
    <col min="11783" max="11783" width="25.625" style="22" customWidth="1"/>
    <col min="11784" max="12032" width="9" style="22"/>
    <col min="12033" max="12033" width="5.375" style="22" customWidth="1"/>
    <col min="12034" max="12034" width="24.5" style="22" customWidth="1"/>
    <col min="12035" max="12035" width="23.625" style="22" customWidth="1"/>
    <col min="12036" max="12036" width="25" style="22" bestFit="1" customWidth="1"/>
    <col min="12037" max="12037" width="19" style="22" customWidth="1"/>
    <col min="12038" max="12038" width="22.625" style="22" customWidth="1"/>
    <col min="12039" max="12039" width="25.625" style="22" customWidth="1"/>
    <col min="12040" max="12288" width="9" style="22"/>
    <col min="12289" max="12289" width="5.375" style="22" customWidth="1"/>
    <col min="12290" max="12290" width="24.5" style="22" customWidth="1"/>
    <col min="12291" max="12291" width="23.625" style="22" customWidth="1"/>
    <col min="12292" max="12292" width="25" style="22" bestFit="1" customWidth="1"/>
    <col min="12293" max="12293" width="19" style="22" customWidth="1"/>
    <col min="12294" max="12294" width="22.625" style="22" customWidth="1"/>
    <col min="12295" max="12295" width="25.625" style="22" customWidth="1"/>
    <col min="12296" max="12544" width="9" style="22"/>
    <col min="12545" max="12545" width="5.375" style="22" customWidth="1"/>
    <col min="12546" max="12546" width="24.5" style="22" customWidth="1"/>
    <col min="12547" max="12547" width="23.625" style="22" customWidth="1"/>
    <col min="12548" max="12548" width="25" style="22" bestFit="1" customWidth="1"/>
    <col min="12549" max="12549" width="19" style="22" customWidth="1"/>
    <col min="12550" max="12550" width="22.625" style="22" customWidth="1"/>
    <col min="12551" max="12551" width="25.625" style="22" customWidth="1"/>
    <col min="12552" max="12800" width="9" style="22"/>
    <col min="12801" max="12801" width="5.375" style="22" customWidth="1"/>
    <col min="12802" max="12802" width="24.5" style="22" customWidth="1"/>
    <col min="12803" max="12803" width="23.625" style="22" customWidth="1"/>
    <col min="12804" max="12804" width="25" style="22" bestFit="1" customWidth="1"/>
    <col min="12805" max="12805" width="19" style="22" customWidth="1"/>
    <col min="12806" max="12806" width="22.625" style="22" customWidth="1"/>
    <col min="12807" max="12807" width="25.625" style="22" customWidth="1"/>
    <col min="12808" max="13056" width="9" style="22"/>
    <col min="13057" max="13057" width="5.375" style="22" customWidth="1"/>
    <col min="13058" max="13058" width="24.5" style="22" customWidth="1"/>
    <col min="13059" max="13059" width="23.625" style="22" customWidth="1"/>
    <col min="13060" max="13060" width="25" style="22" bestFit="1" customWidth="1"/>
    <col min="13061" max="13061" width="19" style="22" customWidth="1"/>
    <col min="13062" max="13062" width="22.625" style="22" customWidth="1"/>
    <col min="13063" max="13063" width="25.625" style="22" customWidth="1"/>
    <col min="13064" max="13312" width="9" style="22"/>
    <col min="13313" max="13313" width="5.375" style="22" customWidth="1"/>
    <col min="13314" max="13314" width="24.5" style="22" customWidth="1"/>
    <col min="13315" max="13315" width="23.625" style="22" customWidth="1"/>
    <col min="13316" max="13316" width="25" style="22" bestFit="1" customWidth="1"/>
    <col min="13317" max="13317" width="19" style="22" customWidth="1"/>
    <col min="13318" max="13318" width="22.625" style="22" customWidth="1"/>
    <col min="13319" max="13319" width="25.625" style="22" customWidth="1"/>
    <col min="13320" max="13568" width="9" style="22"/>
    <col min="13569" max="13569" width="5.375" style="22" customWidth="1"/>
    <col min="13570" max="13570" width="24.5" style="22" customWidth="1"/>
    <col min="13571" max="13571" width="23.625" style="22" customWidth="1"/>
    <col min="13572" max="13572" width="25" style="22" bestFit="1" customWidth="1"/>
    <col min="13573" max="13573" width="19" style="22" customWidth="1"/>
    <col min="13574" max="13574" width="22.625" style="22" customWidth="1"/>
    <col min="13575" max="13575" width="25.625" style="22" customWidth="1"/>
    <col min="13576" max="13824" width="9" style="22"/>
    <col min="13825" max="13825" width="5.375" style="22" customWidth="1"/>
    <col min="13826" max="13826" width="24.5" style="22" customWidth="1"/>
    <col min="13827" max="13827" width="23.625" style="22" customWidth="1"/>
    <col min="13828" max="13828" width="25" style="22" bestFit="1" customWidth="1"/>
    <col min="13829" max="13829" width="19" style="22" customWidth="1"/>
    <col min="13830" max="13830" width="22.625" style="22" customWidth="1"/>
    <col min="13831" max="13831" width="25.625" style="22" customWidth="1"/>
    <col min="13832" max="14080" width="9" style="22"/>
    <col min="14081" max="14081" width="5.375" style="22" customWidth="1"/>
    <col min="14082" max="14082" width="24.5" style="22" customWidth="1"/>
    <col min="14083" max="14083" width="23.625" style="22" customWidth="1"/>
    <col min="14084" max="14084" width="25" style="22" bestFit="1" customWidth="1"/>
    <col min="14085" max="14085" width="19" style="22" customWidth="1"/>
    <col min="14086" max="14086" width="22.625" style="22" customWidth="1"/>
    <col min="14087" max="14087" width="25.625" style="22" customWidth="1"/>
    <col min="14088" max="14336" width="9" style="22"/>
    <col min="14337" max="14337" width="5.375" style="22" customWidth="1"/>
    <col min="14338" max="14338" width="24.5" style="22" customWidth="1"/>
    <col min="14339" max="14339" width="23.625" style="22" customWidth="1"/>
    <col min="14340" max="14340" width="25" style="22" bestFit="1" customWidth="1"/>
    <col min="14341" max="14341" width="19" style="22" customWidth="1"/>
    <col min="14342" max="14342" width="22.625" style="22" customWidth="1"/>
    <col min="14343" max="14343" width="25.625" style="22" customWidth="1"/>
    <col min="14344" max="14592" width="9" style="22"/>
    <col min="14593" max="14593" width="5.375" style="22" customWidth="1"/>
    <col min="14594" max="14594" width="24.5" style="22" customWidth="1"/>
    <col min="14595" max="14595" width="23.625" style="22" customWidth="1"/>
    <col min="14596" max="14596" width="25" style="22" bestFit="1" customWidth="1"/>
    <col min="14597" max="14597" width="19" style="22" customWidth="1"/>
    <col min="14598" max="14598" width="22.625" style="22" customWidth="1"/>
    <col min="14599" max="14599" width="25.625" style="22" customWidth="1"/>
    <col min="14600" max="14848" width="9" style="22"/>
    <col min="14849" max="14849" width="5.375" style="22" customWidth="1"/>
    <col min="14850" max="14850" width="24.5" style="22" customWidth="1"/>
    <col min="14851" max="14851" width="23.625" style="22" customWidth="1"/>
    <col min="14852" max="14852" width="25" style="22" bestFit="1" customWidth="1"/>
    <col min="14853" max="14853" width="19" style="22" customWidth="1"/>
    <col min="14854" max="14854" width="22.625" style="22" customWidth="1"/>
    <col min="14855" max="14855" width="25.625" style="22" customWidth="1"/>
    <col min="14856" max="15104" width="9" style="22"/>
    <col min="15105" max="15105" width="5.375" style="22" customWidth="1"/>
    <col min="15106" max="15106" width="24.5" style="22" customWidth="1"/>
    <col min="15107" max="15107" width="23.625" style="22" customWidth="1"/>
    <col min="15108" max="15108" width="25" style="22" bestFit="1" customWidth="1"/>
    <col min="15109" max="15109" width="19" style="22" customWidth="1"/>
    <col min="15110" max="15110" width="22.625" style="22" customWidth="1"/>
    <col min="15111" max="15111" width="25.625" style="22" customWidth="1"/>
    <col min="15112" max="15360" width="9" style="22"/>
    <col min="15361" max="15361" width="5.375" style="22" customWidth="1"/>
    <col min="15362" max="15362" width="24.5" style="22" customWidth="1"/>
    <col min="15363" max="15363" width="23.625" style="22" customWidth="1"/>
    <col min="15364" max="15364" width="25" style="22" bestFit="1" customWidth="1"/>
    <col min="15365" max="15365" width="19" style="22" customWidth="1"/>
    <col min="15366" max="15366" width="22.625" style="22" customWidth="1"/>
    <col min="15367" max="15367" width="25.625" style="22" customWidth="1"/>
    <col min="15368" max="15616" width="9" style="22"/>
    <col min="15617" max="15617" width="5.375" style="22" customWidth="1"/>
    <col min="15618" max="15618" width="24.5" style="22" customWidth="1"/>
    <col min="15619" max="15619" width="23.625" style="22" customWidth="1"/>
    <col min="15620" max="15620" width="25" style="22" bestFit="1" customWidth="1"/>
    <col min="15621" max="15621" width="19" style="22" customWidth="1"/>
    <col min="15622" max="15622" width="22.625" style="22" customWidth="1"/>
    <col min="15623" max="15623" width="25.625" style="22" customWidth="1"/>
    <col min="15624" max="15872" width="9" style="22"/>
    <col min="15873" max="15873" width="5.375" style="22" customWidth="1"/>
    <col min="15874" max="15874" width="24.5" style="22" customWidth="1"/>
    <col min="15875" max="15875" width="23.625" style="22" customWidth="1"/>
    <col min="15876" max="15876" width="25" style="22" bestFit="1" customWidth="1"/>
    <col min="15877" max="15877" width="19" style="22" customWidth="1"/>
    <col min="15878" max="15878" width="22.625" style="22" customWidth="1"/>
    <col min="15879" max="15879" width="25.625" style="22" customWidth="1"/>
    <col min="15880" max="16128" width="9" style="22"/>
    <col min="16129" max="16129" width="5.375" style="22" customWidth="1"/>
    <col min="16130" max="16130" width="24.5" style="22" customWidth="1"/>
    <col min="16131" max="16131" width="23.625" style="22" customWidth="1"/>
    <col min="16132" max="16132" width="25" style="22" bestFit="1" customWidth="1"/>
    <col min="16133" max="16133" width="19" style="22" customWidth="1"/>
    <col min="16134" max="16134" width="22.625" style="22" customWidth="1"/>
    <col min="16135" max="16135" width="25.625" style="22" customWidth="1"/>
    <col min="16136" max="16384" width="9" style="22"/>
  </cols>
  <sheetData>
    <row r="1" spans="1:7">
      <c r="A1" s="411" t="str">
        <f>+封面!A3&amp;" "&amp;封面!A2</f>
        <v xml:space="preserve"> 中央再保險股份有限公司 年度檢查報表</v>
      </c>
    </row>
    <row r="2" spans="1:7" ht="16.5">
      <c r="A2" s="412" t="s">
        <v>3547</v>
      </c>
      <c r="C2" s="413"/>
      <c r="D2" s="413"/>
      <c r="E2" s="413"/>
    </row>
    <row r="3" spans="1:7">
      <c r="B3" s="329"/>
      <c r="C3" s="413"/>
      <c r="D3" s="413"/>
      <c r="E3" s="413"/>
    </row>
    <row r="4" spans="1:7" ht="16.5">
      <c r="B4" s="414" t="s">
        <v>3548</v>
      </c>
    </row>
    <row r="5" spans="1:7" ht="33">
      <c r="A5" s="3492" t="s">
        <v>3549</v>
      </c>
      <c r="B5" s="415" t="s">
        <v>3550</v>
      </c>
      <c r="C5" s="415" t="s">
        <v>3551</v>
      </c>
      <c r="D5" s="415" t="s">
        <v>3552</v>
      </c>
    </row>
    <row r="6" spans="1:7">
      <c r="A6" s="3492"/>
      <c r="B6" s="416" t="s">
        <v>2557</v>
      </c>
      <c r="C6" s="416" t="s">
        <v>67</v>
      </c>
      <c r="D6" s="416" t="s">
        <v>2558</v>
      </c>
    </row>
    <row r="7" spans="1:7">
      <c r="A7" s="417">
        <v>1</v>
      </c>
      <c r="B7" s="418">
        <f>'表25-1'!AB12+'表25-1'!AB25+'表25-1'!AB31+'表25-1'!AB34</f>
        <v>0</v>
      </c>
      <c r="C7" s="418">
        <f>'表25-1'!AA12+'表25-1'!AA25+'表25-1'!AA31+'表25-1'!AA34</f>
        <v>0</v>
      </c>
      <c r="D7" s="418">
        <f>SUM(B7:C7)</f>
        <v>0</v>
      </c>
    </row>
    <row r="8" spans="1:7">
      <c r="A8" s="419"/>
    </row>
    <row r="9" spans="1:7">
      <c r="A9" s="419"/>
      <c r="B9" s="420"/>
      <c r="C9" s="421"/>
    </row>
    <row r="10" spans="1:7" ht="16.5">
      <c r="A10" s="419"/>
      <c r="B10" s="68" t="s">
        <v>3553</v>
      </c>
    </row>
    <row r="11" spans="1:7" ht="33">
      <c r="A11" s="3492" t="s">
        <v>3549</v>
      </c>
      <c r="B11" s="415" t="s">
        <v>3554</v>
      </c>
      <c r="C11" s="422" t="s">
        <v>3555</v>
      </c>
      <c r="D11" s="422" t="s">
        <v>3556</v>
      </c>
      <c r="E11" s="415" t="s">
        <v>6350</v>
      </c>
      <c r="F11" s="415" t="s">
        <v>3557</v>
      </c>
      <c r="G11" s="415" t="s">
        <v>3558</v>
      </c>
    </row>
    <row r="12" spans="1:7" ht="15">
      <c r="A12" s="3492"/>
      <c r="B12" s="416" t="s">
        <v>2559</v>
      </c>
      <c r="C12" s="416" t="s">
        <v>125</v>
      </c>
      <c r="D12" s="416" t="s">
        <v>2562</v>
      </c>
      <c r="E12" s="416" t="s">
        <v>72</v>
      </c>
      <c r="F12" s="416" t="s">
        <v>2560</v>
      </c>
      <c r="G12" s="416" t="s">
        <v>2561</v>
      </c>
    </row>
    <row r="13" spans="1:7" ht="15">
      <c r="A13" s="417">
        <v>2</v>
      </c>
      <c r="B13" s="423">
        <f ca="1">'表30-1'!B26</f>
        <v>0</v>
      </c>
      <c r="C13" s="423">
        <f ca="1">0.5*('表30-1'!B13+'表30-1'!B24+(('表30-1'!B16+'表30-1'!B23)^2+('表30-1'!B14+'表30-1'!B17)^2+'表30-1'!B18^2+('表30-1'!B19-'表30-4'!F13)^2+'表30-1'!B20^2+'表30-1'!B21^2)^0.5)</f>
        <v>0</v>
      </c>
      <c r="D13" s="423">
        <f ca="1">IFERROR(B13/C13-1,0)</f>
        <v>0</v>
      </c>
      <c r="E13" s="2313">
        <f ca="1">SUM('表30-8'!G11:G13,'表30-8'!G16,'表30-8'!G41,'表30-8'!G57)-SUM('表30-8'!G17:G31)</f>
        <v>0</v>
      </c>
      <c r="F13" s="423">
        <f ca="1">D13*E13</f>
        <v>0</v>
      </c>
      <c r="G13" s="423">
        <f ca="1">MIN(F13,D7)</f>
        <v>0</v>
      </c>
    </row>
    <row r="15" spans="1:7">
      <c r="A15" s="424" t="s">
        <v>3559</v>
      </c>
    </row>
    <row r="16" spans="1:7">
      <c r="A16" s="424" t="s">
        <v>3560</v>
      </c>
      <c r="B16" s="424"/>
    </row>
    <row r="17" spans="1:2">
      <c r="A17" s="424"/>
      <c r="B17" s="424" t="s">
        <v>3561</v>
      </c>
    </row>
  </sheetData>
  <mergeCells count="2">
    <mergeCell ref="A5:A6"/>
    <mergeCell ref="A11:A12"/>
  </mergeCells>
  <phoneticPr fontId="30"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heetViews>
  <sheetFormatPr defaultColWidth="9" defaultRowHeight="16.5"/>
  <cols>
    <col min="1" max="1" width="38.5" style="21" customWidth="1"/>
    <col min="2" max="2" width="11.5" style="21" customWidth="1"/>
    <col min="3" max="3" width="25.625" style="21" customWidth="1"/>
    <col min="4" max="4" width="17.875" style="21" customWidth="1"/>
    <col min="5" max="5" width="18.75" style="21" customWidth="1"/>
    <col min="6" max="6" width="25.625" style="21" customWidth="1"/>
    <col min="7" max="16384" width="9" style="21"/>
  </cols>
  <sheetData>
    <row r="1" spans="1:7">
      <c r="A1" s="36" t="str">
        <f>+封面!A3&amp;" "&amp;封面!A2</f>
        <v xml:space="preserve"> 中央再保險股份有限公司 年度檢查報表</v>
      </c>
      <c r="B1" s="362"/>
      <c r="C1" s="363"/>
      <c r="D1" s="364"/>
      <c r="E1" s="364"/>
      <c r="F1" s="365"/>
      <c r="G1" s="18"/>
    </row>
    <row r="2" spans="1:7" ht="17.25" thickBot="1">
      <c r="A2" s="18" t="s">
        <v>490</v>
      </c>
      <c r="B2" s="362"/>
      <c r="C2" s="363"/>
      <c r="D2" s="364"/>
      <c r="E2" s="364"/>
      <c r="F2" s="365" t="s">
        <v>241</v>
      </c>
      <c r="G2" s="18"/>
    </row>
    <row r="3" spans="1:7">
      <c r="A3" s="366" t="s">
        <v>491</v>
      </c>
      <c r="B3" s="367" t="s">
        <v>492</v>
      </c>
      <c r="C3" s="368" t="s">
        <v>493</v>
      </c>
      <c r="D3" s="369" t="s">
        <v>494</v>
      </c>
      <c r="E3" s="369" t="s">
        <v>495</v>
      </c>
      <c r="F3" s="370" t="s">
        <v>496</v>
      </c>
      <c r="G3" s="371"/>
    </row>
    <row r="4" spans="1:7">
      <c r="A4" s="372" t="s">
        <v>497</v>
      </c>
      <c r="B4" s="373"/>
      <c r="C4" s="374"/>
      <c r="D4" s="375"/>
      <c r="E4" s="375"/>
      <c r="F4" s="376"/>
      <c r="G4" s="371"/>
    </row>
    <row r="5" spans="1:7">
      <c r="A5" s="3496" t="s">
        <v>498</v>
      </c>
      <c r="B5" s="377" t="s">
        <v>557</v>
      </c>
      <c r="C5" s="378">
        <f>'表30-13'!F8</f>
        <v>0</v>
      </c>
      <c r="D5" s="379">
        <v>1.1000000000000001E-2</v>
      </c>
      <c r="E5" s="379">
        <f>ROUND(D5*0.85,4)</f>
        <v>9.4000000000000004E-3</v>
      </c>
      <c r="F5" s="380">
        <f t="shared" ref="F5:F22" si="0">ROUND(C5*(D5-E5),0)</f>
        <v>0</v>
      </c>
      <c r="G5" s="371"/>
    </row>
    <row r="6" spans="1:7">
      <c r="A6" s="3497"/>
      <c r="B6" s="381" t="s">
        <v>558</v>
      </c>
      <c r="C6" s="382">
        <f>'表30-13'!F12</f>
        <v>0</v>
      </c>
      <c r="D6" s="383">
        <v>1.1000000000000001E-2</v>
      </c>
      <c r="E6" s="383">
        <f>ROUND(D6*0.9,4)</f>
        <v>9.9000000000000008E-3</v>
      </c>
      <c r="F6" s="384">
        <f t="shared" si="0"/>
        <v>0</v>
      </c>
      <c r="G6" s="371"/>
    </row>
    <row r="7" spans="1:7">
      <c r="A7" s="3498"/>
      <c r="B7" s="385" t="s">
        <v>559</v>
      </c>
      <c r="C7" s="386">
        <f>'表30-13'!F16</f>
        <v>0</v>
      </c>
      <c r="D7" s="387">
        <v>1.1000000000000001E-2</v>
      </c>
      <c r="E7" s="387">
        <f>ROUND(D7*0.95,4)</f>
        <v>1.0500000000000001E-2</v>
      </c>
      <c r="F7" s="388">
        <f t="shared" si="0"/>
        <v>0</v>
      </c>
      <c r="G7" s="371"/>
    </row>
    <row r="8" spans="1:7" ht="16.5" customHeight="1">
      <c r="A8" s="3493" t="s">
        <v>499</v>
      </c>
      <c r="B8" s="377" t="s">
        <v>557</v>
      </c>
      <c r="C8" s="378">
        <f>'表30-13'!F21</f>
        <v>0</v>
      </c>
      <c r="D8" s="379">
        <v>8.1000000000000003E-2</v>
      </c>
      <c r="E8" s="389">
        <v>6.8900000000000003E-2</v>
      </c>
      <c r="F8" s="380">
        <f t="shared" si="0"/>
        <v>0</v>
      </c>
      <c r="G8" s="371"/>
    </row>
    <row r="9" spans="1:7">
      <c r="A9" s="3494"/>
      <c r="B9" s="381" t="s">
        <v>558</v>
      </c>
      <c r="C9" s="382">
        <f>'表30-13'!F25</f>
        <v>0</v>
      </c>
      <c r="D9" s="383">
        <v>8.1000000000000003E-2</v>
      </c>
      <c r="E9" s="383">
        <v>7.2900000000000006E-2</v>
      </c>
      <c r="F9" s="384">
        <f t="shared" si="0"/>
        <v>0</v>
      </c>
      <c r="G9" s="371"/>
    </row>
    <row r="10" spans="1:7" ht="15" customHeight="1">
      <c r="A10" s="3495"/>
      <c r="B10" s="385" t="s">
        <v>559</v>
      </c>
      <c r="C10" s="386">
        <f>'表30-13'!F29</f>
        <v>0</v>
      </c>
      <c r="D10" s="387">
        <v>8.1000000000000003E-2</v>
      </c>
      <c r="E10" s="387">
        <v>7.6999999999999999E-2</v>
      </c>
      <c r="F10" s="388">
        <f t="shared" si="0"/>
        <v>0</v>
      </c>
      <c r="G10" s="371"/>
    </row>
    <row r="11" spans="1:7" ht="15" customHeight="1">
      <c r="A11" s="3493" t="s">
        <v>500</v>
      </c>
      <c r="B11" s="377" t="s">
        <v>557</v>
      </c>
      <c r="C11" s="378">
        <f>'表30-13'!F34</f>
        <v>0</v>
      </c>
      <c r="D11" s="379">
        <v>1.4E-2</v>
      </c>
      <c r="E11" s="389">
        <f>ROUND(D11*0.85,4)</f>
        <v>1.1900000000000001E-2</v>
      </c>
      <c r="F11" s="380">
        <f t="shared" si="0"/>
        <v>0</v>
      </c>
      <c r="G11" s="371"/>
    </row>
    <row r="12" spans="1:7" ht="15" customHeight="1">
      <c r="A12" s="3494"/>
      <c r="B12" s="381" t="s">
        <v>558</v>
      </c>
      <c r="C12" s="382">
        <f>'表30-13'!F38</f>
        <v>0</v>
      </c>
      <c r="D12" s="383">
        <v>1.4E-2</v>
      </c>
      <c r="E12" s="383">
        <f>ROUND(D12*0.9,4)</f>
        <v>1.26E-2</v>
      </c>
      <c r="F12" s="384">
        <f t="shared" si="0"/>
        <v>0</v>
      </c>
      <c r="G12" s="371"/>
    </row>
    <row r="13" spans="1:7" ht="15" customHeight="1">
      <c r="A13" s="3495"/>
      <c r="B13" s="385" t="s">
        <v>559</v>
      </c>
      <c r="C13" s="386">
        <f>'表30-13'!F42</f>
        <v>0</v>
      </c>
      <c r="D13" s="387">
        <v>1.4E-2</v>
      </c>
      <c r="E13" s="387">
        <f>ROUND(D13*0.95,4)</f>
        <v>1.3299999999999999E-2</v>
      </c>
      <c r="F13" s="388">
        <f t="shared" si="0"/>
        <v>0</v>
      </c>
      <c r="G13" s="371"/>
    </row>
    <row r="14" spans="1:7">
      <c r="A14" s="3493" t="s">
        <v>501</v>
      </c>
      <c r="B14" s="377" t="s">
        <v>557</v>
      </c>
      <c r="C14" s="378">
        <f>'表30-13'!F47</f>
        <v>0</v>
      </c>
      <c r="D14" s="379">
        <v>0.01</v>
      </c>
      <c r="E14" s="389">
        <f>ROUND(D14*0.85,4)</f>
        <v>8.5000000000000006E-3</v>
      </c>
      <c r="F14" s="380">
        <f t="shared" si="0"/>
        <v>0</v>
      </c>
      <c r="G14" s="371"/>
    </row>
    <row r="15" spans="1:7">
      <c r="A15" s="3494"/>
      <c r="B15" s="381" t="s">
        <v>558</v>
      </c>
      <c r="C15" s="382">
        <f>'表30-13'!F51</f>
        <v>0</v>
      </c>
      <c r="D15" s="383">
        <v>0.01</v>
      </c>
      <c r="E15" s="383">
        <f>ROUND(D15*0.9,4)</f>
        <v>8.9999999999999993E-3</v>
      </c>
      <c r="F15" s="384">
        <f t="shared" si="0"/>
        <v>0</v>
      </c>
      <c r="G15" s="371"/>
    </row>
    <row r="16" spans="1:7">
      <c r="A16" s="3495"/>
      <c r="B16" s="385" t="s">
        <v>559</v>
      </c>
      <c r="C16" s="386">
        <f>'表30-13'!F55</f>
        <v>0</v>
      </c>
      <c r="D16" s="389">
        <v>0.01</v>
      </c>
      <c r="E16" s="387">
        <f>ROUND(D16*0.95,4)</f>
        <v>9.4999999999999998E-3</v>
      </c>
      <c r="F16" s="388">
        <f t="shared" si="0"/>
        <v>0</v>
      </c>
      <c r="G16" s="371"/>
    </row>
    <row r="17" spans="1:7" ht="16.5" customHeight="1">
      <c r="A17" s="3493" t="s">
        <v>502</v>
      </c>
      <c r="B17" s="377" t="s">
        <v>557</v>
      </c>
      <c r="C17" s="390">
        <f>'表30-13'!F60</f>
        <v>0</v>
      </c>
      <c r="D17" s="379">
        <v>8.1000000000000003E-2</v>
      </c>
      <c r="E17" s="391">
        <v>6.8900000000000003E-2</v>
      </c>
      <c r="F17" s="380">
        <f t="shared" si="0"/>
        <v>0</v>
      </c>
      <c r="G17" s="371"/>
    </row>
    <row r="18" spans="1:7">
      <c r="A18" s="3494"/>
      <c r="B18" s="381" t="s">
        <v>558</v>
      </c>
      <c r="C18" s="392">
        <f>'表30-13'!F64</f>
        <v>0</v>
      </c>
      <c r="D18" s="383">
        <v>8.1000000000000003E-2</v>
      </c>
      <c r="E18" s="393">
        <v>7.2900000000000006E-2</v>
      </c>
      <c r="F18" s="384">
        <f t="shared" si="0"/>
        <v>0</v>
      </c>
      <c r="G18" s="371"/>
    </row>
    <row r="19" spans="1:7">
      <c r="A19" s="3495"/>
      <c r="B19" s="385" t="s">
        <v>559</v>
      </c>
      <c r="C19" s="394">
        <f>'表30-13'!F68</f>
        <v>0</v>
      </c>
      <c r="D19" s="389">
        <v>8.1000000000000003E-2</v>
      </c>
      <c r="E19" s="395">
        <v>7.6999999999999999E-2</v>
      </c>
      <c r="F19" s="396">
        <f t="shared" si="0"/>
        <v>0</v>
      </c>
      <c r="G19" s="371"/>
    </row>
    <row r="20" spans="1:7" ht="28.5" customHeight="1">
      <c r="A20" s="3493" t="s">
        <v>503</v>
      </c>
      <c r="B20" s="377" t="s">
        <v>557</v>
      </c>
      <c r="C20" s="390">
        <f>'表30-13'!F73</f>
        <v>0</v>
      </c>
      <c r="D20" s="379">
        <v>1.4E-2</v>
      </c>
      <c r="E20" s="391">
        <f>ROUND(D20*0.85,4)</f>
        <v>1.1900000000000001E-2</v>
      </c>
      <c r="F20" s="380">
        <f t="shared" si="0"/>
        <v>0</v>
      </c>
      <c r="G20" s="371"/>
    </row>
    <row r="21" spans="1:7">
      <c r="A21" s="3494"/>
      <c r="B21" s="381" t="s">
        <v>558</v>
      </c>
      <c r="C21" s="392">
        <f>'表30-13'!F77</f>
        <v>0</v>
      </c>
      <c r="D21" s="383">
        <v>1.4E-2</v>
      </c>
      <c r="E21" s="393">
        <f>ROUND(D21*0.9,4)</f>
        <v>1.26E-2</v>
      </c>
      <c r="F21" s="384">
        <f t="shared" si="0"/>
        <v>0</v>
      </c>
      <c r="G21" s="371"/>
    </row>
    <row r="22" spans="1:7">
      <c r="A22" s="3495"/>
      <c r="B22" s="385" t="s">
        <v>559</v>
      </c>
      <c r="C22" s="397">
        <f>'表30-13'!F81</f>
        <v>0</v>
      </c>
      <c r="D22" s="387">
        <v>1.4E-2</v>
      </c>
      <c r="E22" s="395">
        <f>ROUND(D22*0.95,4)</f>
        <v>1.3299999999999999E-2</v>
      </c>
      <c r="F22" s="388">
        <f t="shared" si="0"/>
        <v>0</v>
      </c>
      <c r="G22" s="371"/>
    </row>
    <row r="23" spans="1:7" ht="21.4" customHeight="1">
      <c r="A23" s="398" t="s">
        <v>504</v>
      </c>
      <c r="B23" s="385"/>
      <c r="C23" s="386">
        <f>SUM(C5:C22)</f>
        <v>0</v>
      </c>
      <c r="D23" s="387"/>
      <c r="E23" s="387"/>
      <c r="F23" s="388">
        <f>SUM(F5:F22)</f>
        <v>0</v>
      </c>
      <c r="G23" s="371"/>
    </row>
    <row r="24" spans="1:7">
      <c r="A24" s="372" t="s">
        <v>505</v>
      </c>
      <c r="B24" s="399"/>
      <c r="C24" s="400"/>
      <c r="D24" s="401"/>
      <c r="E24" s="401"/>
      <c r="F24" s="402"/>
      <c r="G24" s="371"/>
    </row>
    <row r="25" spans="1:7">
      <c r="A25" s="372" t="s">
        <v>506</v>
      </c>
      <c r="B25" s="399"/>
      <c r="C25" s="400">
        <f>SUM(C26:C31)</f>
        <v>0</v>
      </c>
      <c r="D25" s="401"/>
      <c r="E25" s="401"/>
      <c r="F25" s="402"/>
      <c r="G25" s="371"/>
    </row>
    <row r="26" spans="1:7">
      <c r="A26" s="3496" t="s">
        <v>507</v>
      </c>
      <c r="B26" s="377" t="s">
        <v>557</v>
      </c>
      <c r="C26" s="378">
        <f>'表30-13'!F87</f>
        <v>0</v>
      </c>
      <c r="D26" s="379">
        <v>8.1000000000000003E-2</v>
      </c>
      <c r="E26" s="389">
        <f>ROUND(D26*0.85,4)</f>
        <v>6.8900000000000003E-2</v>
      </c>
      <c r="F26" s="380">
        <f t="shared" ref="F26:F31" si="1">ROUND(C26*(D26-E26),0)</f>
        <v>0</v>
      </c>
      <c r="G26" s="371"/>
    </row>
    <row r="27" spans="1:7">
      <c r="A27" s="3497"/>
      <c r="B27" s="381" t="s">
        <v>558</v>
      </c>
      <c r="C27" s="382">
        <f>'表30-13'!F91</f>
        <v>0</v>
      </c>
      <c r="D27" s="383">
        <v>8.1000000000000003E-2</v>
      </c>
      <c r="E27" s="383">
        <f>ROUND(D27*0.9,4)</f>
        <v>7.2900000000000006E-2</v>
      </c>
      <c r="F27" s="384">
        <f t="shared" si="1"/>
        <v>0</v>
      </c>
      <c r="G27" s="371"/>
    </row>
    <row r="28" spans="1:7">
      <c r="A28" s="3498"/>
      <c r="B28" s="385" t="s">
        <v>559</v>
      </c>
      <c r="C28" s="386">
        <f>'表30-13'!F95</f>
        <v>0</v>
      </c>
      <c r="D28" s="387">
        <v>8.1000000000000003E-2</v>
      </c>
      <c r="E28" s="387">
        <f>ROUND(D28*0.95,4)</f>
        <v>7.6999999999999999E-2</v>
      </c>
      <c r="F28" s="396">
        <f t="shared" si="1"/>
        <v>0</v>
      </c>
      <c r="G28" s="371"/>
    </row>
    <row r="29" spans="1:7">
      <c r="A29" s="3493" t="s">
        <v>508</v>
      </c>
      <c r="B29" s="377" t="s">
        <v>557</v>
      </c>
      <c r="C29" s="390">
        <f>'表30-13'!F100</f>
        <v>0</v>
      </c>
      <c r="D29" s="379">
        <v>1.4E-2</v>
      </c>
      <c r="E29" s="391">
        <f>ROUND(D29*0.85,4)</f>
        <v>1.1900000000000001E-2</v>
      </c>
      <c r="F29" s="380">
        <f t="shared" si="1"/>
        <v>0</v>
      </c>
      <c r="G29" s="371"/>
    </row>
    <row r="30" spans="1:7">
      <c r="A30" s="3494"/>
      <c r="B30" s="381" t="s">
        <v>558</v>
      </c>
      <c r="C30" s="392">
        <f>'表30-13'!F104</f>
        <v>0</v>
      </c>
      <c r="D30" s="383">
        <v>1.4E-2</v>
      </c>
      <c r="E30" s="393">
        <f>ROUND(D30*0.9,4)</f>
        <v>1.26E-2</v>
      </c>
      <c r="F30" s="384">
        <f t="shared" si="1"/>
        <v>0</v>
      </c>
      <c r="G30" s="371"/>
    </row>
    <row r="31" spans="1:7">
      <c r="A31" s="3495"/>
      <c r="B31" s="385" t="s">
        <v>559</v>
      </c>
      <c r="C31" s="394">
        <f>'表30-13'!F108</f>
        <v>0</v>
      </c>
      <c r="D31" s="389">
        <v>1.4E-2</v>
      </c>
      <c r="E31" s="395">
        <f>ROUND(D31*0.95,4)</f>
        <v>1.3299999999999999E-2</v>
      </c>
      <c r="F31" s="396">
        <f t="shared" si="1"/>
        <v>0</v>
      </c>
      <c r="G31" s="371"/>
    </row>
    <row r="32" spans="1:7" ht="17.25" thickBot="1">
      <c r="A32" s="403" t="s">
        <v>509</v>
      </c>
      <c r="B32" s="404"/>
      <c r="C32" s="405">
        <f>SUM(C26:C31)</f>
        <v>0</v>
      </c>
      <c r="D32" s="406"/>
      <c r="E32" s="406"/>
      <c r="F32" s="407">
        <f>SUM(F26:F31)</f>
        <v>0</v>
      </c>
      <c r="G32" s="371"/>
    </row>
    <row r="33" spans="1:7" ht="9" customHeight="1">
      <c r="A33" s="18"/>
      <c r="B33" s="362"/>
      <c r="C33" s="408"/>
      <c r="D33" s="364"/>
      <c r="E33" s="364"/>
      <c r="F33" s="409"/>
      <c r="G33" s="18"/>
    </row>
    <row r="34" spans="1:7">
      <c r="A34" s="410" t="s">
        <v>510</v>
      </c>
    </row>
  </sheetData>
  <mergeCells count="8">
    <mergeCell ref="A20:A22"/>
    <mergeCell ref="A26:A28"/>
    <mergeCell ref="A29:A31"/>
    <mergeCell ref="A5:A7"/>
    <mergeCell ref="A8:A10"/>
    <mergeCell ref="A11:A13"/>
    <mergeCell ref="A14:A16"/>
    <mergeCell ref="A17:A19"/>
  </mergeCells>
  <phoneticPr fontId="30"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A1:G120"/>
  <sheetViews>
    <sheetView zoomScaleNormal="100" workbookViewId="0"/>
  </sheetViews>
  <sheetFormatPr defaultColWidth="15.625" defaultRowHeight="15.75"/>
  <cols>
    <col min="1" max="1" width="1.625" style="20" customWidth="1"/>
    <col min="2" max="2" width="40.625" style="20" customWidth="1"/>
    <col min="3" max="5" width="20.625" style="20" customWidth="1"/>
    <col min="6" max="16384" width="15.625" style="20"/>
  </cols>
  <sheetData>
    <row r="1" spans="1:7">
      <c r="A1" s="68" t="str">
        <f>+封面!A3&amp;" "&amp;封面!A2</f>
        <v xml:space="preserve"> 中央再保險股份有限公司 年度檢查報表</v>
      </c>
      <c r="B1" s="328"/>
      <c r="C1" s="71"/>
      <c r="D1" s="71"/>
      <c r="E1" s="40"/>
      <c r="F1" s="40"/>
    </row>
    <row r="2" spans="1:7" ht="16.5">
      <c r="B2" s="329" t="s">
        <v>3524</v>
      </c>
      <c r="C2" s="40"/>
      <c r="D2" s="40"/>
      <c r="E2" s="330" t="s">
        <v>3525</v>
      </c>
    </row>
    <row r="3" spans="1:7" ht="20.25">
      <c r="B3" s="331" t="s">
        <v>3526</v>
      </c>
      <c r="C3" s="331" t="s">
        <v>3527</v>
      </c>
      <c r="D3" s="331" t="s">
        <v>3528</v>
      </c>
      <c r="E3" s="332" t="s">
        <v>3529</v>
      </c>
    </row>
    <row r="4" spans="1:7" ht="33">
      <c r="B4" s="333" t="s">
        <v>3530</v>
      </c>
      <c r="C4" s="334">
        <f>'表30-3'!D10+'表30-3'!D16+'表30-3'!D17+'表30-3'!D21</f>
        <v>0</v>
      </c>
      <c r="D4" s="335">
        <f>IF(C11=0,0,C4/$C$11)</f>
        <v>0</v>
      </c>
      <c r="E4" s="336">
        <f t="shared" ref="E4:E10" si="0">D4^2</f>
        <v>0</v>
      </c>
    </row>
    <row r="5" spans="1:7" ht="16.5">
      <c r="B5" s="337" t="s">
        <v>3531</v>
      </c>
      <c r="C5" s="338">
        <f>'表30-3'!D90+'表30-3'!D133</f>
        <v>0</v>
      </c>
      <c r="D5" s="339">
        <f>IF(C11=0,0,C5/$C$11)</f>
        <v>0</v>
      </c>
      <c r="E5" s="340">
        <f t="shared" si="0"/>
        <v>0</v>
      </c>
    </row>
    <row r="6" spans="1:7" ht="33">
      <c r="B6" s="337" t="s">
        <v>3532</v>
      </c>
      <c r="C6" s="338">
        <f>'表30-3'!D91+'表30-3'!D134+'表30-3'!D93+'表30-3'!D136</f>
        <v>0</v>
      </c>
      <c r="D6" s="339">
        <f>IF(C11=0,0,C6/$C$11)</f>
        <v>0</v>
      </c>
      <c r="E6" s="340">
        <f t="shared" si="0"/>
        <v>0</v>
      </c>
    </row>
    <row r="7" spans="1:7" ht="16.5">
      <c r="B7" s="337" t="s">
        <v>3533</v>
      </c>
      <c r="C7" s="338">
        <f>'表30-3'!D26+'表30-3'!D39+'表30-3'!D45+'表30-3'!D49</f>
        <v>0</v>
      </c>
      <c r="D7" s="339">
        <f>IF(C11=0,0,C7/$C$11)</f>
        <v>0</v>
      </c>
      <c r="E7" s="340">
        <f t="shared" si="0"/>
        <v>0</v>
      </c>
    </row>
    <row r="8" spans="1:7" ht="33">
      <c r="B8" s="337" t="s">
        <v>3534</v>
      </c>
      <c r="C8" s="338">
        <f>SUM('表30-3'!D139,'表30-3'!D96,'表30-3'!D101,'表30-3'!D144,'表30-3'!D117:D120,'表30-3'!D159:D162,'表30-3'!D92,'表30-3'!D135)</f>
        <v>0</v>
      </c>
      <c r="D8" s="339">
        <f>IF(C11=0,0,C8/$C$11)</f>
        <v>0</v>
      </c>
      <c r="E8" s="340">
        <f t="shared" si="0"/>
        <v>0</v>
      </c>
    </row>
    <row r="9" spans="1:7" ht="16.5">
      <c r="B9" s="337" t="s">
        <v>3535</v>
      </c>
      <c r="C9" s="338">
        <f>'表30-3'!D50+'表30-3'!D113+'表30-3'!D155</f>
        <v>0</v>
      </c>
      <c r="D9" s="339">
        <f>IF(C11=0,0,C9/$C$11)</f>
        <v>0</v>
      </c>
      <c r="E9" s="340">
        <f t="shared" si="0"/>
        <v>0</v>
      </c>
    </row>
    <row r="10" spans="1:7" ht="16.5">
      <c r="B10" s="337" t="s">
        <v>3536</v>
      </c>
      <c r="C10" s="338">
        <f>'表30-3'!D63+'表30-3'!D110+'表30-3'!D152</f>
        <v>0</v>
      </c>
      <c r="D10" s="339">
        <f>IF(C11=0,0,C10/$C$11)</f>
        <v>0</v>
      </c>
      <c r="E10" s="340">
        <f t="shared" si="0"/>
        <v>0</v>
      </c>
    </row>
    <row r="11" spans="1:7" ht="17.25" thickBot="1">
      <c r="B11" s="341" t="s">
        <v>3537</v>
      </c>
      <c r="C11" s="342">
        <f>SUM(C4:C10)</f>
        <v>0</v>
      </c>
      <c r="D11" s="343"/>
      <c r="E11" s="344">
        <f>SUM(E4:E10)</f>
        <v>0</v>
      </c>
    </row>
    <row r="12" spans="1:7" ht="16.5" thickTop="1">
      <c r="B12" s="345" t="s">
        <v>1378</v>
      </c>
      <c r="C12" s="346"/>
      <c r="D12" s="347"/>
      <c r="E12" s="348">
        <f>VLOOKUP($E$11,D16:E21,2)</f>
        <v>1</v>
      </c>
      <c r="F12" s="349"/>
    </row>
    <row r="13" spans="1:7">
      <c r="B13" s="350"/>
      <c r="C13" s="40"/>
      <c r="D13" s="40"/>
      <c r="E13" s="40"/>
      <c r="F13" s="40"/>
    </row>
    <row r="14" spans="1:7">
      <c r="B14" s="350"/>
      <c r="C14" s="3499" t="s">
        <v>3538</v>
      </c>
      <c r="D14" s="3499"/>
      <c r="E14" s="3499"/>
      <c r="F14" s="40"/>
    </row>
    <row r="15" spans="1:7" ht="16.5">
      <c r="B15" s="350"/>
      <c r="C15" s="351" t="s">
        <v>92</v>
      </c>
      <c r="D15" s="352" t="s">
        <v>3539</v>
      </c>
      <c r="E15" s="331" t="s">
        <v>3540</v>
      </c>
      <c r="F15" s="40"/>
    </row>
    <row r="16" spans="1:7" ht="33">
      <c r="B16" s="350"/>
      <c r="C16" s="353" t="s">
        <v>3541</v>
      </c>
      <c r="D16" s="336">
        <v>0</v>
      </c>
      <c r="E16" s="336">
        <v>1</v>
      </c>
      <c r="F16" s="354"/>
      <c r="G16" s="355"/>
    </row>
    <row r="17" spans="2:7" ht="16.5">
      <c r="B17" s="350"/>
      <c r="C17" s="356" t="s">
        <v>3542</v>
      </c>
      <c r="D17" s="357">
        <f>1/6</f>
        <v>0.16666666666666666</v>
      </c>
      <c r="E17" s="357">
        <v>1.0149999999999999</v>
      </c>
      <c r="F17" s="355"/>
      <c r="G17" s="355"/>
    </row>
    <row r="18" spans="2:7" ht="16.5">
      <c r="B18" s="350"/>
      <c r="C18" s="356" t="s">
        <v>3543</v>
      </c>
      <c r="D18" s="357">
        <f>1/5</f>
        <v>0.2</v>
      </c>
      <c r="E18" s="357">
        <v>1.02</v>
      </c>
      <c r="F18" s="355"/>
      <c r="G18" s="355"/>
    </row>
    <row r="19" spans="2:7" ht="16.5">
      <c r="B19" s="350"/>
      <c r="C19" s="358" t="s">
        <v>3544</v>
      </c>
      <c r="D19" s="340">
        <f>1/4</f>
        <v>0.25</v>
      </c>
      <c r="E19" s="340">
        <v>1.04</v>
      </c>
      <c r="F19" s="355"/>
      <c r="G19" s="355"/>
    </row>
    <row r="20" spans="2:7" ht="16.5">
      <c r="B20" s="350"/>
      <c r="C20" s="358" t="s">
        <v>3545</v>
      </c>
      <c r="D20" s="340">
        <f>1/3</f>
        <v>0.33333333333333331</v>
      </c>
      <c r="E20" s="340">
        <v>1.08</v>
      </c>
      <c r="F20" s="355"/>
      <c r="G20" s="355"/>
    </row>
    <row r="21" spans="2:7" ht="16.5">
      <c r="B21" s="350"/>
      <c r="C21" s="359" t="s">
        <v>3546</v>
      </c>
      <c r="D21" s="360">
        <f>1/2</f>
        <v>0.5</v>
      </c>
      <c r="E21" s="360">
        <v>1.1599999999999999</v>
      </c>
      <c r="F21" s="355"/>
      <c r="G21" s="355"/>
    </row>
    <row r="22" spans="2:7">
      <c r="B22" s="350"/>
      <c r="C22" s="40"/>
      <c r="D22" s="40"/>
      <c r="E22" s="40"/>
      <c r="F22" s="40"/>
    </row>
    <row r="120" spans="7:7">
      <c r="G120" s="361"/>
    </row>
  </sheetData>
  <mergeCells count="1">
    <mergeCell ref="C14:E14"/>
  </mergeCells>
  <phoneticPr fontId="30"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E151"/>
  <sheetViews>
    <sheetView showGridLines="0" view="pageBreakPreview" zoomScaleNormal="100" zoomScaleSheetLayoutView="100" workbookViewId="0">
      <selection activeCell="A142" sqref="A142:XFD142"/>
    </sheetView>
  </sheetViews>
  <sheetFormatPr defaultColWidth="8.875" defaultRowHeight="14.25"/>
  <cols>
    <col min="1" max="1" width="47.625" style="283" customWidth="1"/>
    <col min="2" max="2" width="24" style="284" customWidth="1"/>
    <col min="3" max="3" width="24" style="281" customWidth="1"/>
    <col min="4" max="4" width="24" style="285" customWidth="1"/>
    <col min="5" max="5" width="24" style="19" customWidth="1"/>
    <col min="6" max="16384" width="8.875" style="19"/>
  </cols>
  <sheetData>
    <row r="1" spans="1:4">
      <c r="A1" s="36" t="str">
        <f>+封面!A3&amp;" "&amp;封面!A2</f>
        <v xml:space="preserve"> 中央再保險股份有限公司 年度檢查報表</v>
      </c>
      <c r="B1" s="280"/>
      <c r="D1" s="282"/>
    </row>
    <row r="2" spans="1:4">
      <c r="A2" s="283" t="s">
        <v>451</v>
      </c>
    </row>
    <row r="3" spans="1:4" ht="15" thickBot="1">
      <c r="A3" s="282" t="s">
        <v>452</v>
      </c>
      <c r="D3" s="286" t="s">
        <v>258</v>
      </c>
    </row>
    <row r="4" spans="1:4" ht="16.5">
      <c r="A4" s="287" t="s">
        <v>453</v>
      </c>
      <c r="B4" s="288" t="s">
        <v>182</v>
      </c>
      <c r="C4" s="2184" t="s">
        <v>3516</v>
      </c>
      <c r="D4" s="289" t="s">
        <v>3517</v>
      </c>
    </row>
    <row r="5" spans="1:4">
      <c r="A5" s="290" t="s">
        <v>231</v>
      </c>
      <c r="B5" s="291">
        <f>B6+B48</f>
        <v>0</v>
      </c>
      <c r="C5" s="292">
        <f>C6+C48</f>
        <v>0</v>
      </c>
      <c r="D5" s="293">
        <f>D6+D48</f>
        <v>0</v>
      </c>
    </row>
    <row r="6" spans="1:4">
      <c r="A6" s="294" t="s">
        <v>698</v>
      </c>
      <c r="B6" s="291">
        <f>B7+B39</f>
        <v>0</v>
      </c>
      <c r="C6" s="295">
        <f>C7+C39</f>
        <v>0</v>
      </c>
      <c r="D6" s="296">
        <f>D7+D39</f>
        <v>0</v>
      </c>
    </row>
    <row r="7" spans="1:4">
      <c r="A7" s="297" t="s">
        <v>699</v>
      </c>
      <c r="B7" s="291">
        <f>SUM(B8:B38)</f>
        <v>0</v>
      </c>
      <c r="C7" s="295">
        <f>SUM(C8:C38)</f>
        <v>0</v>
      </c>
      <c r="D7" s="296">
        <f>SUM(D8:D38)</f>
        <v>0</v>
      </c>
    </row>
    <row r="8" spans="1:4">
      <c r="A8" s="298" t="s">
        <v>700</v>
      </c>
      <c r="B8" s="291">
        <f>'表30-5'!C8</f>
        <v>0</v>
      </c>
      <c r="C8" s="295">
        <f>IF($B$70=0,0,B8/$B$70)</f>
        <v>0</v>
      </c>
      <c r="D8" s="296">
        <f t="shared" ref="D8:D37" si="0">C8^2</f>
        <v>0</v>
      </c>
    </row>
    <row r="9" spans="1:4">
      <c r="A9" s="298" t="s">
        <v>701</v>
      </c>
      <c r="B9" s="291">
        <f>'表30-5'!C9</f>
        <v>0</v>
      </c>
      <c r="C9" s="295">
        <f t="shared" ref="C9:C47" si="1">IF($B$70=0,0,B9/$B$70)</f>
        <v>0</v>
      </c>
      <c r="D9" s="296">
        <f t="shared" si="0"/>
        <v>0</v>
      </c>
    </row>
    <row r="10" spans="1:4">
      <c r="A10" s="298" t="s">
        <v>702</v>
      </c>
      <c r="B10" s="291">
        <f>'表30-5'!C10</f>
        <v>0</v>
      </c>
      <c r="C10" s="295">
        <f t="shared" si="1"/>
        <v>0</v>
      </c>
      <c r="D10" s="296">
        <f t="shared" si="0"/>
        <v>0</v>
      </c>
    </row>
    <row r="11" spans="1:4">
      <c r="A11" s="298" t="s">
        <v>703</v>
      </c>
      <c r="B11" s="291">
        <f>'表30-5'!C11</f>
        <v>0</v>
      </c>
      <c r="C11" s="295">
        <f t="shared" si="1"/>
        <v>0</v>
      </c>
      <c r="D11" s="296">
        <f t="shared" si="0"/>
        <v>0</v>
      </c>
    </row>
    <row r="12" spans="1:4">
      <c r="A12" s="298" t="s">
        <v>704</v>
      </c>
      <c r="B12" s="291">
        <f>'表30-5'!C12</f>
        <v>0</v>
      </c>
      <c r="C12" s="295">
        <f t="shared" si="1"/>
        <v>0</v>
      </c>
      <c r="D12" s="296">
        <f t="shared" si="0"/>
        <v>0</v>
      </c>
    </row>
    <row r="13" spans="1:4">
      <c r="A13" s="298" t="s">
        <v>705</v>
      </c>
      <c r="B13" s="291">
        <f>'表30-5'!C13</f>
        <v>0</v>
      </c>
      <c r="C13" s="295">
        <f t="shared" si="1"/>
        <v>0</v>
      </c>
      <c r="D13" s="296">
        <f t="shared" si="0"/>
        <v>0</v>
      </c>
    </row>
    <row r="14" spans="1:4">
      <c r="A14" s="298" t="s">
        <v>706</v>
      </c>
      <c r="B14" s="291">
        <f>'表30-5'!C14</f>
        <v>0</v>
      </c>
      <c r="C14" s="295">
        <f t="shared" si="1"/>
        <v>0</v>
      </c>
      <c r="D14" s="296">
        <f t="shared" si="0"/>
        <v>0</v>
      </c>
    </row>
    <row r="15" spans="1:4">
      <c r="A15" s="298" t="s">
        <v>707</v>
      </c>
      <c r="B15" s="291">
        <f>'表30-5'!C15</f>
        <v>0</v>
      </c>
      <c r="C15" s="295">
        <f t="shared" si="1"/>
        <v>0</v>
      </c>
      <c r="D15" s="296">
        <f t="shared" si="0"/>
        <v>0</v>
      </c>
    </row>
    <row r="16" spans="1:4">
      <c r="A16" s="298" t="s">
        <v>708</v>
      </c>
      <c r="B16" s="291">
        <f>'表30-5'!C16</f>
        <v>0</v>
      </c>
      <c r="C16" s="295">
        <f t="shared" si="1"/>
        <v>0</v>
      </c>
      <c r="D16" s="296">
        <f t="shared" si="0"/>
        <v>0</v>
      </c>
    </row>
    <row r="17" spans="1:4">
      <c r="A17" s="298" t="s">
        <v>709</v>
      </c>
      <c r="B17" s="291">
        <f>'表30-5'!C17</f>
        <v>0</v>
      </c>
      <c r="C17" s="295">
        <f t="shared" si="1"/>
        <v>0</v>
      </c>
      <c r="D17" s="296">
        <f t="shared" si="0"/>
        <v>0</v>
      </c>
    </row>
    <row r="18" spans="1:4">
      <c r="A18" s="298" t="s">
        <v>710</v>
      </c>
      <c r="B18" s="291">
        <f>'表30-5'!C18</f>
        <v>0</v>
      </c>
      <c r="C18" s="295">
        <f t="shared" si="1"/>
        <v>0</v>
      </c>
      <c r="D18" s="296">
        <f t="shared" si="0"/>
        <v>0</v>
      </c>
    </row>
    <row r="19" spans="1:4">
      <c r="A19" s="298" t="s">
        <v>711</v>
      </c>
      <c r="B19" s="291">
        <f>'表30-5'!C19</f>
        <v>0</v>
      </c>
      <c r="C19" s="295">
        <f t="shared" si="1"/>
        <v>0</v>
      </c>
      <c r="D19" s="296">
        <f t="shared" si="0"/>
        <v>0</v>
      </c>
    </row>
    <row r="20" spans="1:4">
      <c r="A20" s="298" t="s">
        <v>712</v>
      </c>
      <c r="B20" s="291">
        <f>'表30-5'!C20</f>
        <v>0</v>
      </c>
      <c r="C20" s="295">
        <f t="shared" si="1"/>
        <v>0</v>
      </c>
      <c r="D20" s="296">
        <f t="shared" si="0"/>
        <v>0</v>
      </c>
    </row>
    <row r="21" spans="1:4">
      <c r="A21" s="298" t="s">
        <v>713</v>
      </c>
      <c r="B21" s="291">
        <f>'表30-5'!C21</f>
        <v>0</v>
      </c>
      <c r="C21" s="295">
        <f t="shared" si="1"/>
        <v>0</v>
      </c>
      <c r="D21" s="296">
        <f t="shared" si="0"/>
        <v>0</v>
      </c>
    </row>
    <row r="22" spans="1:4">
      <c r="A22" s="298" t="s">
        <v>714</v>
      </c>
      <c r="B22" s="291">
        <f>'表30-5'!C22</f>
        <v>0</v>
      </c>
      <c r="C22" s="295">
        <f t="shared" si="1"/>
        <v>0</v>
      </c>
      <c r="D22" s="296">
        <f t="shared" si="0"/>
        <v>0</v>
      </c>
    </row>
    <row r="23" spans="1:4">
      <c r="A23" s="298" t="s">
        <v>715</v>
      </c>
      <c r="B23" s="291">
        <f>'表30-5'!C23</f>
        <v>0</v>
      </c>
      <c r="C23" s="295">
        <f t="shared" si="1"/>
        <v>0</v>
      </c>
      <c r="D23" s="296">
        <f t="shared" si="0"/>
        <v>0</v>
      </c>
    </row>
    <row r="24" spans="1:4">
      <c r="A24" s="298" t="s">
        <v>716</v>
      </c>
      <c r="B24" s="291">
        <f>'表30-5'!C24</f>
        <v>0</v>
      </c>
      <c r="C24" s="295">
        <f t="shared" si="1"/>
        <v>0</v>
      </c>
      <c r="D24" s="296">
        <f t="shared" si="0"/>
        <v>0</v>
      </c>
    </row>
    <row r="25" spans="1:4">
      <c r="A25" s="298" t="s">
        <v>717</v>
      </c>
      <c r="B25" s="291">
        <f>'表30-5'!C25</f>
        <v>0</v>
      </c>
      <c r="C25" s="295">
        <f t="shared" si="1"/>
        <v>0</v>
      </c>
      <c r="D25" s="296">
        <f t="shared" si="0"/>
        <v>0</v>
      </c>
    </row>
    <row r="26" spans="1:4">
      <c r="A26" s="298" t="s">
        <v>718</v>
      </c>
      <c r="B26" s="291">
        <f>'表30-5'!C26</f>
        <v>0</v>
      </c>
      <c r="C26" s="295">
        <f t="shared" si="1"/>
        <v>0</v>
      </c>
      <c r="D26" s="296">
        <f t="shared" si="0"/>
        <v>0</v>
      </c>
    </row>
    <row r="27" spans="1:4">
      <c r="A27" s="298" t="s">
        <v>719</v>
      </c>
      <c r="B27" s="291">
        <f>'表30-5'!C27</f>
        <v>0</v>
      </c>
      <c r="C27" s="295">
        <f t="shared" si="1"/>
        <v>0</v>
      </c>
      <c r="D27" s="296">
        <f t="shared" si="0"/>
        <v>0</v>
      </c>
    </row>
    <row r="28" spans="1:4">
      <c r="A28" s="298" t="s">
        <v>720</v>
      </c>
      <c r="B28" s="291">
        <f>'表30-5'!C28</f>
        <v>0</v>
      </c>
      <c r="C28" s="295">
        <f t="shared" si="1"/>
        <v>0</v>
      </c>
      <c r="D28" s="296">
        <f t="shared" si="0"/>
        <v>0</v>
      </c>
    </row>
    <row r="29" spans="1:4">
      <c r="A29" s="298" t="s">
        <v>721</v>
      </c>
      <c r="B29" s="291">
        <f>'表30-5'!C29</f>
        <v>0</v>
      </c>
      <c r="C29" s="295">
        <f t="shared" si="1"/>
        <v>0</v>
      </c>
      <c r="D29" s="296">
        <f t="shared" si="0"/>
        <v>0</v>
      </c>
    </row>
    <row r="30" spans="1:4">
      <c r="A30" s="298" t="s">
        <v>722</v>
      </c>
      <c r="B30" s="291">
        <f>'表30-5'!C30</f>
        <v>0</v>
      </c>
      <c r="C30" s="295">
        <f t="shared" si="1"/>
        <v>0</v>
      </c>
      <c r="D30" s="296">
        <f t="shared" si="0"/>
        <v>0</v>
      </c>
    </row>
    <row r="31" spans="1:4">
      <c r="A31" s="298" t="s">
        <v>723</v>
      </c>
      <c r="B31" s="291">
        <f>'表30-5'!C31</f>
        <v>0</v>
      </c>
      <c r="C31" s="295">
        <f t="shared" si="1"/>
        <v>0</v>
      </c>
      <c r="D31" s="296">
        <f t="shared" si="0"/>
        <v>0</v>
      </c>
    </row>
    <row r="32" spans="1:4">
      <c r="A32" s="298" t="s">
        <v>724</v>
      </c>
      <c r="B32" s="291">
        <f>'表30-5'!C32</f>
        <v>0</v>
      </c>
      <c r="C32" s="295">
        <f t="shared" si="1"/>
        <v>0</v>
      </c>
      <c r="D32" s="296">
        <f t="shared" si="0"/>
        <v>0</v>
      </c>
    </row>
    <row r="33" spans="1:4">
      <c r="A33" s="298" t="s">
        <v>725</v>
      </c>
      <c r="B33" s="291">
        <f>'表30-5'!C33</f>
        <v>0</v>
      </c>
      <c r="C33" s="295">
        <f t="shared" si="1"/>
        <v>0</v>
      </c>
      <c r="D33" s="296">
        <f t="shared" si="0"/>
        <v>0</v>
      </c>
    </row>
    <row r="34" spans="1:4">
      <c r="A34" s="298" t="s">
        <v>726</v>
      </c>
      <c r="B34" s="291">
        <f>'表30-5'!C34</f>
        <v>0</v>
      </c>
      <c r="C34" s="295">
        <f t="shared" si="1"/>
        <v>0</v>
      </c>
      <c r="D34" s="296">
        <f t="shared" si="0"/>
        <v>0</v>
      </c>
    </row>
    <row r="35" spans="1:4">
      <c r="A35" s="298" t="s">
        <v>727</v>
      </c>
      <c r="B35" s="291">
        <f>'表30-5'!C35</f>
        <v>0</v>
      </c>
      <c r="C35" s="295">
        <f t="shared" si="1"/>
        <v>0</v>
      </c>
      <c r="D35" s="296">
        <f t="shared" si="0"/>
        <v>0</v>
      </c>
    </row>
    <row r="36" spans="1:4">
      <c r="A36" s="298" t="s">
        <v>728</v>
      </c>
      <c r="B36" s="291">
        <f>'表30-5'!C36</f>
        <v>0</v>
      </c>
      <c r="C36" s="295">
        <f t="shared" si="1"/>
        <v>0</v>
      </c>
      <c r="D36" s="296">
        <f>C36^2</f>
        <v>0</v>
      </c>
    </row>
    <row r="37" spans="1:4">
      <c r="A37" s="298" t="s">
        <v>729</v>
      </c>
      <c r="B37" s="291">
        <f>'表30-5'!C37</f>
        <v>0</v>
      </c>
      <c r="C37" s="295">
        <f t="shared" si="1"/>
        <v>0</v>
      </c>
      <c r="D37" s="296">
        <f t="shared" si="0"/>
        <v>0</v>
      </c>
    </row>
    <row r="38" spans="1:4">
      <c r="A38" s="298" t="s">
        <v>4988</v>
      </c>
      <c r="B38" s="291">
        <f>'表30-5'!C38</f>
        <v>0</v>
      </c>
      <c r="C38" s="295">
        <f t="shared" ref="C38" si="2">IF($B$70=0,0,B38/$B$70)</f>
        <v>0</v>
      </c>
      <c r="D38" s="296">
        <f t="shared" ref="D38" si="3">C38^2</f>
        <v>0</v>
      </c>
    </row>
    <row r="39" spans="1:4">
      <c r="A39" s="297" t="s">
        <v>730</v>
      </c>
      <c r="B39" s="291">
        <f>SUM(B40:B47)</f>
        <v>0</v>
      </c>
      <c r="C39" s="295">
        <f>SUM(C40:C47)</f>
        <v>0</v>
      </c>
      <c r="D39" s="296">
        <f>SUM(D40:D47)</f>
        <v>0</v>
      </c>
    </row>
    <row r="40" spans="1:4">
      <c r="A40" s="298" t="s">
        <v>742</v>
      </c>
      <c r="B40" s="291">
        <f>'表30-5'!C40</f>
        <v>0</v>
      </c>
      <c r="C40" s="295">
        <f t="shared" si="1"/>
        <v>0</v>
      </c>
      <c r="D40" s="296">
        <f t="shared" ref="D40:D47" si="4">C40^2</f>
        <v>0</v>
      </c>
    </row>
    <row r="41" spans="1:4">
      <c r="A41" s="298" t="s">
        <v>743</v>
      </c>
      <c r="B41" s="291">
        <f>'表30-5'!C41</f>
        <v>0</v>
      </c>
      <c r="C41" s="295">
        <f t="shared" si="1"/>
        <v>0</v>
      </c>
      <c r="D41" s="296">
        <f t="shared" si="4"/>
        <v>0</v>
      </c>
    </row>
    <row r="42" spans="1:4">
      <c r="A42" s="298" t="s">
        <v>744</v>
      </c>
      <c r="B42" s="291">
        <f>'表30-5'!C42</f>
        <v>0</v>
      </c>
      <c r="C42" s="295">
        <f t="shared" si="1"/>
        <v>0</v>
      </c>
      <c r="D42" s="296">
        <f t="shared" si="4"/>
        <v>0</v>
      </c>
    </row>
    <row r="43" spans="1:4">
      <c r="A43" s="298" t="s">
        <v>745</v>
      </c>
      <c r="B43" s="291">
        <f>'表30-5'!C43</f>
        <v>0</v>
      </c>
      <c r="C43" s="295">
        <f t="shared" si="1"/>
        <v>0</v>
      </c>
      <c r="D43" s="296">
        <f t="shared" si="4"/>
        <v>0</v>
      </c>
    </row>
    <row r="44" spans="1:4">
      <c r="A44" s="298" t="s">
        <v>746</v>
      </c>
      <c r="B44" s="291">
        <f>'表30-5'!C44</f>
        <v>0</v>
      </c>
      <c r="C44" s="295">
        <f t="shared" si="1"/>
        <v>0</v>
      </c>
      <c r="D44" s="296">
        <f t="shared" si="4"/>
        <v>0</v>
      </c>
    </row>
    <row r="45" spans="1:4">
      <c r="A45" s="298" t="s">
        <v>747</v>
      </c>
      <c r="B45" s="291">
        <f>'表30-5'!C45</f>
        <v>0</v>
      </c>
      <c r="C45" s="295">
        <f t="shared" si="1"/>
        <v>0</v>
      </c>
      <c r="D45" s="296">
        <f t="shared" si="4"/>
        <v>0</v>
      </c>
    </row>
    <row r="46" spans="1:4">
      <c r="A46" s="298" t="s">
        <v>748</v>
      </c>
      <c r="B46" s="291">
        <f>'表30-5'!C46</f>
        <v>0</v>
      </c>
      <c r="C46" s="295">
        <f t="shared" si="1"/>
        <v>0</v>
      </c>
      <c r="D46" s="296">
        <f t="shared" si="4"/>
        <v>0</v>
      </c>
    </row>
    <row r="47" spans="1:4">
      <c r="A47" s="298" t="s">
        <v>749</v>
      </c>
      <c r="B47" s="291">
        <f>'表30-5'!C47</f>
        <v>0</v>
      </c>
      <c r="C47" s="295">
        <f t="shared" si="1"/>
        <v>0</v>
      </c>
      <c r="D47" s="296">
        <f t="shared" si="4"/>
        <v>0</v>
      </c>
    </row>
    <row r="48" spans="1:4">
      <c r="A48" s="294" t="s">
        <v>731</v>
      </c>
      <c r="B48" s="291">
        <f>B49+B57</f>
        <v>0</v>
      </c>
      <c r="C48" s="295">
        <f>C49+C57</f>
        <v>0</v>
      </c>
      <c r="D48" s="296">
        <f>D49+D57</f>
        <v>0</v>
      </c>
    </row>
    <row r="49" spans="1:4">
      <c r="A49" s="297" t="s">
        <v>732</v>
      </c>
      <c r="B49" s="291">
        <f>SUM(B50:B53,B55:B56)</f>
        <v>0</v>
      </c>
      <c r="C49" s="295">
        <f>SUM(C50:C53,C55:C56)</f>
        <v>0</v>
      </c>
      <c r="D49" s="296">
        <f>SUM(D50:D53,D55:D56)</f>
        <v>0</v>
      </c>
    </row>
    <row r="50" spans="1:4">
      <c r="A50" s="298" t="s">
        <v>750</v>
      </c>
      <c r="B50" s="291">
        <f>'表30-5'!C50</f>
        <v>0</v>
      </c>
      <c r="C50" s="295">
        <f t="shared" ref="C50:C56" si="5">IF($B$70=0,0,B50/$B$70)</f>
        <v>0</v>
      </c>
      <c r="D50" s="296">
        <f t="shared" ref="D50:D56" si="6">C50^2</f>
        <v>0</v>
      </c>
    </row>
    <row r="51" spans="1:4">
      <c r="A51" s="298" t="s">
        <v>751</v>
      </c>
      <c r="B51" s="291">
        <f>'表30-5'!C51</f>
        <v>0</v>
      </c>
      <c r="C51" s="295">
        <f t="shared" si="5"/>
        <v>0</v>
      </c>
      <c r="D51" s="296">
        <f t="shared" si="6"/>
        <v>0</v>
      </c>
    </row>
    <row r="52" spans="1:4">
      <c r="A52" s="298" t="s">
        <v>1177</v>
      </c>
      <c r="B52" s="291">
        <f>'表30-5'!C52</f>
        <v>0</v>
      </c>
      <c r="C52" s="295">
        <f t="shared" si="5"/>
        <v>0</v>
      </c>
      <c r="D52" s="296">
        <f t="shared" si="6"/>
        <v>0</v>
      </c>
    </row>
    <row r="53" spans="1:4">
      <c r="A53" s="298" t="s">
        <v>752</v>
      </c>
      <c r="B53" s="291">
        <f>'表30-5'!C53</f>
        <v>0</v>
      </c>
      <c r="C53" s="295">
        <f t="shared" si="5"/>
        <v>0</v>
      </c>
      <c r="D53" s="296">
        <f t="shared" si="6"/>
        <v>0</v>
      </c>
    </row>
    <row r="54" spans="1:4">
      <c r="A54" s="298" t="s">
        <v>753</v>
      </c>
      <c r="B54" s="291">
        <f>'表30-5'!C54</f>
        <v>0</v>
      </c>
      <c r="C54" s="295">
        <f t="shared" si="5"/>
        <v>0</v>
      </c>
      <c r="D54" s="296">
        <f t="shared" si="6"/>
        <v>0</v>
      </c>
    </row>
    <row r="55" spans="1:4">
      <c r="A55" s="298" t="s">
        <v>1049</v>
      </c>
      <c r="B55" s="291">
        <f>'表30-5'!C55</f>
        <v>0</v>
      </c>
      <c r="C55" s="295">
        <f t="shared" si="5"/>
        <v>0</v>
      </c>
      <c r="D55" s="296">
        <f t="shared" si="6"/>
        <v>0</v>
      </c>
    </row>
    <row r="56" spans="1:4">
      <c r="A56" s="298" t="s">
        <v>1050</v>
      </c>
      <c r="B56" s="291">
        <f>'表30-5'!C56</f>
        <v>0</v>
      </c>
      <c r="C56" s="295">
        <f t="shared" si="5"/>
        <v>0</v>
      </c>
      <c r="D56" s="296">
        <f t="shared" si="6"/>
        <v>0</v>
      </c>
    </row>
    <row r="57" spans="1:4">
      <c r="A57" s="297" t="s">
        <v>733</v>
      </c>
      <c r="B57" s="291">
        <f>SUM(B58:B61)</f>
        <v>0</v>
      </c>
      <c r="C57" s="295">
        <f>SUM(C58:C61)</f>
        <v>0</v>
      </c>
      <c r="D57" s="296">
        <f>SUM(D58:D61)</f>
        <v>0</v>
      </c>
    </row>
    <row r="58" spans="1:4">
      <c r="A58" s="298" t="s">
        <v>754</v>
      </c>
      <c r="B58" s="291">
        <f>'表30-5'!C58</f>
        <v>0</v>
      </c>
      <c r="C58" s="295">
        <f t="shared" ref="C58:C62" si="7">IF($B$70=0,0,B58/$B$70)</f>
        <v>0</v>
      </c>
      <c r="D58" s="296">
        <f>C58^2</f>
        <v>0</v>
      </c>
    </row>
    <row r="59" spans="1:4">
      <c r="A59" s="298" t="s">
        <v>755</v>
      </c>
      <c r="B59" s="291">
        <f>'表30-5'!C59</f>
        <v>0</v>
      </c>
      <c r="C59" s="295">
        <f t="shared" si="7"/>
        <v>0</v>
      </c>
      <c r="D59" s="296">
        <f>C59^2</f>
        <v>0</v>
      </c>
    </row>
    <row r="60" spans="1:4">
      <c r="A60" s="298" t="s">
        <v>1178</v>
      </c>
      <c r="B60" s="291">
        <f>'表30-5'!C60</f>
        <v>0</v>
      </c>
      <c r="C60" s="295">
        <f t="shared" si="7"/>
        <v>0</v>
      </c>
      <c r="D60" s="296">
        <f>C60^2</f>
        <v>0</v>
      </c>
    </row>
    <row r="61" spans="1:4">
      <c r="A61" s="298" t="s">
        <v>756</v>
      </c>
      <c r="B61" s="291">
        <f>'表30-5'!C61</f>
        <v>0</v>
      </c>
      <c r="C61" s="295">
        <f t="shared" si="7"/>
        <v>0</v>
      </c>
      <c r="D61" s="296">
        <f>C61^2</f>
        <v>0</v>
      </c>
    </row>
    <row r="62" spans="1:4">
      <c r="A62" s="298" t="s">
        <v>757</v>
      </c>
      <c r="B62" s="291">
        <f>'表30-5'!C62</f>
        <v>0</v>
      </c>
      <c r="C62" s="295">
        <f t="shared" si="7"/>
        <v>0</v>
      </c>
      <c r="D62" s="296">
        <f>C62^2</f>
        <v>0</v>
      </c>
    </row>
    <row r="63" spans="1:4">
      <c r="A63" s="290" t="s">
        <v>250</v>
      </c>
      <c r="B63" s="291">
        <f>B64+B67</f>
        <v>0</v>
      </c>
      <c r="C63" s="295">
        <f>C64+C67</f>
        <v>0</v>
      </c>
      <c r="D63" s="296">
        <f>D64+D67</f>
        <v>0</v>
      </c>
    </row>
    <row r="64" spans="1:4">
      <c r="A64" s="294" t="s">
        <v>734</v>
      </c>
      <c r="B64" s="291">
        <f>SUM(B65:B66)</f>
        <v>0</v>
      </c>
      <c r="C64" s="295">
        <f>SUM(C65:C66)</f>
        <v>0</v>
      </c>
      <c r="D64" s="296">
        <f>SUM(D65:D66)</f>
        <v>0</v>
      </c>
    </row>
    <row r="65" spans="1:5">
      <c r="A65" s="297" t="s">
        <v>758</v>
      </c>
      <c r="B65" s="291">
        <f>'表30-5'!C65</f>
        <v>0</v>
      </c>
      <c r="C65" s="295">
        <f t="shared" ref="C65:C66" si="8">IF($B$70=0,0,B65/$B$70)</f>
        <v>0</v>
      </c>
      <c r="D65" s="296">
        <f>C65^2</f>
        <v>0</v>
      </c>
    </row>
    <row r="66" spans="1:5">
      <c r="A66" s="297" t="s">
        <v>759</v>
      </c>
      <c r="B66" s="291">
        <f>'表30-5'!C66</f>
        <v>0</v>
      </c>
      <c r="C66" s="295">
        <f t="shared" si="8"/>
        <v>0</v>
      </c>
      <c r="D66" s="296">
        <f>C66^2</f>
        <v>0</v>
      </c>
    </row>
    <row r="67" spans="1:5">
      <c r="A67" s="294" t="s">
        <v>735</v>
      </c>
      <c r="B67" s="291">
        <f>SUM(B68:B69)</f>
        <v>0</v>
      </c>
      <c r="C67" s="295">
        <f>SUM(C68:C69)</f>
        <v>0</v>
      </c>
      <c r="D67" s="296">
        <f>SUM(D68:D69)</f>
        <v>0</v>
      </c>
    </row>
    <row r="68" spans="1:5">
      <c r="A68" s="297" t="s">
        <v>760</v>
      </c>
      <c r="B68" s="291">
        <f>'表30-5'!C68</f>
        <v>0</v>
      </c>
      <c r="C68" s="295">
        <f>IF($B$70=0,0,B68/$B$70)</f>
        <v>0</v>
      </c>
      <c r="D68" s="296">
        <f>C68^2</f>
        <v>0</v>
      </c>
    </row>
    <row r="69" spans="1:5">
      <c r="A69" s="297" t="s">
        <v>761</v>
      </c>
      <c r="B69" s="291">
        <f>'表30-5'!C69</f>
        <v>0</v>
      </c>
      <c r="C69" s="295">
        <f t="shared" ref="C69" si="9">IF($B$70=0,0,B69/$B$70)</f>
        <v>0</v>
      </c>
      <c r="D69" s="296">
        <f>C69^2</f>
        <v>0</v>
      </c>
    </row>
    <row r="70" spans="1:5" ht="15" thickBot="1">
      <c r="A70" s="299" t="s">
        <v>361</v>
      </c>
      <c r="B70" s="300">
        <f>B63+B5</f>
        <v>0</v>
      </c>
      <c r="C70" s="301">
        <f>C63+C5</f>
        <v>0</v>
      </c>
      <c r="D70" s="302">
        <f>D63+D5</f>
        <v>0</v>
      </c>
    </row>
    <row r="71" spans="1:5" ht="15.75" thickTop="1" thickBot="1">
      <c r="A71" s="303" t="s">
        <v>362</v>
      </c>
      <c r="B71" s="304"/>
      <c r="C71" s="305"/>
      <c r="D71" s="306">
        <f>IF(AND(D70&gt;=1/48,D70&lt;1/36),C146,IF(AND(D70&gt;=1/36,D70&lt;1/28),C147,IF(AND(D70&gt;=1/28,D70&lt;1/20),C148,IF(AND(D70&gt;=1/20,D70&lt;1/12),C149,IF(AND(D70&gt;=1/12,D70&lt;1/5),C150,C151)))))</f>
        <v>1</v>
      </c>
    </row>
    <row r="72" spans="1:5">
      <c r="A72" s="282"/>
      <c r="B72" s="307"/>
      <c r="C72" s="308"/>
      <c r="D72" s="309"/>
    </row>
    <row r="73" spans="1:5" ht="15" thickBot="1">
      <c r="A73" s="310" t="s">
        <v>363</v>
      </c>
      <c r="B73" s="307"/>
      <c r="C73" s="311"/>
      <c r="D73" s="309"/>
      <c r="E73" s="286" t="s">
        <v>169</v>
      </c>
    </row>
    <row r="74" spans="1:5" ht="28.5">
      <c r="A74" s="312" t="s">
        <v>364</v>
      </c>
      <c r="B74" s="288" t="s">
        <v>182</v>
      </c>
      <c r="C74" s="2617" t="s">
        <v>6351</v>
      </c>
      <c r="D74" s="2184" t="s">
        <v>6352</v>
      </c>
      <c r="E74" s="289" t="s">
        <v>3517</v>
      </c>
    </row>
    <row r="75" spans="1:5">
      <c r="A75" s="313" t="s">
        <v>251</v>
      </c>
      <c r="B75" s="314">
        <f>B76+B118</f>
        <v>0</v>
      </c>
      <c r="C75" s="314">
        <f>C76+C118</f>
        <v>0</v>
      </c>
      <c r="D75" s="315">
        <f>D76+D118</f>
        <v>0</v>
      </c>
      <c r="E75" s="316">
        <f>E76+E118</f>
        <v>0</v>
      </c>
    </row>
    <row r="76" spans="1:5">
      <c r="A76" s="294" t="s">
        <v>762</v>
      </c>
      <c r="B76" s="291">
        <f>B77+B109</f>
        <v>0</v>
      </c>
      <c r="C76" s="291">
        <f>C77+C109</f>
        <v>0</v>
      </c>
      <c r="D76" s="295">
        <f>D77+D109</f>
        <v>0</v>
      </c>
      <c r="E76" s="296">
        <f>E77+E109</f>
        <v>0</v>
      </c>
    </row>
    <row r="77" spans="1:5">
      <c r="A77" s="297" t="s">
        <v>763</v>
      </c>
      <c r="B77" s="291">
        <f>SUM(B78:B108)</f>
        <v>0</v>
      </c>
      <c r="C77" s="291">
        <f>SUM(C78:C108)</f>
        <v>0</v>
      </c>
      <c r="D77" s="295">
        <f>SUM(D78:D107)</f>
        <v>0</v>
      </c>
      <c r="E77" s="296">
        <f>SUM(E78:E108)</f>
        <v>0</v>
      </c>
    </row>
    <row r="78" spans="1:5">
      <c r="A78" s="298" t="s">
        <v>764</v>
      </c>
      <c r="B78" s="291">
        <f>'表30-5'!C78</f>
        <v>0</v>
      </c>
      <c r="C78" s="291">
        <f>'表30-5'!D78</f>
        <v>0</v>
      </c>
      <c r="D78" s="295">
        <f>IF(($B$140+$C$140)=0,0,($B78+$C78)/($B$140+$C$140))</f>
        <v>0</v>
      </c>
      <c r="E78" s="296">
        <f t="shared" ref="E78:E108" si="10">D78^2</f>
        <v>0</v>
      </c>
    </row>
    <row r="79" spans="1:5">
      <c r="A79" s="298" t="s">
        <v>765</v>
      </c>
      <c r="B79" s="291">
        <f>'表30-5'!C79</f>
        <v>0</v>
      </c>
      <c r="C79" s="291">
        <f>'表30-5'!D79</f>
        <v>0</v>
      </c>
      <c r="D79" s="295">
        <f t="shared" ref="D79:D108" si="11">IF(($B$140+$C$140)=0,0,($B79+$C79)/($B$140+$C$140))</f>
        <v>0</v>
      </c>
      <c r="E79" s="296">
        <f t="shared" si="10"/>
        <v>0</v>
      </c>
    </row>
    <row r="80" spans="1:5">
      <c r="A80" s="298" t="s">
        <v>766</v>
      </c>
      <c r="B80" s="291">
        <f>'表30-5'!C80</f>
        <v>0</v>
      </c>
      <c r="C80" s="291">
        <f>'表30-5'!D80</f>
        <v>0</v>
      </c>
      <c r="D80" s="295">
        <f t="shared" si="11"/>
        <v>0</v>
      </c>
      <c r="E80" s="296">
        <f t="shared" si="10"/>
        <v>0</v>
      </c>
    </row>
    <row r="81" spans="1:5">
      <c r="A81" s="298" t="s">
        <v>767</v>
      </c>
      <c r="B81" s="291">
        <f>'表30-5'!C81</f>
        <v>0</v>
      </c>
      <c r="C81" s="291">
        <f>'表30-5'!D81</f>
        <v>0</v>
      </c>
      <c r="D81" s="295">
        <f t="shared" si="11"/>
        <v>0</v>
      </c>
      <c r="E81" s="296">
        <f t="shared" si="10"/>
        <v>0</v>
      </c>
    </row>
    <row r="82" spans="1:5">
      <c r="A82" s="298" t="s">
        <v>768</v>
      </c>
      <c r="B82" s="291">
        <f>'表30-5'!C82</f>
        <v>0</v>
      </c>
      <c r="C82" s="291">
        <f>'表30-5'!D82</f>
        <v>0</v>
      </c>
      <c r="D82" s="295">
        <f t="shared" si="11"/>
        <v>0</v>
      </c>
      <c r="E82" s="296">
        <f t="shared" si="10"/>
        <v>0</v>
      </c>
    </row>
    <row r="83" spans="1:5">
      <c r="A83" s="298" t="s">
        <v>769</v>
      </c>
      <c r="B83" s="291">
        <f>'表30-5'!C83</f>
        <v>0</v>
      </c>
      <c r="C83" s="291">
        <f>'表30-5'!D83</f>
        <v>0</v>
      </c>
      <c r="D83" s="295">
        <f t="shared" si="11"/>
        <v>0</v>
      </c>
      <c r="E83" s="296">
        <f t="shared" si="10"/>
        <v>0</v>
      </c>
    </row>
    <row r="84" spans="1:5">
      <c r="A84" s="298" t="s">
        <v>770</v>
      </c>
      <c r="B84" s="291">
        <f>'表30-5'!C84</f>
        <v>0</v>
      </c>
      <c r="C84" s="291">
        <f>'表30-5'!D84</f>
        <v>0</v>
      </c>
      <c r="D84" s="295">
        <f t="shared" si="11"/>
        <v>0</v>
      </c>
      <c r="E84" s="296">
        <f t="shared" si="10"/>
        <v>0</v>
      </c>
    </row>
    <row r="85" spans="1:5">
      <c r="A85" s="298" t="s">
        <v>771</v>
      </c>
      <c r="B85" s="291">
        <f>'表30-5'!C85</f>
        <v>0</v>
      </c>
      <c r="C85" s="291">
        <f>'表30-5'!D85</f>
        <v>0</v>
      </c>
      <c r="D85" s="295">
        <f t="shared" si="11"/>
        <v>0</v>
      </c>
      <c r="E85" s="296">
        <f t="shared" si="10"/>
        <v>0</v>
      </c>
    </row>
    <row r="86" spans="1:5">
      <c r="A86" s="298" t="s">
        <v>772</v>
      </c>
      <c r="B86" s="291">
        <f>'表30-5'!C86</f>
        <v>0</v>
      </c>
      <c r="C86" s="291">
        <f>'表30-5'!D86</f>
        <v>0</v>
      </c>
      <c r="D86" s="295">
        <f t="shared" si="11"/>
        <v>0</v>
      </c>
      <c r="E86" s="296">
        <f t="shared" si="10"/>
        <v>0</v>
      </c>
    </row>
    <row r="87" spans="1:5">
      <c r="A87" s="298" t="s">
        <v>773</v>
      </c>
      <c r="B87" s="291">
        <f>'表30-5'!C87</f>
        <v>0</v>
      </c>
      <c r="C87" s="291">
        <f>'表30-5'!D87</f>
        <v>0</v>
      </c>
      <c r="D87" s="295">
        <f t="shared" si="11"/>
        <v>0</v>
      </c>
      <c r="E87" s="296">
        <f t="shared" si="10"/>
        <v>0</v>
      </c>
    </row>
    <row r="88" spans="1:5">
      <c r="A88" s="298" t="s">
        <v>774</v>
      </c>
      <c r="B88" s="291">
        <f>'表30-5'!C88</f>
        <v>0</v>
      </c>
      <c r="C88" s="291">
        <f>'表30-5'!D88</f>
        <v>0</v>
      </c>
      <c r="D88" s="295">
        <f t="shared" si="11"/>
        <v>0</v>
      </c>
      <c r="E88" s="296">
        <f t="shared" si="10"/>
        <v>0</v>
      </c>
    </row>
    <row r="89" spans="1:5">
      <c r="A89" s="298" t="s">
        <v>775</v>
      </c>
      <c r="B89" s="291">
        <f>'表30-5'!C89</f>
        <v>0</v>
      </c>
      <c r="C89" s="291">
        <f>'表30-5'!D89</f>
        <v>0</v>
      </c>
      <c r="D89" s="295">
        <f t="shared" si="11"/>
        <v>0</v>
      </c>
      <c r="E89" s="296">
        <f t="shared" si="10"/>
        <v>0</v>
      </c>
    </row>
    <row r="90" spans="1:5">
      <c r="A90" s="298" t="s">
        <v>776</v>
      </c>
      <c r="B90" s="291">
        <f>'表30-5'!C90</f>
        <v>0</v>
      </c>
      <c r="C90" s="291">
        <f>'表30-5'!D90</f>
        <v>0</v>
      </c>
      <c r="D90" s="295">
        <f t="shared" si="11"/>
        <v>0</v>
      </c>
      <c r="E90" s="296">
        <f t="shared" si="10"/>
        <v>0</v>
      </c>
    </row>
    <row r="91" spans="1:5">
      <c r="A91" s="298" t="s">
        <v>777</v>
      </c>
      <c r="B91" s="291">
        <f>'表30-5'!C91</f>
        <v>0</v>
      </c>
      <c r="C91" s="291">
        <f>'表30-5'!D91</f>
        <v>0</v>
      </c>
      <c r="D91" s="295">
        <f t="shared" si="11"/>
        <v>0</v>
      </c>
      <c r="E91" s="296">
        <f t="shared" si="10"/>
        <v>0</v>
      </c>
    </row>
    <row r="92" spans="1:5">
      <c r="A92" s="298" t="s">
        <v>778</v>
      </c>
      <c r="B92" s="291">
        <f>'表30-5'!C92</f>
        <v>0</v>
      </c>
      <c r="C92" s="291">
        <f>'表30-5'!D92</f>
        <v>0</v>
      </c>
      <c r="D92" s="295">
        <f t="shared" si="11"/>
        <v>0</v>
      </c>
      <c r="E92" s="296">
        <f t="shared" si="10"/>
        <v>0</v>
      </c>
    </row>
    <row r="93" spans="1:5">
      <c r="A93" s="298" t="s">
        <v>715</v>
      </c>
      <c r="B93" s="291">
        <f>'表30-5'!C93</f>
        <v>0</v>
      </c>
      <c r="C93" s="291">
        <f>'表30-5'!D93</f>
        <v>0</v>
      </c>
      <c r="D93" s="295">
        <f t="shared" si="11"/>
        <v>0</v>
      </c>
      <c r="E93" s="296">
        <f t="shared" si="10"/>
        <v>0</v>
      </c>
    </row>
    <row r="94" spans="1:5">
      <c r="A94" s="298" t="s">
        <v>779</v>
      </c>
      <c r="B94" s="291">
        <f>'表30-5'!C94</f>
        <v>0</v>
      </c>
      <c r="C94" s="291">
        <f>'表30-5'!D94</f>
        <v>0</v>
      </c>
      <c r="D94" s="295">
        <f t="shared" si="11"/>
        <v>0</v>
      </c>
      <c r="E94" s="296">
        <f t="shared" si="10"/>
        <v>0</v>
      </c>
    </row>
    <row r="95" spans="1:5">
      <c r="A95" s="298" t="s">
        <v>780</v>
      </c>
      <c r="B95" s="291">
        <f>'表30-5'!C95</f>
        <v>0</v>
      </c>
      <c r="C95" s="291">
        <f>'表30-5'!D95</f>
        <v>0</v>
      </c>
      <c r="D95" s="295">
        <f t="shared" si="11"/>
        <v>0</v>
      </c>
      <c r="E95" s="296">
        <f t="shared" si="10"/>
        <v>0</v>
      </c>
    </row>
    <row r="96" spans="1:5">
      <c r="A96" s="298" t="s">
        <v>781</v>
      </c>
      <c r="B96" s="291">
        <f>'表30-5'!C96</f>
        <v>0</v>
      </c>
      <c r="C96" s="291">
        <f>'表30-5'!D96</f>
        <v>0</v>
      </c>
      <c r="D96" s="295">
        <f t="shared" si="11"/>
        <v>0</v>
      </c>
      <c r="E96" s="296">
        <f t="shared" si="10"/>
        <v>0</v>
      </c>
    </row>
    <row r="97" spans="1:5">
      <c r="A97" s="298" t="s">
        <v>782</v>
      </c>
      <c r="B97" s="291">
        <f>'表30-5'!C97</f>
        <v>0</v>
      </c>
      <c r="C97" s="291">
        <f>'表30-5'!D97</f>
        <v>0</v>
      </c>
      <c r="D97" s="295">
        <f t="shared" si="11"/>
        <v>0</v>
      </c>
      <c r="E97" s="296">
        <f t="shared" si="10"/>
        <v>0</v>
      </c>
    </row>
    <row r="98" spans="1:5">
      <c r="A98" s="298" t="s">
        <v>783</v>
      </c>
      <c r="B98" s="291">
        <f>'表30-5'!C98</f>
        <v>0</v>
      </c>
      <c r="C98" s="291">
        <f>'表30-5'!D98</f>
        <v>0</v>
      </c>
      <c r="D98" s="295">
        <f t="shared" si="11"/>
        <v>0</v>
      </c>
      <c r="E98" s="296">
        <f t="shared" si="10"/>
        <v>0</v>
      </c>
    </row>
    <row r="99" spans="1:5">
      <c r="A99" s="298" t="s">
        <v>784</v>
      </c>
      <c r="B99" s="291">
        <f>'表30-5'!C99</f>
        <v>0</v>
      </c>
      <c r="C99" s="291">
        <f>'表30-5'!D99</f>
        <v>0</v>
      </c>
      <c r="D99" s="295">
        <f t="shared" si="11"/>
        <v>0</v>
      </c>
      <c r="E99" s="296">
        <f t="shared" si="10"/>
        <v>0</v>
      </c>
    </row>
    <row r="100" spans="1:5">
      <c r="A100" s="298" t="s">
        <v>785</v>
      </c>
      <c r="B100" s="291">
        <f>'表30-5'!C100</f>
        <v>0</v>
      </c>
      <c r="C100" s="291">
        <f>'表30-5'!D100</f>
        <v>0</v>
      </c>
      <c r="D100" s="295">
        <f t="shared" si="11"/>
        <v>0</v>
      </c>
      <c r="E100" s="296">
        <f t="shared" si="10"/>
        <v>0</v>
      </c>
    </row>
    <row r="101" spans="1:5">
      <c r="A101" s="298" t="s">
        <v>786</v>
      </c>
      <c r="B101" s="291">
        <f>'表30-5'!C101</f>
        <v>0</v>
      </c>
      <c r="C101" s="291">
        <f>'表30-5'!D101</f>
        <v>0</v>
      </c>
      <c r="D101" s="295">
        <f t="shared" si="11"/>
        <v>0</v>
      </c>
      <c r="E101" s="296">
        <f t="shared" si="10"/>
        <v>0</v>
      </c>
    </row>
    <row r="102" spans="1:5">
      <c r="A102" s="298" t="s">
        <v>787</v>
      </c>
      <c r="B102" s="291">
        <f>'表30-5'!C102</f>
        <v>0</v>
      </c>
      <c r="C102" s="291">
        <f>'表30-5'!D102</f>
        <v>0</v>
      </c>
      <c r="D102" s="295">
        <f t="shared" si="11"/>
        <v>0</v>
      </c>
      <c r="E102" s="296">
        <f t="shared" si="10"/>
        <v>0</v>
      </c>
    </row>
    <row r="103" spans="1:5">
      <c r="A103" s="298" t="s">
        <v>788</v>
      </c>
      <c r="B103" s="291">
        <f>'表30-5'!C103</f>
        <v>0</v>
      </c>
      <c r="C103" s="291">
        <f>'表30-5'!D103</f>
        <v>0</v>
      </c>
      <c r="D103" s="295">
        <f t="shared" si="11"/>
        <v>0</v>
      </c>
      <c r="E103" s="296">
        <f t="shared" si="10"/>
        <v>0</v>
      </c>
    </row>
    <row r="104" spans="1:5">
      <c r="A104" s="298" t="s">
        <v>789</v>
      </c>
      <c r="B104" s="291">
        <f>'表30-5'!C104</f>
        <v>0</v>
      </c>
      <c r="C104" s="291">
        <f>'表30-5'!D104</f>
        <v>0</v>
      </c>
      <c r="D104" s="295">
        <f t="shared" si="11"/>
        <v>0</v>
      </c>
      <c r="E104" s="296">
        <f t="shared" si="10"/>
        <v>0</v>
      </c>
    </row>
    <row r="105" spans="1:5">
      <c r="A105" s="298" t="s">
        <v>790</v>
      </c>
      <c r="B105" s="291">
        <f>'表30-5'!C105</f>
        <v>0</v>
      </c>
      <c r="C105" s="291">
        <f>'表30-5'!D105</f>
        <v>0</v>
      </c>
      <c r="D105" s="295">
        <f t="shared" si="11"/>
        <v>0</v>
      </c>
      <c r="E105" s="296">
        <f t="shared" si="10"/>
        <v>0</v>
      </c>
    </row>
    <row r="106" spans="1:5">
      <c r="A106" s="298" t="s">
        <v>791</v>
      </c>
      <c r="B106" s="291">
        <f>'表30-5'!C106</f>
        <v>0</v>
      </c>
      <c r="C106" s="291">
        <f>'表30-5'!D106</f>
        <v>0</v>
      </c>
      <c r="D106" s="295">
        <f t="shared" si="11"/>
        <v>0</v>
      </c>
      <c r="E106" s="296">
        <f t="shared" si="10"/>
        <v>0</v>
      </c>
    </row>
    <row r="107" spans="1:5">
      <c r="A107" s="298" t="s">
        <v>792</v>
      </c>
      <c r="B107" s="291">
        <f>'表30-5'!C107</f>
        <v>0</v>
      </c>
      <c r="C107" s="291">
        <f>'表30-5'!D107</f>
        <v>0</v>
      </c>
      <c r="D107" s="295">
        <f t="shared" si="11"/>
        <v>0</v>
      </c>
      <c r="E107" s="296">
        <f t="shared" si="10"/>
        <v>0</v>
      </c>
    </row>
    <row r="108" spans="1:5">
      <c r="A108" s="298" t="s">
        <v>4987</v>
      </c>
      <c r="B108" s="291">
        <f>'表30-5'!C108</f>
        <v>0</v>
      </c>
      <c r="C108" s="291">
        <f>'表30-5'!D108</f>
        <v>0</v>
      </c>
      <c r="D108" s="295">
        <f t="shared" si="11"/>
        <v>0</v>
      </c>
      <c r="E108" s="296">
        <f t="shared" si="10"/>
        <v>0</v>
      </c>
    </row>
    <row r="109" spans="1:5">
      <c r="A109" s="297" t="s">
        <v>793</v>
      </c>
      <c r="B109" s="291">
        <f>SUM(B110:B117)</f>
        <v>0</v>
      </c>
      <c r="C109" s="291">
        <f>SUM(C110:C117)</f>
        <v>0</v>
      </c>
      <c r="D109" s="295">
        <f>SUM(D110:D117)</f>
        <v>0</v>
      </c>
      <c r="E109" s="296">
        <f>SUM(E110:E117)</f>
        <v>0</v>
      </c>
    </row>
    <row r="110" spans="1:5">
      <c r="A110" s="298" t="s">
        <v>794</v>
      </c>
      <c r="B110" s="291">
        <f>'表30-5'!C110</f>
        <v>0</v>
      </c>
      <c r="C110" s="291">
        <f>'表30-5'!D110</f>
        <v>0</v>
      </c>
      <c r="D110" s="295">
        <f t="shared" ref="D110:D117" si="12">IF(($B$140+$C$140)=0,0,($B110+$C110)/($B$140+$C$140))</f>
        <v>0</v>
      </c>
      <c r="E110" s="296">
        <f t="shared" ref="E110:E117" si="13">D110^2</f>
        <v>0</v>
      </c>
    </row>
    <row r="111" spans="1:5">
      <c r="A111" s="298" t="s">
        <v>795</v>
      </c>
      <c r="B111" s="291">
        <f>'表30-5'!C111</f>
        <v>0</v>
      </c>
      <c r="C111" s="291">
        <f>'表30-5'!D111</f>
        <v>0</v>
      </c>
      <c r="D111" s="295">
        <f t="shared" si="12"/>
        <v>0</v>
      </c>
      <c r="E111" s="296">
        <f t="shared" si="13"/>
        <v>0</v>
      </c>
    </row>
    <row r="112" spans="1:5">
      <c r="A112" s="298" t="s">
        <v>796</v>
      </c>
      <c r="B112" s="291">
        <f>'表30-5'!C112</f>
        <v>0</v>
      </c>
      <c r="C112" s="291">
        <f>'表30-5'!D112</f>
        <v>0</v>
      </c>
      <c r="D112" s="295">
        <f t="shared" si="12"/>
        <v>0</v>
      </c>
      <c r="E112" s="296">
        <f t="shared" si="13"/>
        <v>0</v>
      </c>
    </row>
    <row r="113" spans="1:5">
      <c r="A113" s="298" t="s">
        <v>797</v>
      </c>
      <c r="B113" s="291">
        <f>'表30-5'!C113</f>
        <v>0</v>
      </c>
      <c r="C113" s="291">
        <f>'表30-5'!D113</f>
        <v>0</v>
      </c>
      <c r="D113" s="295">
        <f t="shared" si="12"/>
        <v>0</v>
      </c>
      <c r="E113" s="296">
        <f t="shared" si="13"/>
        <v>0</v>
      </c>
    </row>
    <row r="114" spans="1:5">
      <c r="A114" s="298" t="s">
        <v>798</v>
      </c>
      <c r="B114" s="291">
        <f>'表30-5'!C114</f>
        <v>0</v>
      </c>
      <c r="C114" s="291">
        <f>'表30-5'!D114</f>
        <v>0</v>
      </c>
      <c r="D114" s="295">
        <f t="shared" si="12"/>
        <v>0</v>
      </c>
      <c r="E114" s="296">
        <f t="shared" si="13"/>
        <v>0</v>
      </c>
    </row>
    <row r="115" spans="1:5">
      <c r="A115" s="298" t="s">
        <v>799</v>
      </c>
      <c r="B115" s="291">
        <f>'表30-5'!C115</f>
        <v>0</v>
      </c>
      <c r="C115" s="291">
        <f>'表30-5'!D115</f>
        <v>0</v>
      </c>
      <c r="D115" s="295">
        <f t="shared" si="12"/>
        <v>0</v>
      </c>
      <c r="E115" s="296">
        <f t="shared" si="13"/>
        <v>0</v>
      </c>
    </row>
    <row r="116" spans="1:5">
      <c r="A116" s="298" t="s">
        <v>800</v>
      </c>
      <c r="B116" s="291">
        <f>'表30-5'!C116</f>
        <v>0</v>
      </c>
      <c r="C116" s="291">
        <f>'表30-5'!D116</f>
        <v>0</v>
      </c>
      <c r="D116" s="295">
        <f t="shared" si="12"/>
        <v>0</v>
      </c>
      <c r="E116" s="296">
        <f t="shared" si="13"/>
        <v>0</v>
      </c>
    </row>
    <row r="117" spans="1:5">
      <c r="A117" s="298" t="s">
        <v>801</v>
      </c>
      <c r="B117" s="291">
        <f>'表30-5'!C117</f>
        <v>0</v>
      </c>
      <c r="C117" s="291">
        <f>'表30-5'!D117</f>
        <v>0</v>
      </c>
      <c r="D117" s="295">
        <f t="shared" si="12"/>
        <v>0</v>
      </c>
      <c r="E117" s="296">
        <f t="shared" si="13"/>
        <v>0</v>
      </c>
    </row>
    <row r="118" spans="1:5">
      <c r="A118" s="294" t="s">
        <v>803</v>
      </c>
      <c r="B118" s="291">
        <f>B119+B127</f>
        <v>0</v>
      </c>
      <c r="C118" s="291">
        <f>C119+C127</f>
        <v>0</v>
      </c>
      <c r="D118" s="295">
        <f>D119+D127</f>
        <v>0</v>
      </c>
      <c r="E118" s="296">
        <f>E119+E127</f>
        <v>0</v>
      </c>
    </row>
    <row r="119" spans="1:5">
      <c r="A119" s="297" t="s">
        <v>802</v>
      </c>
      <c r="B119" s="291">
        <f>SUM(B120:B123,B125:B126)</f>
        <v>0</v>
      </c>
      <c r="C119" s="291">
        <f>SUM(C120:C123,C125:C126)</f>
        <v>0</v>
      </c>
      <c r="D119" s="295">
        <f>SUM(D120:D123,D125:D126)</f>
        <v>0</v>
      </c>
      <c r="E119" s="296">
        <f>SUM(E120:E123,E125:E126)</f>
        <v>0</v>
      </c>
    </row>
    <row r="120" spans="1:5">
      <c r="A120" s="298" t="s">
        <v>804</v>
      </c>
      <c r="B120" s="291">
        <f>'表30-5'!C120</f>
        <v>0</v>
      </c>
      <c r="C120" s="291">
        <f>'表30-5'!D120</f>
        <v>0</v>
      </c>
      <c r="D120" s="295">
        <f t="shared" ref="D120:D132" si="14">IF(($B$140+$C$140)=0,0,($B120+$C120)/($B$140+$C$140))</f>
        <v>0</v>
      </c>
      <c r="E120" s="296">
        <f t="shared" ref="E120:E126" si="15">D120^2</f>
        <v>0</v>
      </c>
    </row>
    <row r="121" spans="1:5">
      <c r="A121" s="298" t="s">
        <v>805</v>
      </c>
      <c r="B121" s="291">
        <f>'表30-5'!C121</f>
        <v>0</v>
      </c>
      <c r="C121" s="291">
        <f>'表30-5'!D121</f>
        <v>0</v>
      </c>
      <c r="D121" s="295">
        <f t="shared" si="14"/>
        <v>0</v>
      </c>
      <c r="E121" s="296">
        <f t="shared" si="15"/>
        <v>0</v>
      </c>
    </row>
    <row r="122" spans="1:5">
      <c r="A122" s="298" t="s">
        <v>1179</v>
      </c>
      <c r="B122" s="291">
        <f>'表30-5'!C122</f>
        <v>0</v>
      </c>
      <c r="C122" s="291">
        <f>'表30-5'!D122</f>
        <v>0</v>
      </c>
      <c r="D122" s="295">
        <f t="shared" si="14"/>
        <v>0</v>
      </c>
      <c r="E122" s="296">
        <f t="shared" si="15"/>
        <v>0</v>
      </c>
    </row>
    <row r="123" spans="1:5">
      <c r="A123" s="298" t="s">
        <v>806</v>
      </c>
      <c r="B123" s="291">
        <f>'表30-5'!C123</f>
        <v>0</v>
      </c>
      <c r="C123" s="291">
        <f>'表30-5'!D123</f>
        <v>0</v>
      </c>
      <c r="D123" s="295">
        <f t="shared" si="14"/>
        <v>0</v>
      </c>
      <c r="E123" s="296">
        <f t="shared" si="15"/>
        <v>0</v>
      </c>
    </row>
    <row r="124" spans="1:5">
      <c r="A124" s="298" t="s">
        <v>807</v>
      </c>
      <c r="B124" s="291">
        <f>'表30-5'!C124</f>
        <v>0</v>
      </c>
      <c r="C124" s="291">
        <f>'表30-5'!D124</f>
        <v>0</v>
      </c>
      <c r="D124" s="295">
        <f t="shared" si="14"/>
        <v>0</v>
      </c>
      <c r="E124" s="296">
        <f t="shared" si="15"/>
        <v>0</v>
      </c>
    </row>
    <row r="125" spans="1:5">
      <c r="A125" s="298" t="s">
        <v>1051</v>
      </c>
      <c r="B125" s="291">
        <f>'表30-5'!C125</f>
        <v>0</v>
      </c>
      <c r="C125" s="291">
        <f>'表30-5'!D125</f>
        <v>0</v>
      </c>
      <c r="D125" s="295">
        <f t="shared" si="14"/>
        <v>0</v>
      </c>
      <c r="E125" s="296">
        <f t="shared" si="15"/>
        <v>0</v>
      </c>
    </row>
    <row r="126" spans="1:5">
      <c r="A126" s="298" t="s">
        <v>1052</v>
      </c>
      <c r="B126" s="291">
        <f>'表30-5'!C126</f>
        <v>0</v>
      </c>
      <c r="C126" s="291">
        <f>'表30-5'!D126</f>
        <v>0</v>
      </c>
      <c r="D126" s="295">
        <f t="shared" si="14"/>
        <v>0</v>
      </c>
      <c r="E126" s="296">
        <f t="shared" si="15"/>
        <v>0</v>
      </c>
    </row>
    <row r="127" spans="1:5">
      <c r="A127" s="297" t="s">
        <v>808</v>
      </c>
      <c r="B127" s="291">
        <f>SUM(B128:B131)</f>
        <v>0</v>
      </c>
      <c r="C127" s="291">
        <f>SUM(C128:C131)</f>
        <v>0</v>
      </c>
      <c r="D127" s="295">
        <f>SUM(D128:D131)</f>
        <v>0</v>
      </c>
      <c r="E127" s="296">
        <f>SUM(E128:E131)</f>
        <v>0</v>
      </c>
    </row>
    <row r="128" spans="1:5">
      <c r="A128" s="298" t="s">
        <v>809</v>
      </c>
      <c r="B128" s="291">
        <f>'表30-5'!C128</f>
        <v>0</v>
      </c>
      <c r="C128" s="291">
        <f>'表30-5'!D128</f>
        <v>0</v>
      </c>
      <c r="D128" s="295">
        <f t="shared" si="14"/>
        <v>0</v>
      </c>
      <c r="E128" s="296">
        <f>D128^2</f>
        <v>0</v>
      </c>
    </row>
    <row r="129" spans="1:5">
      <c r="A129" s="298" t="s">
        <v>810</v>
      </c>
      <c r="B129" s="291">
        <f>'表30-5'!C129</f>
        <v>0</v>
      </c>
      <c r="C129" s="291">
        <f>'表30-5'!D129</f>
        <v>0</v>
      </c>
      <c r="D129" s="295">
        <f t="shared" si="14"/>
        <v>0</v>
      </c>
      <c r="E129" s="296">
        <f>D129^2</f>
        <v>0</v>
      </c>
    </row>
    <row r="130" spans="1:5">
      <c r="A130" s="298" t="s">
        <v>1180</v>
      </c>
      <c r="B130" s="291">
        <f>'表30-5'!C130</f>
        <v>0</v>
      </c>
      <c r="C130" s="291">
        <f>'表30-5'!D130</f>
        <v>0</v>
      </c>
      <c r="D130" s="295">
        <f t="shared" si="14"/>
        <v>0</v>
      </c>
      <c r="E130" s="296">
        <f>D130^2</f>
        <v>0</v>
      </c>
    </row>
    <row r="131" spans="1:5">
      <c r="A131" s="298" t="s">
        <v>811</v>
      </c>
      <c r="B131" s="291">
        <f>'表30-5'!C131</f>
        <v>0</v>
      </c>
      <c r="C131" s="291">
        <f>'表30-5'!D131</f>
        <v>0</v>
      </c>
      <c r="D131" s="295">
        <f t="shared" si="14"/>
        <v>0</v>
      </c>
      <c r="E131" s="296">
        <f>D131^2</f>
        <v>0</v>
      </c>
    </row>
    <row r="132" spans="1:5">
      <c r="A132" s="298" t="s">
        <v>812</v>
      </c>
      <c r="B132" s="291">
        <f>'表30-5'!C132</f>
        <v>0</v>
      </c>
      <c r="C132" s="291">
        <f>'表30-5'!D132</f>
        <v>0</v>
      </c>
      <c r="D132" s="295">
        <f t="shared" si="14"/>
        <v>0</v>
      </c>
      <c r="E132" s="296">
        <f>D132^2</f>
        <v>0</v>
      </c>
    </row>
    <row r="133" spans="1:5">
      <c r="A133" s="290" t="s">
        <v>116</v>
      </c>
      <c r="B133" s="291">
        <f>B134+B137</f>
        <v>0</v>
      </c>
      <c r="C133" s="291">
        <f>C134+C137</f>
        <v>0</v>
      </c>
      <c r="D133" s="295">
        <f>D134+D137</f>
        <v>0</v>
      </c>
      <c r="E133" s="296">
        <f>E134+E137</f>
        <v>0</v>
      </c>
    </row>
    <row r="134" spans="1:5">
      <c r="A134" s="294" t="s">
        <v>741</v>
      </c>
      <c r="B134" s="291">
        <f>SUM(B135:B136)</f>
        <v>0</v>
      </c>
      <c r="C134" s="291">
        <f>SUM(C135:C136)</f>
        <v>0</v>
      </c>
      <c r="D134" s="295">
        <f>SUM(D135:D136)</f>
        <v>0</v>
      </c>
      <c r="E134" s="296">
        <f>SUM(E135:E136)</f>
        <v>0</v>
      </c>
    </row>
    <row r="135" spans="1:5">
      <c r="A135" s="297" t="s">
        <v>736</v>
      </c>
      <c r="B135" s="291">
        <f>'表30-5'!C135</f>
        <v>0</v>
      </c>
      <c r="C135" s="291">
        <f>'表30-5'!D135</f>
        <v>0</v>
      </c>
      <c r="D135" s="295">
        <f t="shared" ref="D135:D136" si="16">IF(($B$140+$C$140)=0,0,($B135+$C135)/($B$140+$C$140))</f>
        <v>0</v>
      </c>
      <c r="E135" s="296">
        <f>D135^2</f>
        <v>0</v>
      </c>
    </row>
    <row r="136" spans="1:5">
      <c r="A136" s="297" t="s">
        <v>737</v>
      </c>
      <c r="B136" s="291">
        <f>'表30-5'!C136</f>
        <v>0</v>
      </c>
      <c r="C136" s="291">
        <f>'表30-5'!D136</f>
        <v>0</v>
      </c>
      <c r="D136" s="295">
        <f t="shared" si="16"/>
        <v>0</v>
      </c>
      <c r="E136" s="296">
        <f>D136^2</f>
        <v>0</v>
      </c>
    </row>
    <row r="137" spans="1:5">
      <c r="A137" s="294" t="s">
        <v>740</v>
      </c>
      <c r="B137" s="291">
        <f>SUM(B138:B139)</f>
        <v>0</v>
      </c>
      <c r="C137" s="291">
        <f>SUM(C138:C139)</f>
        <v>0</v>
      </c>
      <c r="D137" s="295">
        <f>SUM(D138:D139)</f>
        <v>0</v>
      </c>
      <c r="E137" s="296">
        <f>SUM(E138:E139)</f>
        <v>0</v>
      </c>
    </row>
    <row r="138" spans="1:5">
      <c r="A138" s="297" t="s">
        <v>738</v>
      </c>
      <c r="B138" s="291">
        <f>'表30-5'!C138</f>
        <v>0</v>
      </c>
      <c r="C138" s="291">
        <f>'表30-5'!D138</f>
        <v>0</v>
      </c>
      <c r="D138" s="295">
        <f t="shared" ref="D138:D139" si="17">IF(($B$140+$C$140)=0,0,($B138+$C138)/($B$140+$C$140))</f>
        <v>0</v>
      </c>
      <c r="E138" s="296">
        <f>D138^2</f>
        <v>0</v>
      </c>
    </row>
    <row r="139" spans="1:5">
      <c r="A139" s="297" t="s">
        <v>739</v>
      </c>
      <c r="B139" s="291">
        <f>'表30-5'!C139</f>
        <v>0</v>
      </c>
      <c r="C139" s="291">
        <f>'表30-5'!D139</f>
        <v>0</v>
      </c>
      <c r="D139" s="295">
        <f t="shared" si="17"/>
        <v>0</v>
      </c>
      <c r="E139" s="296">
        <f>D139^2</f>
        <v>0</v>
      </c>
    </row>
    <row r="140" spans="1:5" ht="15" thickBot="1">
      <c r="A140" s="317" t="s">
        <v>117</v>
      </c>
      <c r="B140" s="300">
        <f>B133+B75</f>
        <v>0</v>
      </c>
      <c r="C140" s="300">
        <f>C133+C75</f>
        <v>0</v>
      </c>
      <c r="D140" s="301">
        <f>D133+D75</f>
        <v>0</v>
      </c>
      <c r="E140" s="302">
        <f>E133+E75</f>
        <v>0</v>
      </c>
    </row>
    <row r="141" spans="1:5" ht="15.75" thickTop="1" thickBot="1">
      <c r="A141" s="318" t="s">
        <v>118</v>
      </c>
      <c r="B141" s="319"/>
      <c r="C141" s="319"/>
      <c r="D141" s="320"/>
      <c r="E141" s="321">
        <f>IF(AND(E140&gt;=1/48,E140&lt;1/36),C146,IF(AND(E140&gt;=1/36,E140&lt;1/28),C147,IF(AND(E140&gt;=1/28,E140&lt;1/20),C148,IF(AND(E140&gt;=1/20,E140&lt;1/12),C149,IF(AND(E140&gt;=1/12,E140&lt;1/5),C150,C151)))))</f>
        <v>1</v>
      </c>
    </row>
    <row r="142" spans="1:5">
      <c r="A142" s="34" t="s">
        <v>4035</v>
      </c>
    </row>
    <row r="144" spans="1:5">
      <c r="B144" s="3500" t="s">
        <v>119</v>
      </c>
      <c r="C144" s="3500"/>
    </row>
    <row r="145" spans="2:3">
      <c r="B145" s="322" t="s">
        <v>386</v>
      </c>
      <c r="C145" s="323" t="s">
        <v>120</v>
      </c>
    </row>
    <row r="146" spans="2:3">
      <c r="B146" s="324" t="s">
        <v>3518</v>
      </c>
      <c r="C146" s="325">
        <v>0.75</v>
      </c>
    </row>
    <row r="147" spans="2:3">
      <c r="B147" s="324" t="s">
        <v>3519</v>
      </c>
      <c r="C147" s="325">
        <v>0.8</v>
      </c>
    </row>
    <row r="148" spans="2:3">
      <c r="B148" s="324" t="s">
        <v>3520</v>
      </c>
      <c r="C148" s="325">
        <v>0.85</v>
      </c>
    </row>
    <row r="149" spans="2:3">
      <c r="B149" s="324" t="s">
        <v>3521</v>
      </c>
      <c r="C149" s="325">
        <v>0.9</v>
      </c>
    </row>
    <row r="150" spans="2:3">
      <c r="B150" s="324" t="s">
        <v>3522</v>
      </c>
      <c r="C150" s="325">
        <v>0.95</v>
      </c>
    </row>
    <row r="151" spans="2:3">
      <c r="B151" s="326" t="s">
        <v>3523</v>
      </c>
      <c r="C151" s="327">
        <v>1</v>
      </c>
    </row>
  </sheetData>
  <mergeCells count="1">
    <mergeCell ref="B144:C144"/>
  </mergeCells>
  <phoneticPr fontId="30"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heetViews>
  <sheetFormatPr defaultColWidth="9" defaultRowHeight="14.25"/>
  <cols>
    <col min="1" max="1" width="46.875" style="223" customWidth="1"/>
    <col min="2" max="2" width="12.5" style="224" customWidth="1"/>
    <col min="3" max="3" width="13.75" style="224" customWidth="1"/>
    <col min="4" max="4" width="14.125" style="224" customWidth="1"/>
    <col min="5" max="5" width="12.5" style="224" customWidth="1"/>
    <col min="6" max="6" width="25.75" style="224" customWidth="1"/>
    <col min="7" max="7" width="9.75" style="224" customWidth="1"/>
    <col min="8" max="16384" width="9" style="225"/>
  </cols>
  <sheetData>
    <row r="1" spans="1:7" s="18" customFormat="1">
      <c r="A1" s="36" t="str">
        <f>+封面!A3&amp;" "&amp;封面!A2</f>
        <v xml:space="preserve"> 中央再保險股份有限公司 年度檢查報表</v>
      </c>
      <c r="B1" s="220"/>
      <c r="C1" s="220"/>
    </row>
    <row r="2" spans="1:7" s="18" customFormat="1">
      <c r="A2" s="221" t="s">
        <v>93</v>
      </c>
      <c r="B2" s="220"/>
      <c r="C2" s="222"/>
    </row>
    <row r="3" spans="1:7">
      <c r="A3" s="223" t="s">
        <v>94</v>
      </c>
    </row>
    <row r="4" spans="1:7" ht="15" thickBot="1">
      <c r="G4" s="226" t="s">
        <v>388</v>
      </c>
    </row>
    <row r="5" spans="1:7">
      <c r="A5" s="227"/>
      <c r="B5" s="228" t="s">
        <v>95</v>
      </c>
      <c r="C5" s="229" t="s">
        <v>96</v>
      </c>
      <c r="D5" s="229" t="s">
        <v>97</v>
      </c>
      <c r="E5" s="230" t="s">
        <v>98</v>
      </c>
      <c r="F5" s="230" t="s">
        <v>99</v>
      </c>
      <c r="G5" s="231" t="s">
        <v>221</v>
      </c>
    </row>
    <row r="6" spans="1:7" ht="18" customHeight="1">
      <c r="A6" s="232"/>
      <c r="B6" s="233" t="s">
        <v>100</v>
      </c>
      <c r="C6" s="234" t="s">
        <v>101</v>
      </c>
      <c r="D6" s="234" t="s">
        <v>102</v>
      </c>
      <c r="E6" s="235" t="s">
        <v>103</v>
      </c>
      <c r="F6" s="235" t="s">
        <v>104</v>
      </c>
      <c r="G6" s="236" t="s">
        <v>105</v>
      </c>
    </row>
    <row r="7" spans="1:7">
      <c r="A7" s="237" t="s">
        <v>106</v>
      </c>
      <c r="B7" s="238"/>
      <c r="C7" s="239">
        <f>'表20-1'!C47+'表20-2'!C20</f>
        <v>0</v>
      </c>
      <c r="D7" s="240">
        <f>B7+C7</f>
        <v>0</v>
      </c>
      <c r="E7" s="241">
        <v>1</v>
      </c>
      <c r="F7" s="242" t="str">
        <f>IF(D8=0,"－",D7*E7/(D8*E8)-1)</f>
        <v>－</v>
      </c>
      <c r="G7" s="243"/>
    </row>
    <row r="8" spans="1:7">
      <c r="A8" s="237" t="s">
        <v>107</v>
      </c>
      <c r="B8" s="244"/>
      <c r="C8" s="245"/>
      <c r="D8" s="246"/>
      <c r="E8" s="247">
        <v>1</v>
      </c>
      <c r="F8" s="248" t="str">
        <f>IF(D9=0,"－",D8*E8/(D9*E9)-1)</f>
        <v>－</v>
      </c>
      <c r="G8" s="249"/>
    </row>
    <row r="9" spans="1:7">
      <c r="A9" s="237" t="s">
        <v>108</v>
      </c>
      <c r="B9" s="244"/>
      <c r="C9" s="245"/>
      <c r="D9" s="246"/>
      <c r="E9" s="247">
        <v>1</v>
      </c>
      <c r="F9" s="248" t="str">
        <f>IF(D10=0,"－",D9*E9/(D10*E10)-1)</f>
        <v>－</v>
      </c>
      <c r="G9" s="249"/>
    </row>
    <row r="10" spans="1:7">
      <c r="A10" s="250" t="s">
        <v>109</v>
      </c>
      <c r="B10" s="251"/>
      <c r="C10" s="252"/>
      <c r="D10" s="246"/>
      <c r="E10" s="253">
        <v>1</v>
      </c>
      <c r="F10" s="254"/>
      <c r="G10" s="255"/>
    </row>
    <row r="11" spans="1:7">
      <c r="A11" s="256" t="s">
        <v>1350</v>
      </c>
      <c r="B11" s="257"/>
      <c r="C11" s="258"/>
      <c r="D11" s="258"/>
      <c r="E11" s="259"/>
      <c r="F11" s="242">
        <f>IF(F7="－",0,AVERAGE(F7:F9))</f>
        <v>0</v>
      </c>
      <c r="G11" s="243"/>
    </row>
    <row r="12" spans="1:7" ht="15" thickBot="1">
      <c r="A12" s="260" t="s">
        <v>110</v>
      </c>
      <c r="B12" s="261"/>
      <c r="C12" s="262"/>
      <c r="D12" s="262"/>
      <c r="E12" s="263"/>
      <c r="F12" s="264">
        <f>MIN(MAX(F11-0.1,0),0.3)</f>
        <v>0</v>
      </c>
      <c r="G12" s="265"/>
    </row>
    <row r="13" spans="1:7" ht="15.75" thickTop="1" thickBot="1">
      <c r="A13" s="266" t="s">
        <v>111</v>
      </c>
      <c r="B13" s="267"/>
      <c r="C13" s="268"/>
      <c r="D13" s="268"/>
      <c r="E13" s="269"/>
      <c r="F13" s="269"/>
      <c r="G13" s="270">
        <f>F12*0.45</f>
        <v>0</v>
      </c>
    </row>
    <row r="16" spans="1:7">
      <c r="A16" s="223" t="s">
        <v>112</v>
      </c>
    </row>
    <row r="17" spans="1:3" ht="15" thickBot="1"/>
    <row r="18" spans="1:3">
      <c r="A18" s="271"/>
      <c r="B18" s="272" t="s">
        <v>99</v>
      </c>
      <c r="C18" s="273" t="s">
        <v>221</v>
      </c>
    </row>
    <row r="19" spans="1:3">
      <c r="A19" s="274" t="s">
        <v>113</v>
      </c>
      <c r="B19" s="275">
        <f>F12</f>
        <v>0</v>
      </c>
      <c r="C19" s="276"/>
    </row>
    <row r="20" spans="1:3" ht="15" thickBot="1">
      <c r="A20" s="277" t="s">
        <v>114</v>
      </c>
      <c r="B20" s="278"/>
      <c r="C20" s="279">
        <f>B19*0.225</f>
        <v>0</v>
      </c>
    </row>
    <row r="23" spans="1:3">
      <c r="A23" s="223" t="s">
        <v>115</v>
      </c>
    </row>
    <row r="24" spans="1:3">
      <c r="A24" s="36"/>
    </row>
  </sheetData>
  <phoneticPr fontId="30"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heetViews>
  <sheetFormatPr defaultColWidth="9" defaultRowHeight="14.25"/>
  <cols>
    <col min="1" max="1" width="5.125" style="184" customWidth="1"/>
    <col min="2" max="2" width="51.75" style="184" customWidth="1"/>
    <col min="3" max="3" width="19.375" style="184" customWidth="1"/>
    <col min="4" max="4" width="25.875" style="184" customWidth="1"/>
    <col min="5" max="5" width="19.875" style="184" customWidth="1"/>
    <col min="6" max="6" width="15.375" style="216" customWidth="1"/>
    <col min="7" max="16384" width="9" style="17"/>
  </cols>
  <sheetData>
    <row r="1" spans="1:6">
      <c r="A1" s="36" t="str">
        <f>+封面!A3&amp;" "&amp;封面!A2</f>
        <v xml:space="preserve"> 中央再保險股份有限公司 年度檢查報表</v>
      </c>
      <c r="B1" s="182"/>
      <c r="C1" s="182"/>
      <c r="D1" s="182"/>
      <c r="E1" s="182"/>
      <c r="F1" s="182"/>
    </row>
    <row r="2" spans="1:6" ht="15" thickBot="1">
      <c r="A2" s="183" t="s">
        <v>511</v>
      </c>
      <c r="F2" s="127" t="s">
        <v>522</v>
      </c>
    </row>
    <row r="3" spans="1:6" ht="14.25" customHeight="1">
      <c r="A3" s="3508" t="s">
        <v>181</v>
      </c>
      <c r="B3" s="185" t="s">
        <v>512</v>
      </c>
      <c r="C3" s="185" t="s">
        <v>234</v>
      </c>
      <c r="D3" s="185" t="s">
        <v>513</v>
      </c>
      <c r="E3" s="185" t="s">
        <v>514</v>
      </c>
      <c r="F3" s="186" t="s">
        <v>515</v>
      </c>
    </row>
    <row r="4" spans="1:6" ht="14.25" customHeight="1">
      <c r="A4" s="3509"/>
      <c r="B4" s="187" t="s">
        <v>516</v>
      </c>
      <c r="C4" s="187" t="s">
        <v>183</v>
      </c>
      <c r="D4" s="187" t="s">
        <v>519</v>
      </c>
      <c r="E4" s="187" t="s">
        <v>517</v>
      </c>
      <c r="F4" s="188" t="s">
        <v>518</v>
      </c>
    </row>
    <row r="5" spans="1:6">
      <c r="A5" s="189">
        <v>1</v>
      </c>
      <c r="B5" s="3502" t="s">
        <v>520</v>
      </c>
      <c r="C5" s="190" t="s">
        <v>554</v>
      </c>
      <c r="D5" s="191" t="s">
        <v>560</v>
      </c>
      <c r="E5" s="192"/>
      <c r="F5" s="193"/>
    </row>
    <row r="6" spans="1:6">
      <c r="A6" s="189">
        <f>A5+1</f>
        <v>2</v>
      </c>
      <c r="B6" s="3503"/>
      <c r="C6" s="194"/>
      <c r="D6" s="195"/>
      <c r="E6" s="195"/>
      <c r="F6" s="196"/>
    </row>
    <row r="7" spans="1:6">
      <c r="A7" s="189">
        <f t="shared" ref="A7:A70" si="0">A6+1</f>
        <v>3</v>
      </c>
      <c r="B7" s="3503"/>
      <c r="C7" s="197"/>
      <c r="D7" s="198"/>
      <c r="E7" s="198"/>
      <c r="F7" s="199"/>
    </row>
    <row r="8" spans="1:6">
      <c r="A8" s="189">
        <f t="shared" si="0"/>
        <v>4</v>
      </c>
      <c r="B8" s="3503"/>
      <c r="C8" s="200" t="s">
        <v>3514</v>
      </c>
      <c r="D8" s="200"/>
      <c r="E8" s="200"/>
      <c r="F8" s="201">
        <f>SUM(F5:F7)</f>
        <v>0</v>
      </c>
    </row>
    <row r="9" spans="1:6">
      <c r="A9" s="189">
        <f t="shared" si="0"/>
        <v>5</v>
      </c>
      <c r="B9" s="3503"/>
      <c r="C9" s="190" t="s">
        <v>555</v>
      </c>
      <c r="D9" s="192"/>
      <c r="E9" s="192"/>
      <c r="F9" s="193"/>
    </row>
    <row r="10" spans="1:6">
      <c r="A10" s="189">
        <f t="shared" si="0"/>
        <v>6</v>
      </c>
      <c r="B10" s="3503"/>
      <c r="C10" s="194"/>
      <c r="D10" s="195"/>
      <c r="E10" s="195"/>
      <c r="F10" s="196"/>
    </row>
    <row r="11" spans="1:6">
      <c r="A11" s="189">
        <f t="shared" si="0"/>
        <v>7</v>
      </c>
      <c r="B11" s="3503"/>
      <c r="C11" s="197"/>
      <c r="D11" s="198"/>
      <c r="E11" s="198"/>
      <c r="F11" s="199"/>
    </row>
    <row r="12" spans="1:6">
      <c r="A12" s="189">
        <f t="shared" si="0"/>
        <v>8</v>
      </c>
      <c r="B12" s="3503"/>
      <c r="C12" s="200" t="s">
        <v>3514</v>
      </c>
      <c r="D12" s="200"/>
      <c r="E12" s="200"/>
      <c r="F12" s="201">
        <f>SUM(F9:F11)</f>
        <v>0</v>
      </c>
    </row>
    <row r="13" spans="1:6">
      <c r="A13" s="189">
        <f t="shared" si="0"/>
        <v>9</v>
      </c>
      <c r="B13" s="3503"/>
      <c r="C13" s="190" t="s">
        <v>556</v>
      </c>
      <c r="D13" s="192"/>
      <c r="E13" s="192"/>
      <c r="F13" s="193"/>
    </row>
    <row r="14" spans="1:6">
      <c r="A14" s="189">
        <f t="shared" si="0"/>
        <v>10</v>
      </c>
      <c r="B14" s="3503"/>
      <c r="C14" s="194"/>
      <c r="D14" s="195"/>
      <c r="E14" s="195"/>
      <c r="F14" s="196"/>
    </row>
    <row r="15" spans="1:6">
      <c r="A15" s="189">
        <f t="shared" si="0"/>
        <v>11</v>
      </c>
      <c r="B15" s="3503"/>
      <c r="C15" s="197"/>
      <c r="D15" s="198"/>
      <c r="E15" s="198"/>
      <c r="F15" s="199"/>
    </row>
    <row r="16" spans="1:6">
      <c r="A16" s="189">
        <f t="shared" si="0"/>
        <v>12</v>
      </c>
      <c r="B16" s="3503"/>
      <c r="C16" s="200" t="s">
        <v>3514</v>
      </c>
      <c r="D16" s="200"/>
      <c r="E16" s="200"/>
      <c r="F16" s="201">
        <f>SUM(F13:F15)</f>
        <v>0</v>
      </c>
    </row>
    <row r="17" spans="1:6">
      <c r="A17" s="189">
        <f t="shared" si="0"/>
        <v>13</v>
      </c>
      <c r="B17" s="3504"/>
      <c r="C17" s="200" t="s">
        <v>3515</v>
      </c>
      <c r="D17" s="200"/>
      <c r="E17" s="200"/>
      <c r="F17" s="201">
        <f>F16+F12+F8</f>
        <v>0</v>
      </c>
    </row>
    <row r="18" spans="1:6">
      <c r="A18" s="189">
        <f t="shared" si="0"/>
        <v>14</v>
      </c>
      <c r="B18" s="3502" t="s">
        <v>521</v>
      </c>
      <c r="C18" s="192" t="s">
        <v>554</v>
      </c>
      <c r="D18" s="202"/>
      <c r="E18" s="203"/>
      <c r="F18" s="204"/>
    </row>
    <row r="19" spans="1:6">
      <c r="A19" s="189">
        <f t="shared" si="0"/>
        <v>15</v>
      </c>
      <c r="B19" s="3503"/>
      <c r="C19" s="194"/>
      <c r="D19" s="195"/>
      <c r="E19" s="195"/>
      <c r="F19" s="205"/>
    </row>
    <row r="20" spans="1:6">
      <c r="A20" s="189">
        <f t="shared" si="0"/>
        <v>16</v>
      </c>
      <c r="B20" s="3503"/>
      <c r="C20" s="197"/>
      <c r="D20" s="198"/>
      <c r="E20" s="198"/>
      <c r="F20" s="199"/>
    </row>
    <row r="21" spans="1:6">
      <c r="A21" s="189">
        <f t="shared" si="0"/>
        <v>17</v>
      </c>
      <c r="B21" s="3503"/>
      <c r="C21" s="200" t="s">
        <v>3514</v>
      </c>
      <c r="D21" s="200"/>
      <c r="E21" s="200"/>
      <c r="F21" s="201">
        <f>SUM(F18:F20)</f>
        <v>0</v>
      </c>
    </row>
    <row r="22" spans="1:6">
      <c r="A22" s="189">
        <f t="shared" si="0"/>
        <v>18</v>
      </c>
      <c r="B22" s="3503"/>
      <c r="C22" s="190" t="s">
        <v>555</v>
      </c>
      <c r="D22" s="192"/>
      <c r="E22" s="192"/>
      <c r="F22" s="193"/>
    </row>
    <row r="23" spans="1:6">
      <c r="A23" s="189">
        <f t="shared" si="0"/>
        <v>19</v>
      </c>
      <c r="B23" s="3503"/>
      <c r="C23" s="194"/>
      <c r="D23" s="195"/>
      <c r="E23" s="195"/>
      <c r="F23" s="196"/>
    </row>
    <row r="24" spans="1:6">
      <c r="A24" s="189">
        <f t="shared" si="0"/>
        <v>20</v>
      </c>
      <c r="B24" s="3503"/>
      <c r="C24" s="197"/>
      <c r="D24" s="198"/>
      <c r="E24" s="198"/>
      <c r="F24" s="199"/>
    </row>
    <row r="25" spans="1:6">
      <c r="A25" s="189">
        <f t="shared" si="0"/>
        <v>21</v>
      </c>
      <c r="B25" s="3503"/>
      <c r="C25" s="200" t="s">
        <v>3514</v>
      </c>
      <c r="D25" s="200"/>
      <c r="E25" s="200"/>
      <c r="F25" s="201">
        <f>SUM(F22:F24)</f>
        <v>0</v>
      </c>
    </row>
    <row r="26" spans="1:6">
      <c r="A26" s="189">
        <f t="shared" si="0"/>
        <v>22</v>
      </c>
      <c r="B26" s="3503"/>
      <c r="C26" s="190" t="s">
        <v>556</v>
      </c>
      <c r="D26" s="192"/>
      <c r="E26" s="192"/>
      <c r="F26" s="193"/>
    </row>
    <row r="27" spans="1:6">
      <c r="A27" s="189">
        <f t="shared" si="0"/>
        <v>23</v>
      </c>
      <c r="B27" s="3503"/>
      <c r="C27" s="194"/>
      <c r="D27" s="195"/>
      <c r="E27" s="195"/>
      <c r="F27" s="196"/>
    </row>
    <row r="28" spans="1:6">
      <c r="A28" s="189">
        <f t="shared" si="0"/>
        <v>24</v>
      </c>
      <c r="B28" s="3503"/>
      <c r="C28" s="197"/>
      <c r="D28" s="198"/>
      <c r="E28" s="198"/>
      <c r="F28" s="199"/>
    </row>
    <row r="29" spans="1:6">
      <c r="A29" s="189">
        <f t="shared" si="0"/>
        <v>25</v>
      </c>
      <c r="B29" s="3503"/>
      <c r="C29" s="200" t="s">
        <v>3514</v>
      </c>
      <c r="D29" s="200"/>
      <c r="E29" s="200"/>
      <c r="F29" s="201">
        <f>SUM(F26:F28)</f>
        <v>0</v>
      </c>
    </row>
    <row r="30" spans="1:6">
      <c r="A30" s="189">
        <f t="shared" si="0"/>
        <v>26</v>
      </c>
      <c r="B30" s="3504"/>
      <c r="C30" s="200" t="s">
        <v>3515</v>
      </c>
      <c r="D30" s="200"/>
      <c r="E30" s="200"/>
      <c r="F30" s="201">
        <f>F29+F25+F21</f>
        <v>0</v>
      </c>
    </row>
    <row r="31" spans="1:6">
      <c r="A31" s="189">
        <f t="shared" si="0"/>
        <v>27</v>
      </c>
      <c r="B31" s="3502" t="s">
        <v>235</v>
      </c>
      <c r="C31" s="190" t="s">
        <v>554</v>
      </c>
      <c r="D31" s="192"/>
      <c r="E31" s="192"/>
      <c r="F31" s="193"/>
    </row>
    <row r="32" spans="1:6">
      <c r="A32" s="189">
        <f t="shared" si="0"/>
        <v>28</v>
      </c>
      <c r="B32" s="3503"/>
      <c r="C32" s="194"/>
      <c r="D32" s="195"/>
      <c r="E32" s="195"/>
      <c r="F32" s="196"/>
    </row>
    <row r="33" spans="1:6">
      <c r="A33" s="189">
        <f t="shared" si="0"/>
        <v>29</v>
      </c>
      <c r="B33" s="3503"/>
      <c r="C33" s="197"/>
      <c r="D33" s="198"/>
      <c r="E33" s="198"/>
      <c r="F33" s="199"/>
    </row>
    <row r="34" spans="1:6">
      <c r="A34" s="189">
        <f t="shared" si="0"/>
        <v>30</v>
      </c>
      <c r="B34" s="3503"/>
      <c r="C34" s="200" t="s">
        <v>3514</v>
      </c>
      <c r="D34" s="200"/>
      <c r="E34" s="200"/>
      <c r="F34" s="201">
        <f>SUM(F31:F33)</f>
        <v>0</v>
      </c>
    </row>
    <row r="35" spans="1:6">
      <c r="A35" s="189">
        <f t="shared" si="0"/>
        <v>31</v>
      </c>
      <c r="B35" s="3503"/>
      <c r="C35" s="190" t="s">
        <v>555</v>
      </c>
      <c r="D35" s="192"/>
      <c r="E35" s="192"/>
      <c r="F35" s="193"/>
    </row>
    <row r="36" spans="1:6">
      <c r="A36" s="189">
        <f t="shared" si="0"/>
        <v>32</v>
      </c>
      <c r="B36" s="3503"/>
      <c r="C36" s="194"/>
      <c r="D36" s="195"/>
      <c r="E36" s="195"/>
      <c r="F36" s="196"/>
    </row>
    <row r="37" spans="1:6">
      <c r="A37" s="189">
        <f t="shared" si="0"/>
        <v>33</v>
      </c>
      <c r="B37" s="3503"/>
      <c r="C37" s="197"/>
      <c r="D37" s="198"/>
      <c r="E37" s="198"/>
      <c r="F37" s="199"/>
    </row>
    <row r="38" spans="1:6">
      <c r="A38" s="189">
        <f t="shared" si="0"/>
        <v>34</v>
      </c>
      <c r="B38" s="3503"/>
      <c r="C38" s="200" t="s">
        <v>3514</v>
      </c>
      <c r="D38" s="200"/>
      <c r="E38" s="200"/>
      <c r="F38" s="201">
        <f>SUM(F35:F37)</f>
        <v>0</v>
      </c>
    </row>
    <row r="39" spans="1:6">
      <c r="A39" s="189">
        <f t="shared" si="0"/>
        <v>35</v>
      </c>
      <c r="B39" s="3503"/>
      <c r="C39" s="190" t="s">
        <v>556</v>
      </c>
      <c r="D39" s="192"/>
      <c r="E39" s="192"/>
      <c r="F39" s="193"/>
    </row>
    <row r="40" spans="1:6">
      <c r="A40" s="189">
        <f t="shared" si="0"/>
        <v>36</v>
      </c>
      <c r="B40" s="3503"/>
      <c r="C40" s="194"/>
      <c r="D40" s="195"/>
      <c r="E40" s="195"/>
      <c r="F40" s="196"/>
    </row>
    <row r="41" spans="1:6">
      <c r="A41" s="189">
        <f t="shared" si="0"/>
        <v>37</v>
      </c>
      <c r="B41" s="3503"/>
      <c r="C41" s="197"/>
      <c r="D41" s="195"/>
      <c r="E41" s="195"/>
      <c r="F41" s="196"/>
    </row>
    <row r="42" spans="1:6">
      <c r="A42" s="189">
        <f t="shared" si="0"/>
        <v>38</v>
      </c>
      <c r="B42" s="3503"/>
      <c r="C42" s="200" t="s">
        <v>3514</v>
      </c>
      <c r="D42" s="200"/>
      <c r="E42" s="200"/>
      <c r="F42" s="201">
        <f>SUM(F39:F41)</f>
        <v>0</v>
      </c>
    </row>
    <row r="43" spans="1:6">
      <c r="A43" s="189">
        <f t="shared" si="0"/>
        <v>39</v>
      </c>
      <c r="B43" s="3504"/>
      <c r="C43" s="200" t="s">
        <v>3515</v>
      </c>
      <c r="D43" s="200"/>
      <c r="E43" s="200"/>
      <c r="F43" s="201">
        <f>F42+F38+F34</f>
        <v>0</v>
      </c>
    </row>
    <row r="44" spans="1:6">
      <c r="A44" s="189">
        <f t="shared" si="0"/>
        <v>40</v>
      </c>
      <c r="B44" s="3502" t="s">
        <v>236</v>
      </c>
      <c r="C44" s="190" t="s">
        <v>554</v>
      </c>
      <c r="D44" s="192"/>
      <c r="E44" s="192"/>
      <c r="F44" s="193"/>
    </row>
    <row r="45" spans="1:6">
      <c r="A45" s="189">
        <f t="shared" si="0"/>
        <v>41</v>
      </c>
      <c r="B45" s="3503"/>
      <c r="C45" s="194"/>
      <c r="D45" s="195"/>
      <c r="E45" s="195"/>
      <c r="F45" s="196"/>
    </row>
    <row r="46" spans="1:6">
      <c r="A46" s="189">
        <f t="shared" si="0"/>
        <v>42</v>
      </c>
      <c r="B46" s="3503"/>
      <c r="C46" s="197"/>
      <c r="D46" s="198"/>
      <c r="E46" s="198"/>
      <c r="F46" s="199"/>
    </row>
    <row r="47" spans="1:6">
      <c r="A47" s="189">
        <f t="shared" si="0"/>
        <v>43</v>
      </c>
      <c r="B47" s="3503"/>
      <c r="C47" s="200" t="s">
        <v>3514</v>
      </c>
      <c r="D47" s="200"/>
      <c r="E47" s="200"/>
      <c r="F47" s="201">
        <f>SUM(F44:F46)</f>
        <v>0</v>
      </c>
    </row>
    <row r="48" spans="1:6">
      <c r="A48" s="189">
        <f t="shared" si="0"/>
        <v>44</v>
      </c>
      <c r="B48" s="3503"/>
      <c r="C48" s="190" t="s">
        <v>555</v>
      </c>
      <c r="D48" s="192"/>
      <c r="E48" s="192"/>
      <c r="F48" s="193"/>
    </row>
    <row r="49" spans="1:6">
      <c r="A49" s="189">
        <f t="shared" si="0"/>
        <v>45</v>
      </c>
      <c r="B49" s="3503"/>
      <c r="C49" s="194"/>
      <c r="D49" s="195"/>
      <c r="E49" s="195"/>
      <c r="F49" s="196"/>
    </row>
    <row r="50" spans="1:6">
      <c r="A50" s="189">
        <f t="shared" si="0"/>
        <v>46</v>
      </c>
      <c r="B50" s="3503"/>
      <c r="C50" s="197"/>
      <c r="D50" s="198"/>
      <c r="E50" s="198"/>
      <c r="F50" s="199"/>
    </row>
    <row r="51" spans="1:6">
      <c r="A51" s="189">
        <f t="shared" si="0"/>
        <v>47</v>
      </c>
      <c r="B51" s="3503"/>
      <c r="C51" s="200" t="s">
        <v>3514</v>
      </c>
      <c r="D51" s="200"/>
      <c r="E51" s="200"/>
      <c r="F51" s="201">
        <f>SUM(F48:F50)</f>
        <v>0</v>
      </c>
    </row>
    <row r="52" spans="1:6">
      <c r="A52" s="189">
        <f t="shared" si="0"/>
        <v>48</v>
      </c>
      <c r="B52" s="3503"/>
      <c r="C52" s="190" t="s">
        <v>556</v>
      </c>
      <c r="D52" s="192"/>
      <c r="E52" s="192"/>
      <c r="F52" s="193"/>
    </row>
    <row r="53" spans="1:6">
      <c r="A53" s="189">
        <f t="shared" si="0"/>
        <v>49</v>
      </c>
      <c r="B53" s="3503"/>
      <c r="C53" s="194"/>
      <c r="D53" s="195"/>
      <c r="E53" s="195"/>
      <c r="F53" s="196"/>
    </row>
    <row r="54" spans="1:6">
      <c r="A54" s="189">
        <f t="shared" si="0"/>
        <v>50</v>
      </c>
      <c r="B54" s="3503"/>
      <c r="C54" s="197"/>
      <c r="D54" s="198"/>
      <c r="E54" s="198"/>
      <c r="F54" s="196"/>
    </row>
    <row r="55" spans="1:6">
      <c r="A55" s="189">
        <f t="shared" si="0"/>
        <v>51</v>
      </c>
      <c r="B55" s="3503"/>
      <c r="C55" s="200" t="s">
        <v>3514</v>
      </c>
      <c r="D55" s="200"/>
      <c r="E55" s="200"/>
      <c r="F55" s="201">
        <f>SUM(F52:F54)</f>
        <v>0</v>
      </c>
    </row>
    <row r="56" spans="1:6">
      <c r="A56" s="189">
        <f t="shared" si="0"/>
        <v>52</v>
      </c>
      <c r="B56" s="3504"/>
      <c r="C56" s="200" t="s">
        <v>3515</v>
      </c>
      <c r="D56" s="200"/>
      <c r="E56" s="200"/>
      <c r="F56" s="201">
        <f>F55+F51+F47</f>
        <v>0</v>
      </c>
    </row>
    <row r="57" spans="1:6">
      <c r="A57" s="189">
        <f t="shared" si="0"/>
        <v>53</v>
      </c>
      <c r="B57" s="3502" t="s">
        <v>237</v>
      </c>
      <c r="C57" s="190" t="s">
        <v>554</v>
      </c>
      <c r="D57" s="192"/>
      <c r="E57" s="192"/>
      <c r="F57" s="193"/>
    </row>
    <row r="58" spans="1:6">
      <c r="A58" s="189">
        <f t="shared" si="0"/>
        <v>54</v>
      </c>
      <c r="B58" s="3503"/>
      <c r="C58" s="194"/>
      <c r="D58" s="195"/>
      <c r="E58" s="195"/>
      <c r="F58" s="196"/>
    </row>
    <row r="59" spans="1:6">
      <c r="A59" s="189">
        <f t="shared" si="0"/>
        <v>55</v>
      </c>
      <c r="B59" s="3503"/>
      <c r="C59" s="197"/>
      <c r="D59" s="198"/>
      <c r="E59" s="198"/>
      <c r="F59" s="199"/>
    </row>
    <row r="60" spans="1:6">
      <c r="A60" s="189">
        <f t="shared" si="0"/>
        <v>56</v>
      </c>
      <c r="B60" s="3503"/>
      <c r="C60" s="200" t="s">
        <v>3514</v>
      </c>
      <c r="D60" s="200"/>
      <c r="E60" s="200"/>
      <c r="F60" s="201">
        <f>SUM(F57:F59)</f>
        <v>0</v>
      </c>
    </row>
    <row r="61" spans="1:6">
      <c r="A61" s="189">
        <f t="shared" si="0"/>
        <v>57</v>
      </c>
      <c r="B61" s="3503"/>
      <c r="C61" s="190" t="s">
        <v>555</v>
      </c>
      <c r="D61" s="192"/>
      <c r="E61" s="192"/>
      <c r="F61" s="193"/>
    </row>
    <row r="62" spans="1:6">
      <c r="A62" s="189">
        <f t="shared" si="0"/>
        <v>58</v>
      </c>
      <c r="B62" s="3503"/>
      <c r="C62" s="194"/>
      <c r="D62" s="195"/>
      <c r="E62" s="195"/>
      <c r="F62" s="196"/>
    </row>
    <row r="63" spans="1:6">
      <c r="A63" s="189">
        <f t="shared" si="0"/>
        <v>59</v>
      </c>
      <c r="B63" s="3503"/>
      <c r="C63" s="197"/>
      <c r="D63" s="198"/>
      <c r="E63" s="198"/>
      <c r="F63" s="199"/>
    </row>
    <row r="64" spans="1:6">
      <c r="A64" s="189">
        <f t="shared" si="0"/>
        <v>60</v>
      </c>
      <c r="B64" s="3503"/>
      <c r="C64" s="200" t="s">
        <v>3514</v>
      </c>
      <c r="D64" s="200"/>
      <c r="E64" s="200"/>
      <c r="F64" s="201">
        <f>SUM(F61:F63)</f>
        <v>0</v>
      </c>
    </row>
    <row r="65" spans="1:6">
      <c r="A65" s="189">
        <f t="shared" si="0"/>
        <v>61</v>
      </c>
      <c r="B65" s="3503"/>
      <c r="C65" s="190" t="s">
        <v>556</v>
      </c>
      <c r="D65" s="192"/>
      <c r="E65" s="192"/>
      <c r="F65" s="193"/>
    </row>
    <row r="66" spans="1:6">
      <c r="A66" s="189">
        <f t="shared" si="0"/>
        <v>62</v>
      </c>
      <c r="B66" s="3503"/>
      <c r="C66" s="194"/>
      <c r="D66" s="195"/>
      <c r="E66" s="195"/>
      <c r="F66" s="196"/>
    </row>
    <row r="67" spans="1:6">
      <c r="A67" s="189">
        <f t="shared" si="0"/>
        <v>63</v>
      </c>
      <c r="B67" s="3503"/>
      <c r="C67" s="197"/>
      <c r="D67" s="198"/>
      <c r="E67" s="198"/>
      <c r="F67" s="196"/>
    </row>
    <row r="68" spans="1:6">
      <c r="A68" s="189">
        <f t="shared" si="0"/>
        <v>64</v>
      </c>
      <c r="B68" s="3503"/>
      <c r="C68" s="200" t="s">
        <v>3514</v>
      </c>
      <c r="D68" s="200"/>
      <c r="E68" s="200"/>
      <c r="F68" s="201">
        <f>SUM(F65:F67)</f>
        <v>0</v>
      </c>
    </row>
    <row r="69" spans="1:6">
      <c r="A69" s="189">
        <f t="shared" si="0"/>
        <v>65</v>
      </c>
      <c r="B69" s="3504"/>
      <c r="C69" s="200" t="s">
        <v>3515</v>
      </c>
      <c r="D69" s="200"/>
      <c r="E69" s="200"/>
      <c r="F69" s="201">
        <f>F68+F64+F60</f>
        <v>0</v>
      </c>
    </row>
    <row r="70" spans="1:6">
      <c r="A70" s="189">
        <f t="shared" si="0"/>
        <v>66</v>
      </c>
      <c r="B70" s="3502" t="s">
        <v>238</v>
      </c>
      <c r="C70" s="190" t="s">
        <v>554</v>
      </c>
      <c r="D70" s="192"/>
      <c r="E70" s="192"/>
      <c r="F70" s="193"/>
    </row>
    <row r="71" spans="1:6">
      <c r="A71" s="189">
        <f t="shared" ref="A71:A110" si="1">A70+1</f>
        <v>67</v>
      </c>
      <c r="B71" s="3503"/>
      <c r="C71" s="194"/>
      <c r="D71" s="195"/>
      <c r="E71" s="195"/>
      <c r="F71" s="196"/>
    </row>
    <row r="72" spans="1:6">
      <c r="A72" s="189">
        <f t="shared" si="1"/>
        <v>68</v>
      </c>
      <c r="B72" s="3503"/>
      <c r="C72" s="197"/>
      <c r="D72" s="198"/>
      <c r="E72" s="198"/>
      <c r="F72" s="199"/>
    </row>
    <row r="73" spans="1:6">
      <c r="A73" s="189">
        <f t="shared" si="1"/>
        <v>69</v>
      </c>
      <c r="B73" s="3503"/>
      <c r="C73" s="200" t="s">
        <v>3514</v>
      </c>
      <c r="D73" s="200"/>
      <c r="E73" s="200"/>
      <c r="F73" s="201">
        <f>SUM(F70:F72)</f>
        <v>0</v>
      </c>
    </row>
    <row r="74" spans="1:6">
      <c r="A74" s="189">
        <f t="shared" si="1"/>
        <v>70</v>
      </c>
      <c r="B74" s="3503"/>
      <c r="C74" s="190" t="s">
        <v>555</v>
      </c>
      <c r="D74" s="192"/>
      <c r="E74" s="192"/>
      <c r="F74" s="193"/>
    </row>
    <row r="75" spans="1:6">
      <c r="A75" s="189">
        <f t="shared" si="1"/>
        <v>71</v>
      </c>
      <c r="B75" s="3503"/>
      <c r="C75" s="194"/>
      <c r="D75" s="195"/>
      <c r="E75" s="195"/>
      <c r="F75" s="196"/>
    </row>
    <row r="76" spans="1:6">
      <c r="A76" s="189">
        <f t="shared" si="1"/>
        <v>72</v>
      </c>
      <c r="B76" s="3503"/>
      <c r="C76" s="197"/>
      <c r="D76" s="198"/>
      <c r="E76" s="198"/>
      <c r="F76" s="199"/>
    </row>
    <row r="77" spans="1:6">
      <c r="A77" s="189">
        <f t="shared" si="1"/>
        <v>73</v>
      </c>
      <c r="B77" s="3503"/>
      <c r="C77" s="200" t="s">
        <v>3514</v>
      </c>
      <c r="D77" s="200"/>
      <c r="E77" s="200"/>
      <c r="F77" s="201">
        <f>SUM(F74:F76)</f>
        <v>0</v>
      </c>
    </row>
    <row r="78" spans="1:6">
      <c r="A78" s="189">
        <f t="shared" si="1"/>
        <v>74</v>
      </c>
      <c r="B78" s="3503"/>
      <c r="C78" s="190" t="s">
        <v>556</v>
      </c>
      <c r="D78" s="192"/>
      <c r="E78" s="192"/>
      <c r="F78" s="193"/>
    </row>
    <row r="79" spans="1:6">
      <c r="A79" s="189">
        <f t="shared" si="1"/>
        <v>75</v>
      </c>
      <c r="B79" s="3503"/>
      <c r="C79" s="194"/>
      <c r="D79" s="195"/>
      <c r="E79" s="195"/>
      <c r="F79" s="196"/>
    </row>
    <row r="80" spans="1:6">
      <c r="A80" s="189">
        <f t="shared" si="1"/>
        <v>76</v>
      </c>
      <c r="B80" s="3503"/>
      <c r="C80" s="197"/>
      <c r="D80" s="198"/>
      <c r="E80" s="198"/>
      <c r="F80" s="199"/>
    </row>
    <row r="81" spans="1:6">
      <c r="A81" s="189">
        <f t="shared" si="1"/>
        <v>77</v>
      </c>
      <c r="B81" s="3503"/>
      <c r="C81" s="200" t="s">
        <v>3514</v>
      </c>
      <c r="D81" s="200"/>
      <c r="E81" s="200"/>
      <c r="F81" s="201">
        <f>SUM(F78:F80)</f>
        <v>0</v>
      </c>
    </row>
    <row r="82" spans="1:6">
      <c r="A82" s="189">
        <f t="shared" si="1"/>
        <v>78</v>
      </c>
      <c r="B82" s="3504"/>
      <c r="C82" s="200" t="s">
        <v>3515</v>
      </c>
      <c r="D82" s="200"/>
      <c r="E82" s="200"/>
      <c r="F82" s="201">
        <f>F81+F77+F73</f>
        <v>0</v>
      </c>
    </row>
    <row r="83" spans="1:6">
      <c r="A83" s="189">
        <f t="shared" si="1"/>
        <v>79</v>
      </c>
      <c r="B83" s="206" t="s">
        <v>387</v>
      </c>
      <c r="C83" s="207"/>
      <c r="D83" s="200"/>
      <c r="E83" s="200"/>
      <c r="F83" s="201">
        <f>F17+F30+F43+F56+F69+F82</f>
        <v>0</v>
      </c>
    </row>
    <row r="84" spans="1:6">
      <c r="A84" s="189">
        <f t="shared" si="1"/>
        <v>80</v>
      </c>
      <c r="B84" s="3505" t="s">
        <v>365</v>
      </c>
      <c r="C84" s="190" t="s">
        <v>554</v>
      </c>
      <c r="D84" s="192"/>
      <c r="E84" s="192"/>
      <c r="F84" s="193"/>
    </row>
    <row r="85" spans="1:6">
      <c r="A85" s="189">
        <f t="shared" si="1"/>
        <v>81</v>
      </c>
      <c r="B85" s="3506"/>
      <c r="C85" s="194"/>
      <c r="D85" s="195"/>
      <c r="E85" s="195"/>
      <c r="F85" s="196"/>
    </row>
    <row r="86" spans="1:6">
      <c r="A86" s="189">
        <f t="shared" si="1"/>
        <v>82</v>
      </c>
      <c r="B86" s="3506"/>
      <c r="C86" s="197"/>
      <c r="D86" s="198"/>
      <c r="E86" s="198"/>
      <c r="F86" s="199"/>
    </row>
    <row r="87" spans="1:6">
      <c r="A87" s="189">
        <f t="shared" si="1"/>
        <v>83</v>
      </c>
      <c r="B87" s="3506"/>
      <c r="C87" s="200" t="s">
        <v>3514</v>
      </c>
      <c r="D87" s="200"/>
      <c r="E87" s="200"/>
      <c r="F87" s="201">
        <f>SUM(F84:F86)</f>
        <v>0</v>
      </c>
    </row>
    <row r="88" spans="1:6">
      <c r="A88" s="189">
        <f t="shared" si="1"/>
        <v>84</v>
      </c>
      <c r="B88" s="3506"/>
      <c r="C88" s="208" t="s">
        <v>555</v>
      </c>
      <c r="D88" s="209"/>
      <c r="E88" s="209"/>
      <c r="F88" s="210"/>
    </row>
    <row r="89" spans="1:6">
      <c r="A89" s="189">
        <f t="shared" si="1"/>
        <v>85</v>
      </c>
      <c r="B89" s="3506"/>
      <c r="C89" s="194"/>
      <c r="D89" s="195"/>
      <c r="E89" s="195"/>
      <c r="F89" s="196"/>
    </row>
    <row r="90" spans="1:6">
      <c r="A90" s="189">
        <f t="shared" si="1"/>
        <v>86</v>
      </c>
      <c r="B90" s="3506"/>
      <c r="C90" s="194"/>
      <c r="D90" s="195"/>
      <c r="E90" s="195"/>
      <c r="F90" s="196"/>
    </row>
    <row r="91" spans="1:6">
      <c r="A91" s="189">
        <f t="shared" si="1"/>
        <v>87</v>
      </c>
      <c r="B91" s="3506"/>
      <c r="C91" s="200" t="s">
        <v>3514</v>
      </c>
      <c r="D91" s="200"/>
      <c r="E91" s="200"/>
      <c r="F91" s="201">
        <f>SUM(F88:F90)</f>
        <v>0</v>
      </c>
    </row>
    <row r="92" spans="1:6">
      <c r="A92" s="189">
        <f t="shared" si="1"/>
        <v>88</v>
      </c>
      <c r="B92" s="3506"/>
      <c r="C92" s="190" t="s">
        <v>556</v>
      </c>
      <c r="D92" s="192"/>
      <c r="E92" s="192"/>
      <c r="F92" s="193"/>
    </row>
    <row r="93" spans="1:6">
      <c r="A93" s="189">
        <f t="shared" si="1"/>
        <v>89</v>
      </c>
      <c r="B93" s="3506"/>
      <c r="C93" s="194"/>
      <c r="D93" s="195"/>
      <c r="E93" s="195"/>
      <c r="F93" s="196"/>
    </row>
    <row r="94" spans="1:6">
      <c r="A94" s="189">
        <f t="shared" si="1"/>
        <v>90</v>
      </c>
      <c r="B94" s="3506"/>
      <c r="C94" s="197"/>
      <c r="D94" s="198"/>
      <c r="E94" s="198"/>
      <c r="F94" s="199"/>
    </row>
    <row r="95" spans="1:6">
      <c r="A95" s="189">
        <f t="shared" si="1"/>
        <v>91</v>
      </c>
      <c r="B95" s="3506"/>
      <c r="C95" s="200" t="s">
        <v>3514</v>
      </c>
      <c r="D95" s="200"/>
      <c r="E95" s="200"/>
      <c r="F95" s="201">
        <f>SUM(F92:F94)</f>
        <v>0</v>
      </c>
    </row>
    <row r="96" spans="1:6">
      <c r="A96" s="189">
        <f t="shared" si="1"/>
        <v>92</v>
      </c>
      <c r="B96" s="3507"/>
      <c r="C96" s="200" t="s">
        <v>3515</v>
      </c>
      <c r="D96" s="200"/>
      <c r="E96" s="200"/>
      <c r="F96" s="201">
        <f>F87+F91+F95</f>
        <v>0</v>
      </c>
    </row>
    <row r="97" spans="1:7">
      <c r="A97" s="189">
        <f t="shared" si="1"/>
        <v>93</v>
      </c>
      <c r="B97" s="3505" t="s">
        <v>366</v>
      </c>
      <c r="C97" s="190" t="s">
        <v>554</v>
      </c>
      <c r="D97" s="192"/>
      <c r="E97" s="192"/>
      <c r="F97" s="193"/>
    </row>
    <row r="98" spans="1:7">
      <c r="A98" s="189">
        <f t="shared" si="1"/>
        <v>94</v>
      </c>
      <c r="B98" s="3506"/>
      <c r="C98" s="194"/>
      <c r="D98" s="195"/>
      <c r="E98" s="195"/>
      <c r="F98" s="196"/>
    </row>
    <row r="99" spans="1:7">
      <c r="A99" s="189">
        <f t="shared" si="1"/>
        <v>95</v>
      </c>
      <c r="B99" s="3506"/>
      <c r="C99" s="197"/>
      <c r="D99" s="198"/>
      <c r="E99" s="198"/>
      <c r="F99" s="199"/>
    </row>
    <row r="100" spans="1:7">
      <c r="A100" s="189">
        <f t="shared" si="1"/>
        <v>96</v>
      </c>
      <c r="B100" s="3506"/>
      <c r="C100" s="200" t="s">
        <v>3514</v>
      </c>
      <c r="D100" s="200"/>
      <c r="E100" s="200"/>
      <c r="F100" s="201">
        <f>SUM(F97:F99)</f>
        <v>0</v>
      </c>
    </row>
    <row r="101" spans="1:7">
      <c r="A101" s="189">
        <f t="shared" si="1"/>
        <v>97</v>
      </c>
      <c r="B101" s="3506"/>
      <c r="C101" s="190" t="s">
        <v>555</v>
      </c>
      <c r="D101" s="192"/>
      <c r="E101" s="192"/>
      <c r="F101" s="193"/>
    </row>
    <row r="102" spans="1:7">
      <c r="A102" s="189">
        <f t="shared" si="1"/>
        <v>98</v>
      </c>
      <c r="B102" s="3506"/>
      <c r="C102" s="194"/>
      <c r="D102" s="195"/>
      <c r="E102" s="195"/>
      <c r="F102" s="196"/>
    </row>
    <row r="103" spans="1:7">
      <c r="A103" s="189">
        <f t="shared" si="1"/>
        <v>99</v>
      </c>
      <c r="B103" s="3506"/>
      <c r="C103" s="197"/>
      <c r="D103" s="198"/>
      <c r="E103" s="198"/>
      <c r="F103" s="199"/>
    </row>
    <row r="104" spans="1:7">
      <c r="A104" s="189">
        <f t="shared" si="1"/>
        <v>100</v>
      </c>
      <c r="B104" s="3506"/>
      <c r="C104" s="200" t="s">
        <v>3514</v>
      </c>
      <c r="D104" s="200"/>
      <c r="E104" s="200"/>
      <c r="F104" s="201">
        <f>SUM(F101:F103)</f>
        <v>0</v>
      </c>
    </row>
    <row r="105" spans="1:7">
      <c r="A105" s="189">
        <f t="shared" si="1"/>
        <v>101</v>
      </c>
      <c r="B105" s="3506"/>
      <c r="C105" s="190" t="s">
        <v>556</v>
      </c>
      <c r="D105" s="192"/>
      <c r="E105" s="192"/>
      <c r="F105" s="193"/>
    </row>
    <row r="106" spans="1:7">
      <c r="A106" s="189">
        <f t="shared" si="1"/>
        <v>102</v>
      </c>
      <c r="B106" s="3506"/>
      <c r="C106" s="194"/>
      <c r="D106" s="195"/>
      <c r="E106" s="195"/>
      <c r="F106" s="196"/>
    </row>
    <row r="107" spans="1:7">
      <c r="A107" s="189">
        <f t="shared" si="1"/>
        <v>103</v>
      </c>
      <c r="B107" s="3506"/>
      <c r="C107" s="197"/>
      <c r="D107" s="198"/>
      <c r="E107" s="198"/>
      <c r="F107" s="199"/>
    </row>
    <row r="108" spans="1:7">
      <c r="A108" s="189">
        <f t="shared" si="1"/>
        <v>104</v>
      </c>
      <c r="B108" s="3506"/>
      <c r="C108" s="200" t="s">
        <v>3514</v>
      </c>
      <c r="D108" s="200"/>
      <c r="E108" s="200"/>
      <c r="F108" s="201">
        <f>SUM(F105:F107)</f>
        <v>0</v>
      </c>
    </row>
    <row r="109" spans="1:7">
      <c r="A109" s="189">
        <f t="shared" si="1"/>
        <v>105</v>
      </c>
      <c r="B109" s="3507"/>
      <c r="C109" s="200" t="s">
        <v>3515</v>
      </c>
      <c r="D109" s="200"/>
      <c r="E109" s="200"/>
      <c r="F109" s="201">
        <f>F100+F104+F108</f>
        <v>0</v>
      </c>
    </row>
    <row r="110" spans="1:7" ht="15" thickBot="1">
      <c r="A110" s="211">
        <f t="shared" si="1"/>
        <v>106</v>
      </c>
      <c r="B110" s="212" t="s">
        <v>239</v>
      </c>
      <c r="C110" s="213"/>
      <c r="D110" s="214"/>
      <c r="E110" s="214"/>
      <c r="F110" s="215">
        <f>F96+F109</f>
        <v>0</v>
      </c>
    </row>
    <row r="111" spans="1:7">
      <c r="A111" s="184" t="s">
        <v>435</v>
      </c>
    </row>
    <row r="112" spans="1:7" ht="27.75" customHeight="1">
      <c r="A112" s="217">
        <v>1</v>
      </c>
      <c r="B112" s="3501" t="s">
        <v>240</v>
      </c>
      <c r="C112" s="3501"/>
      <c r="D112" s="3501"/>
      <c r="E112" s="3501"/>
      <c r="F112" s="3501"/>
      <c r="G112" s="218"/>
    </row>
    <row r="113" spans="1:7" s="219" customFormat="1" ht="27.75" customHeight="1">
      <c r="A113" s="217">
        <v>2</v>
      </c>
      <c r="B113" s="3501" t="s">
        <v>360</v>
      </c>
      <c r="C113" s="3501"/>
      <c r="D113" s="3501"/>
      <c r="E113" s="3501"/>
      <c r="F113" s="3501"/>
      <c r="G113" s="218"/>
    </row>
    <row r="114" spans="1:7" s="219" customFormat="1" ht="28.5" customHeight="1">
      <c r="A114" s="217">
        <v>3</v>
      </c>
      <c r="B114" s="3501" t="s">
        <v>5612</v>
      </c>
      <c r="C114" s="3501"/>
      <c r="D114" s="3501"/>
      <c r="E114" s="3501"/>
      <c r="F114" s="3501"/>
      <c r="G114" s="218"/>
    </row>
    <row r="115" spans="1:7">
      <c r="A115" s="184">
        <v>4</v>
      </c>
      <c r="B115" s="183" t="s">
        <v>367</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30"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heetViews>
  <sheetFormatPr defaultColWidth="17.625" defaultRowHeight="15.75"/>
  <cols>
    <col min="1" max="1" width="17.625" style="13" customWidth="1"/>
    <col min="2" max="2" width="39.625" style="13" customWidth="1"/>
    <col min="3" max="16384" width="17.625" style="13"/>
  </cols>
  <sheetData>
    <row r="1" spans="1:10">
      <c r="A1" s="70" t="str">
        <f>+封面!A3&amp;" "&amp;封面!A2</f>
        <v xml:space="preserve"> 中央再保險股份有限公司 年度檢查報表</v>
      </c>
      <c r="B1" s="71"/>
    </row>
    <row r="2" spans="1:10" ht="17.25" thickBot="1">
      <c r="A2" s="157" t="s">
        <v>3490</v>
      </c>
      <c r="B2" s="158"/>
      <c r="C2" s="16"/>
      <c r="D2" s="16"/>
      <c r="E2" s="16"/>
      <c r="F2" s="16"/>
      <c r="G2" s="16"/>
      <c r="H2" s="16"/>
      <c r="I2" s="16"/>
      <c r="J2" s="16"/>
    </row>
    <row r="3" spans="1:10" ht="33">
      <c r="A3" s="3510" t="s">
        <v>3491</v>
      </c>
      <c r="B3" s="159" t="s">
        <v>3492</v>
      </c>
      <c r="C3" s="159" t="s">
        <v>3493</v>
      </c>
      <c r="D3" s="159" t="s">
        <v>3494</v>
      </c>
      <c r="E3" s="159" t="s">
        <v>3495</v>
      </c>
      <c r="F3" s="159" t="s">
        <v>3496</v>
      </c>
      <c r="G3" s="159" t="s">
        <v>3497</v>
      </c>
      <c r="H3" s="159" t="s">
        <v>3498</v>
      </c>
      <c r="I3" s="159" t="s">
        <v>3499</v>
      </c>
      <c r="J3" s="160" t="s">
        <v>3500</v>
      </c>
    </row>
    <row r="4" spans="1:10" ht="31.5">
      <c r="A4" s="3511"/>
      <c r="B4" s="161" t="s">
        <v>175</v>
      </c>
      <c r="C4" s="161" t="s">
        <v>176</v>
      </c>
      <c r="D4" s="161" t="s">
        <v>68</v>
      </c>
      <c r="E4" s="161" t="s">
        <v>1368</v>
      </c>
      <c r="F4" s="161" t="s">
        <v>70</v>
      </c>
      <c r="G4" s="161" t="s">
        <v>1374</v>
      </c>
      <c r="H4" s="161" t="s">
        <v>1375</v>
      </c>
      <c r="I4" s="161" t="s">
        <v>1376</v>
      </c>
      <c r="J4" s="162" t="s">
        <v>1369</v>
      </c>
    </row>
    <row r="5" spans="1:10" ht="16.5">
      <c r="A5" s="163">
        <v>1</v>
      </c>
      <c r="B5" s="164" t="s">
        <v>3501</v>
      </c>
      <c r="C5" s="165"/>
      <c r="D5" s="165"/>
      <c r="E5" s="165"/>
      <c r="F5" s="166"/>
      <c r="G5" s="165"/>
      <c r="H5" s="165"/>
      <c r="I5" s="165"/>
      <c r="J5" s="167"/>
    </row>
    <row r="6" spans="1:10" ht="16.5">
      <c r="A6" s="163">
        <v>2</v>
      </c>
      <c r="B6" s="168" t="s">
        <v>3502</v>
      </c>
      <c r="C6" s="165"/>
      <c r="D6" s="165"/>
      <c r="E6" s="165"/>
      <c r="F6" s="166"/>
      <c r="G6" s="165"/>
      <c r="H6" s="165"/>
      <c r="I6" s="165"/>
      <c r="J6" s="167"/>
    </row>
    <row r="7" spans="1:10" ht="16.5">
      <c r="A7" s="163">
        <v>3</v>
      </c>
      <c r="B7" s="169" t="s">
        <v>3503</v>
      </c>
      <c r="C7" s="170">
        <v>0.25979999999999998</v>
      </c>
      <c r="D7" s="170">
        <f ca="1">'表30-14-3'!H6</f>
        <v>8.5000000000000006E-2</v>
      </c>
      <c r="E7" s="170">
        <f ca="1">C7+D7</f>
        <v>0.3448</v>
      </c>
      <c r="F7" s="171">
        <f>IFERROR('表30-14-1'!K5,1)</f>
        <v>0</v>
      </c>
      <c r="G7" s="170">
        <f ca="1">E7*F7</f>
        <v>0</v>
      </c>
      <c r="H7" s="170">
        <f ca="1">E7*1.5</f>
        <v>0.51719999999999999</v>
      </c>
      <c r="I7" s="170">
        <f ca="1">E7*0.75</f>
        <v>0.2586</v>
      </c>
      <c r="J7" s="172">
        <f ca="1">ROUND(IF(G7&lt;I7,I7,IF(G7&gt;H7,H7,G7)),4)</f>
        <v>0.2586</v>
      </c>
    </row>
    <row r="8" spans="1:10" ht="16.5">
      <c r="A8" s="163">
        <v>4</v>
      </c>
      <c r="B8" s="169" t="s">
        <v>3504</v>
      </c>
      <c r="C8" s="170">
        <v>0.2165</v>
      </c>
      <c r="D8" s="170">
        <f ca="1">'表30-14-3'!H6</f>
        <v>8.5000000000000006E-2</v>
      </c>
      <c r="E8" s="170">
        <f ca="1">C8+D8</f>
        <v>0.30149999999999999</v>
      </c>
      <c r="F8" s="171">
        <f>IFERROR('表30-14-1'!K5,1)</f>
        <v>0</v>
      </c>
      <c r="G8" s="170">
        <f ca="1">E8*F8</f>
        <v>0</v>
      </c>
      <c r="H8" s="170">
        <f ca="1">E8*1.5</f>
        <v>0.45224999999999999</v>
      </c>
      <c r="I8" s="170">
        <f ca="1">E8*0.75</f>
        <v>0.22612499999999999</v>
      </c>
      <c r="J8" s="172">
        <f ca="1">ROUND(IF(G8&lt;I8,I8,IF(G8&gt;H8,H8,G8)),4)</f>
        <v>0.2261</v>
      </c>
    </row>
    <row r="9" spans="1:10" ht="16.5">
      <c r="A9" s="163">
        <v>5</v>
      </c>
      <c r="B9" s="168" t="s">
        <v>3505</v>
      </c>
      <c r="C9" s="165"/>
      <c r="D9" s="165"/>
      <c r="E9" s="165"/>
      <c r="F9" s="166"/>
      <c r="G9" s="165"/>
      <c r="H9" s="165"/>
      <c r="I9" s="165"/>
      <c r="J9" s="167"/>
    </row>
    <row r="10" spans="1:10" ht="16.5">
      <c r="A10" s="163">
        <v>6</v>
      </c>
      <c r="B10" s="169" t="s">
        <v>3503</v>
      </c>
      <c r="C10" s="170">
        <v>0.36</v>
      </c>
      <c r="D10" s="170">
        <f ca="1">'表30-14-3'!I6</f>
        <v>8.5000000000000006E-2</v>
      </c>
      <c r="E10" s="170">
        <f ca="1">C10+D10</f>
        <v>0.44500000000000001</v>
      </c>
      <c r="F10" s="171">
        <f>IFERROR('表30-14-2'!K5,1)</f>
        <v>0</v>
      </c>
      <c r="G10" s="170">
        <f ca="1">E10*F10</f>
        <v>0</v>
      </c>
      <c r="H10" s="170">
        <f ca="1">E10*1.5</f>
        <v>0.66749999999999998</v>
      </c>
      <c r="I10" s="170">
        <f ca="1">E10*0.75</f>
        <v>0.33374999999999999</v>
      </c>
      <c r="J10" s="172">
        <f ca="1">ROUND(IF(G10&lt;I10,I10,IF(G10&gt;H10,H10,G10)),4)</f>
        <v>0.33379999999999999</v>
      </c>
    </row>
    <row r="11" spans="1:10" ht="16.5">
      <c r="A11" s="163">
        <v>7</v>
      </c>
      <c r="B11" s="169" t="s">
        <v>3504</v>
      </c>
      <c r="C11" s="170">
        <v>0.3</v>
      </c>
      <c r="D11" s="170">
        <f ca="1">'表30-14-3'!I6</f>
        <v>8.5000000000000006E-2</v>
      </c>
      <c r="E11" s="170">
        <f ca="1">C11+D11</f>
        <v>0.38500000000000001</v>
      </c>
      <c r="F11" s="171">
        <f>IFERROR('表30-14-2'!K5,1)</f>
        <v>0</v>
      </c>
      <c r="G11" s="170">
        <f ca="1">E11*F11</f>
        <v>0</v>
      </c>
      <c r="H11" s="170">
        <f ca="1">E11*1.5</f>
        <v>0.57750000000000001</v>
      </c>
      <c r="I11" s="170">
        <f ca="1">E11*0.75</f>
        <v>0.28875000000000001</v>
      </c>
      <c r="J11" s="172">
        <f ca="1">ROUND(IF(G11&lt;I11,I11,IF(G11&gt;H11,H11,G11)),4)</f>
        <v>0.2888</v>
      </c>
    </row>
    <row r="12" spans="1:10" ht="16.5">
      <c r="A12" s="163">
        <v>8</v>
      </c>
      <c r="B12" s="164" t="s">
        <v>3506</v>
      </c>
      <c r="C12" s="165"/>
      <c r="D12" s="165"/>
      <c r="E12" s="165"/>
      <c r="F12" s="166"/>
      <c r="G12" s="165"/>
      <c r="H12" s="165"/>
      <c r="I12" s="165"/>
      <c r="J12" s="167"/>
    </row>
    <row r="13" spans="1:10" ht="16.5">
      <c r="A13" s="163">
        <v>9</v>
      </c>
      <c r="B13" s="168" t="s">
        <v>3507</v>
      </c>
      <c r="C13" s="170">
        <v>0.2165</v>
      </c>
      <c r="D13" s="170">
        <f ca="1">'表30-14-3'!H6</f>
        <v>8.5000000000000006E-2</v>
      </c>
      <c r="E13" s="170">
        <f ca="1">C13+D13</f>
        <v>0.30149999999999999</v>
      </c>
      <c r="F13" s="171">
        <f>IFERROR('表30-14-1'!K5,1)</f>
        <v>0</v>
      </c>
      <c r="G13" s="170">
        <f ca="1">E13*F13</f>
        <v>0</v>
      </c>
      <c r="H13" s="170">
        <f ca="1">E13*1.5</f>
        <v>0.45224999999999999</v>
      </c>
      <c r="I13" s="170">
        <f ca="1">E13*0.75</f>
        <v>0.22612499999999999</v>
      </c>
      <c r="J13" s="172">
        <f ca="1">ROUND(IF(G13&lt;I13,I13,IF(G13&gt;H13,H13,G13)),4)</f>
        <v>0.2261</v>
      </c>
    </row>
    <row r="14" spans="1:10" ht="17.25" thickBot="1">
      <c r="A14" s="173">
        <v>10</v>
      </c>
      <c r="B14" s="174" t="s">
        <v>2544</v>
      </c>
      <c r="C14" s="175">
        <v>0.2165</v>
      </c>
      <c r="D14" s="175">
        <f ca="1">'表30-14-3'!H6</f>
        <v>8.5000000000000006E-2</v>
      </c>
      <c r="E14" s="175">
        <f ca="1">C14+D14</f>
        <v>0.30149999999999999</v>
      </c>
      <c r="F14" s="176">
        <f>IFERROR('表30-14-1'!K5,1)</f>
        <v>0</v>
      </c>
      <c r="G14" s="175">
        <f ca="1">E14*F14</f>
        <v>0</v>
      </c>
      <c r="H14" s="175">
        <f ca="1">E14*1.5</f>
        <v>0.45224999999999999</v>
      </c>
      <c r="I14" s="175">
        <f ca="1">E14*0.75</f>
        <v>0.22612499999999999</v>
      </c>
      <c r="J14" s="177">
        <f ca="1">ROUND(IF(G14&lt;I14,I14,IF(G14&gt;H14,H14,G14)),4)</f>
        <v>0.2261</v>
      </c>
    </row>
    <row r="15" spans="1:10" ht="16.5">
      <c r="A15" s="178">
        <v>11</v>
      </c>
      <c r="B15" s="179" t="s">
        <v>3508</v>
      </c>
      <c r="C15" s="180"/>
      <c r="D15" s="180"/>
      <c r="E15" s="181"/>
    </row>
    <row r="16" spans="1:10" ht="16.5">
      <c r="A16" s="163">
        <v>12</v>
      </c>
      <c r="B16" s="168" t="s">
        <v>3509</v>
      </c>
      <c r="C16" s="170">
        <v>0.2009</v>
      </c>
      <c r="D16" s="170">
        <f ca="1">'表30-14-3'!J6</f>
        <v>6.2199999999999998E-2</v>
      </c>
      <c r="E16" s="172">
        <f ca="1">C16+D16</f>
        <v>0.2631</v>
      </c>
    </row>
    <row r="17" spans="1:5" ht="16.5">
      <c r="A17" s="163">
        <v>13</v>
      </c>
      <c r="B17" s="168" t="s">
        <v>3510</v>
      </c>
      <c r="C17" s="170">
        <v>0.2009</v>
      </c>
      <c r="D17" s="170">
        <f ca="1">'表30-14-3'!J6</f>
        <v>6.2199999999999998E-2</v>
      </c>
      <c r="E17" s="172">
        <f ca="1">C17+D17</f>
        <v>0.2631</v>
      </c>
    </row>
    <row r="18" spans="1:5" ht="16.5">
      <c r="A18" s="163">
        <v>14</v>
      </c>
      <c r="B18" s="164" t="s">
        <v>3511</v>
      </c>
      <c r="C18" s="165"/>
      <c r="D18" s="165"/>
      <c r="E18" s="167"/>
    </row>
    <row r="19" spans="1:5" ht="16.5">
      <c r="A19" s="163">
        <v>15</v>
      </c>
      <c r="B19" s="168" t="s">
        <v>3507</v>
      </c>
      <c r="C19" s="170">
        <v>0.2009</v>
      </c>
      <c r="D19" s="170">
        <f ca="1">'表30-14-3'!J6</f>
        <v>6.2199999999999998E-2</v>
      </c>
      <c r="E19" s="172">
        <f ca="1">C19+D19</f>
        <v>0.2631</v>
      </c>
    </row>
    <row r="20" spans="1:5" ht="17.25" thickBot="1">
      <c r="A20" s="173">
        <v>16</v>
      </c>
      <c r="B20" s="174" t="s">
        <v>2545</v>
      </c>
      <c r="C20" s="175">
        <v>0.2009</v>
      </c>
      <c r="D20" s="175">
        <f ca="1">'表30-14-3'!J6</f>
        <v>6.2199999999999998E-2</v>
      </c>
      <c r="E20" s="177">
        <f ca="1">C20+D20</f>
        <v>0.2631</v>
      </c>
    </row>
    <row r="21" spans="1:5" ht="16.5">
      <c r="A21" s="178">
        <v>17</v>
      </c>
      <c r="B21" s="179" t="s">
        <v>3512</v>
      </c>
      <c r="C21" s="180"/>
      <c r="D21" s="180"/>
      <c r="E21" s="181"/>
    </row>
    <row r="22" spans="1:5" ht="16.5">
      <c r="A22" s="163">
        <v>18</v>
      </c>
      <c r="B22" s="168" t="s">
        <v>3509</v>
      </c>
      <c r="C22" s="170">
        <v>0.28870000000000001</v>
      </c>
      <c r="D22" s="170">
        <f ca="1">'表30-14-3'!K6</f>
        <v>-1.4E-3</v>
      </c>
      <c r="E22" s="172">
        <f ca="1">C22+D22</f>
        <v>0.2873</v>
      </c>
    </row>
    <row r="23" spans="1:5" ht="16.5">
      <c r="A23" s="163">
        <v>19</v>
      </c>
      <c r="B23" s="168" t="s">
        <v>3510</v>
      </c>
      <c r="C23" s="170">
        <v>0.28870000000000001</v>
      </c>
      <c r="D23" s="170">
        <f ca="1">'表30-14-3'!K6</f>
        <v>-1.4E-3</v>
      </c>
      <c r="E23" s="172">
        <f ca="1">C23+D23</f>
        <v>0.2873</v>
      </c>
    </row>
    <row r="24" spans="1:5" ht="16.5">
      <c r="A24" s="163">
        <v>20</v>
      </c>
      <c r="B24" s="164" t="s">
        <v>3513</v>
      </c>
      <c r="C24" s="165"/>
      <c r="D24" s="165"/>
      <c r="E24" s="167"/>
    </row>
    <row r="25" spans="1:5" ht="16.5">
      <c r="A25" s="163">
        <v>21</v>
      </c>
      <c r="B25" s="168" t="s">
        <v>3507</v>
      </c>
      <c r="C25" s="170">
        <v>0.28870000000000001</v>
      </c>
      <c r="D25" s="170">
        <f ca="1">'表30-14-3'!K6</f>
        <v>-1.4E-3</v>
      </c>
      <c r="E25" s="172">
        <f ca="1">C25+D25</f>
        <v>0.2873</v>
      </c>
    </row>
    <row r="26" spans="1:5" ht="17.25" thickBot="1">
      <c r="A26" s="173">
        <v>22</v>
      </c>
      <c r="B26" s="174" t="s">
        <v>2544</v>
      </c>
      <c r="C26" s="175">
        <v>0.28870000000000001</v>
      </c>
      <c r="D26" s="175">
        <f ca="1">'表30-14-3'!K6</f>
        <v>-1.4E-3</v>
      </c>
      <c r="E26" s="177">
        <f ca="1">C26+D26</f>
        <v>0.2873</v>
      </c>
    </row>
  </sheetData>
  <mergeCells count="1">
    <mergeCell ref="A3:A4"/>
  </mergeCells>
  <phoneticPr fontId="32"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heetViews>
  <sheetFormatPr defaultColWidth="9" defaultRowHeight="14.25"/>
  <cols>
    <col min="1" max="1" width="5.125" style="15" customWidth="1"/>
    <col min="2" max="2" width="23.125" style="15" customWidth="1"/>
    <col min="3" max="3" width="53.75" style="15" customWidth="1"/>
    <col min="4" max="4" width="24.875" style="15" customWidth="1"/>
    <col min="5" max="5" width="13.875" style="15" customWidth="1"/>
    <col min="6" max="6" width="25.125" style="15" customWidth="1"/>
    <col min="7" max="16384" width="9" style="15"/>
  </cols>
  <sheetData>
    <row r="1" spans="1:6">
      <c r="A1" s="15" t="str">
        <f>+封面!A3&amp;" "&amp;封面!A2</f>
        <v xml:space="preserve"> 中央再保險股份有限公司 年度檢查報表</v>
      </c>
    </row>
    <row r="2" spans="1:6">
      <c r="A2" s="141" t="s">
        <v>259</v>
      </c>
    </row>
    <row r="3" spans="1:6" ht="15" thickBot="1">
      <c r="F3" s="127" t="s">
        <v>388</v>
      </c>
    </row>
    <row r="4" spans="1:6" s="36" customFormat="1" ht="14.25" customHeight="1">
      <c r="A4" s="3512" t="s">
        <v>227</v>
      </c>
      <c r="B4" s="142" t="s">
        <v>260</v>
      </c>
      <c r="C4" s="142" t="s">
        <v>261</v>
      </c>
      <c r="D4" s="142" t="s">
        <v>262</v>
      </c>
      <c r="E4" s="143" t="s">
        <v>263</v>
      </c>
      <c r="F4" s="144" t="s">
        <v>389</v>
      </c>
    </row>
    <row r="5" spans="1:6" s="36" customFormat="1">
      <c r="A5" s="3513"/>
      <c r="B5" s="129" t="s">
        <v>66</v>
      </c>
      <c r="C5" s="129" t="s">
        <v>67</v>
      </c>
      <c r="D5" s="129" t="s">
        <v>68</v>
      </c>
      <c r="E5" s="129" t="s">
        <v>69</v>
      </c>
      <c r="F5" s="130" t="s">
        <v>70</v>
      </c>
    </row>
    <row r="6" spans="1:6" s="36" customFormat="1">
      <c r="A6" s="145">
        <v>1</v>
      </c>
      <c r="B6" s="132" t="s">
        <v>369</v>
      </c>
      <c r="C6" s="133"/>
      <c r="D6" s="146"/>
      <c r="E6" s="146"/>
      <c r="F6" s="147">
        <f t="shared" ref="F6:F23" si="0">D6*E6</f>
        <v>0</v>
      </c>
    </row>
    <row r="7" spans="1:6" s="36" customFormat="1">
      <c r="A7" s="145">
        <v>2</v>
      </c>
      <c r="B7" s="132"/>
      <c r="C7" s="133"/>
      <c r="D7" s="146"/>
      <c r="E7" s="146"/>
      <c r="F7" s="147">
        <f t="shared" si="0"/>
        <v>0</v>
      </c>
    </row>
    <row r="8" spans="1:6" s="36" customFormat="1">
      <c r="A8" s="145">
        <v>3</v>
      </c>
      <c r="B8" s="132"/>
      <c r="C8" s="133"/>
      <c r="D8" s="146"/>
      <c r="E8" s="146"/>
      <c r="F8" s="147">
        <f t="shared" si="0"/>
        <v>0</v>
      </c>
    </row>
    <row r="9" spans="1:6" s="36" customFormat="1">
      <c r="A9" s="145">
        <v>4</v>
      </c>
      <c r="B9" s="132"/>
      <c r="C9" s="133"/>
      <c r="D9" s="146"/>
      <c r="E9" s="146"/>
      <c r="F9" s="147">
        <f t="shared" si="0"/>
        <v>0</v>
      </c>
    </row>
    <row r="10" spans="1:6" s="36" customFormat="1">
      <c r="A10" s="145">
        <v>5</v>
      </c>
      <c r="B10" s="132"/>
      <c r="C10" s="133"/>
      <c r="D10" s="146"/>
      <c r="E10" s="146"/>
      <c r="F10" s="147">
        <f t="shared" si="0"/>
        <v>0</v>
      </c>
    </row>
    <row r="11" spans="1:6" s="36" customFormat="1">
      <c r="A11" s="145">
        <v>6</v>
      </c>
      <c r="B11" s="132"/>
      <c r="C11" s="133"/>
      <c r="D11" s="146"/>
      <c r="E11" s="146"/>
      <c r="F11" s="147">
        <f t="shared" si="0"/>
        <v>0</v>
      </c>
    </row>
    <row r="12" spans="1:6" s="36" customFormat="1">
      <c r="A12" s="145">
        <v>7</v>
      </c>
      <c r="B12" s="132"/>
      <c r="C12" s="133"/>
      <c r="D12" s="146"/>
      <c r="E12" s="146"/>
      <c r="F12" s="147">
        <f t="shared" si="0"/>
        <v>0</v>
      </c>
    </row>
    <row r="13" spans="1:6" s="36" customFormat="1">
      <c r="A13" s="145">
        <v>8</v>
      </c>
      <c r="B13" s="132"/>
      <c r="C13" s="133"/>
      <c r="D13" s="146"/>
      <c r="E13" s="146"/>
      <c r="F13" s="147">
        <f t="shared" si="0"/>
        <v>0</v>
      </c>
    </row>
    <row r="14" spans="1:6" s="36" customFormat="1">
      <c r="A14" s="145">
        <v>9</v>
      </c>
      <c r="B14" s="132"/>
      <c r="C14" s="133"/>
      <c r="D14" s="146"/>
      <c r="E14" s="146"/>
      <c r="F14" s="147">
        <f t="shared" si="0"/>
        <v>0</v>
      </c>
    </row>
    <row r="15" spans="1:6" s="36" customFormat="1">
      <c r="A15" s="145">
        <v>10</v>
      </c>
      <c r="B15" s="132"/>
      <c r="C15" s="133"/>
      <c r="D15" s="146"/>
      <c r="E15" s="146"/>
      <c r="F15" s="147">
        <f t="shared" si="0"/>
        <v>0</v>
      </c>
    </row>
    <row r="16" spans="1:6" s="36" customFormat="1">
      <c r="A16" s="145">
        <v>11</v>
      </c>
      <c r="B16" s="132"/>
      <c r="C16" s="133"/>
      <c r="D16" s="146"/>
      <c r="E16" s="146"/>
      <c r="F16" s="147">
        <f t="shared" si="0"/>
        <v>0</v>
      </c>
    </row>
    <row r="17" spans="1:6" s="36" customFormat="1">
      <c r="A17" s="145">
        <v>12</v>
      </c>
      <c r="B17" s="132"/>
      <c r="C17" s="133"/>
      <c r="D17" s="146"/>
      <c r="E17" s="146"/>
      <c r="F17" s="147">
        <f t="shared" si="0"/>
        <v>0</v>
      </c>
    </row>
    <row r="18" spans="1:6" s="36" customFormat="1">
      <c r="A18" s="145">
        <v>13</v>
      </c>
      <c r="B18" s="132"/>
      <c r="C18" s="133"/>
      <c r="D18" s="146"/>
      <c r="E18" s="146"/>
      <c r="F18" s="147">
        <f t="shared" si="0"/>
        <v>0</v>
      </c>
    </row>
    <row r="19" spans="1:6" s="36" customFormat="1">
      <c r="A19" s="145">
        <v>14</v>
      </c>
      <c r="B19" s="132"/>
      <c r="C19" s="133"/>
      <c r="D19" s="146"/>
      <c r="E19" s="146"/>
      <c r="F19" s="147">
        <f t="shared" si="0"/>
        <v>0</v>
      </c>
    </row>
    <row r="20" spans="1:6" s="36" customFormat="1">
      <c r="A20" s="145">
        <v>15</v>
      </c>
      <c r="B20" s="132"/>
      <c r="C20" s="133"/>
      <c r="D20" s="146"/>
      <c r="E20" s="146"/>
      <c r="F20" s="147">
        <f t="shared" si="0"/>
        <v>0</v>
      </c>
    </row>
    <row r="21" spans="1:6" s="36" customFormat="1">
      <c r="A21" s="145">
        <v>16</v>
      </c>
      <c r="B21" s="132"/>
      <c r="C21" s="133"/>
      <c r="D21" s="146"/>
      <c r="E21" s="146"/>
      <c r="F21" s="147">
        <f t="shared" si="0"/>
        <v>0</v>
      </c>
    </row>
    <row r="22" spans="1:6" s="36" customFormat="1" ht="12.75" customHeight="1">
      <c r="A22" s="145">
        <v>17</v>
      </c>
      <c r="B22" s="132"/>
      <c r="C22" s="133"/>
      <c r="D22" s="146"/>
      <c r="E22" s="146"/>
      <c r="F22" s="147">
        <f t="shared" si="0"/>
        <v>0</v>
      </c>
    </row>
    <row r="23" spans="1:6" s="36" customFormat="1">
      <c r="A23" s="145">
        <v>18</v>
      </c>
      <c r="B23" s="132"/>
      <c r="C23" s="133"/>
      <c r="D23" s="146"/>
      <c r="E23" s="146"/>
      <c r="F23" s="147">
        <f t="shared" si="0"/>
        <v>0</v>
      </c>
    </row>
    <row r="24" spans="1:6" s="36" customFormat="1" ht="17.649999999999999" customHeight="1" thickBot="1">
      <c r="A24" s="148">
        <v>19</v>
      </c>
      <c r="B24" s="3514" t="s">
        <v>89</v>
      </c>
      <c r="C24" s="3515"/>
      <c r="D24" s="149">
        <f>SUM(D6:D23)</f>
        <v>0</v>
      </c>
      <c r="E24" s="150"/>
      <c r="F24" s="151">
        <f>SUM(F6:F23)</f>
        <v>0</v>
      </c>
    </row>
    <row r="25" spans="1:6">
      <c r="A25" s="152"/>
    </row>
    <row r="26" spans="1:6">
      <c r="A26" s="153" t="s">
        <v>123</v>
      </c>
    </row>
    <row r="27" spans="1:6">
      <c r="A27" s="154">
        <v>1</v>
      </c>
      <c r="B27" s="36" t="s">
        <v>264</v>
      </c>
    </row>
    <row r="28" spans="1:6">
      <c r="A28" s="155">
        <v>2</v>
      </c>
      <c r="B28" s="36" t="s">
        <v>265</v>
      </c>
    </row>
    <row r="29" spans="1:6">
      <c r="A29" s="155"/>
      <c r="B29" s="36"/>
    </row>
    <row r="30" spans="1:6">
      <c r="A30" s="155">
        <v>3</v>
      </c>
      <c r="B30" s="36" t="s">
        <v>266</v>
      </c>
    </row>
    <row r="33" spans="2:2">
      <c r="B33" s="156" t="s">
        <v>3486</v>
      </c>
    </row>
    <row r="34" spans="2:2">
      <c r="B34" s="156" t="s">
        <v>3487</v>
      </c>
    </row>
    <row r="35" spans="2:2">
      <c r="B35" s="156" t="s">
        <v>3488</v>
      </c>
    </row>
    <row r="36" spans="2:2">
      <c r="B36" s="156" t="s">
        <v>3489</v>
      </c>
    </row>
  </sheetData>
  <mergeCells count="2">
    <mergeCell ref="A4:A5"/>
    <mergeCell ref="B24:C24"/>
  </mergeCells>
  <phoneticPr fontId="32"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FFFF00"/>
  </sheetPr>
  <dimension ref="A1:AD41"/>
  <sheetViews>
    <sheetView topLeftCell="A13" zoomScale="115" zoomScaleNormal="115" zoomScaleSheetLayoutView="100" workbookViewId="0">
      <selection activeCell="A39" sqref="A39:B41"/>
    </sheetView>
  </sheetViews>
  <sheetFormatPr defaultColWidth="15.625" defaultRowHeight="15.75"/>
  <cols>
    <col min="1" max="1" width="5.625" style="23" customWidth="1"/>
    <col min="2" max="30" width="15.625" style="23" customWidth="1"/>
    <col min="31" max="16384" width="15.625" style="1583"/>
  </cols>
  <sheetData>
    <row r="1" spans="1:30" ht="16.5">
      <c r="A1" s="2186" t="str">
        <f>+封面!A3&amp;" "&amp;封面!A2</f>
        <v xml:space="preserve"> 中央再保險股份有限公司 年度檢查報表</v>
      </c>
      <c r="B1" s="1583"/>
      <c r="C1" s="1583"/>
      <c r="D1" s="1583"/>
      <c r="E1" s="1583"/>
      <c r="T1" s="435" t="s">
        <v>390</v>
      </c>
      <c r="U1" s="435"/>
      <c r="V1" s="435"/>
      <c r="W1" s="435"/>
      <c r="X1" s="435"/>
    </row>
    <row r="2" spans="1:30" ht="16.5">
      <c r="A2" s="1705" t="s">
        <v>4643</v>
      </c>
      <c r="B2" s="1706"/>
      <c r="C2" s="1706"/>
      <c r="D2" s="1706"/>
      <c r="E2" s="1706"/>
      <c r="T2" s="435"/>
      <c r="U2" s="435"/>
      <c r="V2" s="435"/>
      <c r="W2" s="435"/>
      <c r="X2" s="435"/>
      <c r="Y2" s="1583"/>
      <c r="AC2" s="427" t="s">
        <v>4644</v>
      </c>
    </row>
    <row r="3" spans="1:30" ht="15.75" customHeight="1">
      <c r="A3" s="2852" t="s">
        <v>3565</v>
      </c>
      <c r="B3" s="2850" t="s">
        <v>3567</v>
      </c>
      <c r="C3" s="2850"/>
      <c r="D3" s="2850"/>
      <c r="E3" s="2850"/>
      <c r="F3" s="2850"/>
      <c r="G3" s="2850" t="s">
        <v>4440</v>
      </c>
      <c r="H3" s="2850" t="s">
        <v>3568</v>
      </c>
      <c r="I3" s="2850" t="s">
        <v>3569</v>
      </c>
      <c r="J3" s="2850" t="s">
        <v>4442</v>
      </c>
      <c r="K3" s="2850" t="s">
        <v>4645</v>
      </c>
      <c r="L3" s="2850" t="s">
        <v>4646</v>
      </c>
      <c r="M3" s="2850" t="s">
        <v>4496</v>
      </c>
      <c r="N3" s="2850" t="s">
        <v>4498</v>
      </c>
      <c r="O3" s="2850" t="s">
        <v>4443</v>
      </c>
      <c r="P3" s="2850" t="s">
        <v>4647</v>
      </c>
      <c r="Q3" s="2850" t="s">
        <v>4648</v>
      </c>
      <c r="R3" s="2850" t="s">
        <v>4649</v>
      </c>
      <c r="S3" s="2850" t="s">
        <v>4434</v>
      </c>
      <c r="T3" s="2850"/>
      <c r="U3" s="2850"/>
      <c r="V3" s="2850" t="s">
        <v>4650</v>
      </c>
      <c r="W3" s="2850" t="s">
        <v>4444</v>
      </c>
      <c r="X3" s="2850"/>
      <c r="Y3" s="2850" t="s">
        <v>4651</v>
      </c>
      <c r="Z3" s="2850" t="s">
        <v>3582</v>
      </c>
      <c r="AA3" s="2850" t="s">
        <v>4446</v>
      </c>
      <c r="AB3" s="2850" t="s">
        <v>4652</v>
      </c>
      <c r="AC3" s="2850" t="s">
        <v>3449</v>
      </c>
    </row>
    <row r="4" spans="1:30" ht="33">
      <c r="A4" s="2852"/>
      <c r="B4" s="428" t="s">
        <v>3583</v>
      </c>
      <c r="C4" s="428" t="s">
        <v>3584</v>
      </c>
      <c r="D4" s="428" t="s">
        <v>4502</v>
      </c>
      <c r="E4" s="428" t="s">
        <v>4503</v>
      </c>
      <c r="F4" s="1585" t="s">
        <v>4447</v>
      </c>
      <c r="G4" s="2850"/>
      <c r="H4" s="2850"/>
      <c r="I4" s="2850"/>
      <c r="J4" s="2850"/>
      <c r="K4" s="2850"/>
      <c r="L4" s="2850"/>
      <c r="M4" s="2850"/>
      <c r="N4" s="2850"/>
      <c r="O4" s="2850"/>
      <c r="P4" s="2864"/>
      <c r="Q4" s="2850"/>
      <c r="R4" s="2850"/>
      <c r="S4" s="428" t="s">
        <v>4653</v>
      </c>
      <c r="T4" s="428" t="s">
        <v>4654</v>
      </c>
      <c r="U4" s="428" t="s">
        <v>4655</v>
      </c>
      <c r="V4" s="2850"/>
      <c r="W4" s="428" t="s">
        <v>4448</v>
      </c>
      <c r="X4" s="428" t="s">
        <v>4449</v>
      </c>
      <c r="Y4" s="2864"/>
      <c r="Z4" s="2850"/>
      <c r="AA4" s="2850"/>
      <c r="AB4" s="2850"/>
      <c r="AC4" s="2850"/>
    </row>
    <row r="5" spans="1:30">
      <c r="A5" s="2852"/>
      <c r="B5" s="1551" t="s">
        <v>66</v>
      </c>
      <c r="C5" s="1551" t="s">
        <v>67</v>
      </c>
      <c r="D5" s="1551" t="s">
        <v>68</v>
      </c>
      <c r="E5" s="1551" t="s">
        <v>69</v>
      </c>
      <c r="F5" s="1551" t="s">
        <v>70</v>
      </c>
      <c r="G5" s="1551" t="s">
        <v>71</v>
      </c>
      <c r="H5" s="1551" t="s">
        <v>72</v>
      </c>
      <c r="I5" s="1551" t="s">
        <v>73</v>
      </c>
      <c r="J5" s="1551" t="s">
        <v>74</v>
      </c>
      <c r="K5" s="1551" t="s">
        <v>75</v>
      </c>
      <c r="L5" s="1551" t="s">
        <v>225</v>
      </c>
      <c r="M5" s="1551" t="s">
        <v>226</v>
      </c>
      <c r="N5" s="1551" t="s">
        <v>274</v>
      </c>
      <c r="O5" s="1551" t="s">
        <v>275</v>
      </c>
      <c r="P5" s="1551" t="s">
        <v>276</v>
      </c>
      <c r="Q5" s="1551" t="s">
        <v>277</v>
      </c>
      <c r="R5" s="1551" t="s">
        <v>278</v>
      </c>
      <c r="S5" s="1551" t="s">
        <v>138</v>
      </c>
      <c r="T5" s="1551" t="s">
        <v>139</v>
      </c>
      <c r="U5" s="1551" t="s">
        <v>140</v>
      </c>
      <c r="V5" s="1551" t="s">
        <v>141</v>
      </c>
      <c r="W5" s="1551" t="s">
        <v>1326</v>
      </c>
      <c r="X5" s="1551" t="s">
        <v>242</v>
      </c>
      <c r="Y5" s="1551" t="s">
        <v>243</v>
      </c>
      <c r="Z5" s="1551" t="s">
        <v>244</v>
      </c>
      <c r="AA5" s="1551" t="s">
        <v>245</v>
      </c>
      <c r="AB5" s="1551" t="s">
        <v>246</v>
      </c>
      <c r="AC5" s="1551" t="s">
        <v>247</v>
      </c>
    </row>
    <row r="6" spans="1:30">
      <c r="A6" s="1552">
        <v>1</v>
      </c>
      <c r="B6" s="1707"/>
      <c r="C6" s="1568"/>
      <c r="D6" s="1568"/>
      <c r="E6" s="1568"/>
      <c r="F6" s="1568"/>
      <c r="G6" s="1568"/>
      <c r="H6" s="1568"/>
      <c r="I6" s="1568"/>
      <c r="J6" s="1568"/>
      <c r="K6" s="1568"/>
      <c r="L6" s="1568"/>
      <c r="M6" s="1568"/>
      <c r="N6" s="1568"/>
      <c r="O6" s="1568"/>
      <c r="P6" s="1586"/>
      <c r="Q6" s="1554"/>
      <c r="R6" s="1586"/>
      <c r="S6" s="1708"/>
      <c r="T6" s="1708"/>
      <c r="U6" s="1708"/>
      <c r="V6" s="1708"/>
      <c r="W6" s="1560">
        <f>+V6-U6</f>
        <v>0</v>
      </c>
      <c r="X6" s="1560">
        <f>+U6-AA6</f>
        <v>0</v>
      </c>
      <c r="Y6" s="1586" t="e">
        <f>U6/'表05-1'!$D$269</f>
        <v>#DIV/0!</v>
      </c>
      <c r="Z6" s="1568"/>
      <c r="AA6" s="1568"/>
      <c r="AB6" s="1568"/>
      <c r="AC6" s="1568"/>
    </row>
    <row r="7" spans="1:30">
      <c r="A7" s="1552">
        <f>A6+1</f>
        <v>2</v>
      </c>
      <c r="B7" s="1707"/>
      <c r="C7" s="1568"/>
      <c r="D7" s="1568"/>
      <c r="E7" s="1568"/>
      <c r="F7" s="1568"/>
      <c r="G7" s="1568"/>
      <c r="H7" s="1568"/>
      <c r="I7" s="1568"/>
      <c r="J7" s="1568"/>
      <c r="K7" s="1568"/>
      <c r="L7" s="1568"/>
      <c r="M7" s="1568"/>
      <c r="N7" s="1568"/>
      <c r="O7" s="1568"/>
      <c r="P7" s="1586"/>
      <c r="Q7" s="1554"/>
      <c r="R7" s="1586"/>
      <c r="S7" s="1708"/>
      <c r="T7" s="1708"/>
      <c r="U7" s="1708"/>
      <c r="V7" s="1708"/>
      <c r="W7" s="1560">
        <f t="shared" ref="W7:W15" si="0">+V7-U7</f>
        <v>0</v>
      </c>
      <c r="X7" s="1560">
        <f t="shared" ref="X7:X14" si="1">+U7-AA7</f>
        <v>0</v>
      </c>
      <c r="Y7" s="1586" t="e">
        <f>U7/'表05-1'!$D$269</f>
        <v>#DIV/0!</v>
      </c>
      <c r="Z7" s="1568"/>
      <c r="AA7" s="1568"/>
      <c r="AB7" s="1568"/>
      <c r="AC7" s="1568"/>
    </row>
    <row r="8" spans="1:30">
      <c r="A8" s="1552">
        <f t="shared" ref="A8:A15" si="2">A7+1</f>
        <v>3</v>
      </c>
      <c r="B8" s="1707"/>
      <c r="C8" s="1568"/>
      <c r="D8" s="1568"/>
      <c r="E8" s="1568"/>
      <c r="F8" s="1568"/>
      <c r="G8" s="1568"/>
      <c r="H8" s="1568"/>
      <c r="I8" s="1568"/>
      <c r="J8" s="1568"/>
      <c r="K8" s="1568"/>
      <c r="L8" s="1568"/>
      <c r="M8" s="1568"/>
      <c r="N8" s="1568"/>
      <c r="O8" s="1568"/>
      <c r="P8" s="1586"/>
      <c r="Q8" s="1554"/>
      <c r="R8" s="1586"/>
      <c r="S8" s="1708"/>
      <c r="T8" s="1708"/>
      <c r="U8" s="1708"/>
      <c r="V8" s="1708"/>
      <c r="W8" s="1560">
        <f t="shared" si="0"/>
        <v>0</v>
      </c>
      <c r="X8" s="1560">
        <f t="shared" si="1"/>
        <v>0</v>
      </c>
      <c r="Y8" s="1586" t="e">
        <f>U8/'表05-1'!$D$269</f>
        <v>#DIV/0!</v>
      </c>
      <c r="Z8" s="1568"/>
      <c r="AA8" s="1568"/>
      <c r="AB8" s="1568"/>
      <c r="AC8" s="1568"/>
    </row>
    <row r="9" spans="1:30">
      <c r="A9" s="1552">
        <f t="shared" si="2"/>
        <v>4</v>
      </c>
      <c r="B9" s="1707"/>
      <c r="C9" s="1568"/>
      <c r="D9" s="1568"/>
      <c r="E9" s="1568"/>
      <c r="F9" s="1568"/>
      <c r="G9" s="1568"/>
      <c r="H9" s="1568"/>
      <c r="I9" s="1568"/>
      <c r="J9" s="1568"/>
      <c r="K9" s="1568"/>
      <c r="L9" s="1568"/>
      <c r="M9" s="1568"/>
      <c r="N9" s="1568"/>
      <c r="O9" s="1568"/>
      <c r="P9" s="1586"/>
      <c r="Q9" s="1554"/>
      <c r="R9" s="1586"/>
      <c r="S9" s="1708"/>
      <c r="T9" s="1708"/>
      <c r="U9" s="1708"/>
      <c r="V9" s="1708"/>
      <c r="W9" s="1560">
        <f t="shared" si="0"/>
        <v>0</v>
      </c>
      <c r="X9" s="1560">
        <f t="shared" si="1"/>
        <v>0</v>
      </c>
      <c r="Y9" s="1586" t="e">
        <f>U9/'表05-1'!$D$269</f>
        <v>#DIV/0!</v>
      </c>
      <c r="Z9" s="1568"/>
      <c r="AA9" s="1568"/>
      <c r="AB9" s="1568"/>
      <c r="AC9" s="1568"/>
    </row>
    <row r="10" spans="1:30">
      <c r="A10" s="1552">
        <f t="shared" si="2"/>
        <v>5</v>
      </c>
      <c r="B10" s="1707"/>
      <c r="C10" s="1568"/>
      <c r="D10" s="1568"/>
      <c r="E10" s="1568"/>
      <c r="F10" s="1568"/>
      <c r="G10" s="1568"/>
      <c r="H10" s="1568"/>
      <c r="I10" s="1568"/>
      <c r="J10" s="1568"/>
      <c r="K10" s="1568"/>
      <c r="L10" s="1568"/>
      <c r="M10" s="1568"/>
      <c r="N10" s="1568"/>
      <c r="O10" s="1568"/>
      <c r="P10" s="1586"/>
      <c r="Q10" s="1554"/>
      <c r="R10" s="1586"/>
      <c r="S10" s="1708"/>
      <c r="T10" s="1708"/>
      <c r="U10" s="1708"/>
      <c r="V10" s="1708"/>
      <c r="W10" s="1560">
        <f t="shared" si="0"/>
        <v>0</v>
      </c>
      <c r="X10" s="1560">
        <f t="shared" si="1"/>
        <v>0</v>
      </c>
      <c r="Y10" s="1586" t="e">
        <f>U10/'表05-1'!$D$269</f>
        <v>#DIV/0!</v>
      </c>
      <c r="Z10" s="1568"/>
      <c r="AA10" s="1568"/>
      <c r="AB10" s="1568"/>
      <c r="AC10" s="1568"/>
    </row>
    <row r="11" spans="1:30">
      <c r="A11" s="1552">
        <f t="shared" si="2"/>
        <v>6</v>
      </c>
      <c r="B11" s="1707"/>
      <c r="C11" s="1568"/>
      <c r="D11" s="1568"/>
      <c r="E11" s="1568"/>
      <c r="F11" s="1568"/>
      <c r="G11" s="1568"/>
      <c r="H11" s="1568"/>
      <c r="I11" s="1568"/>
      <c r="J11" s="1568"/>
      <c r="K11" s="1568"/>
      <c r="L11" s="1568"/>
      <c r="M11" s="1568"/>
      <c r="N11" s="1568"/>
      <c r="O11" s="1568"/>
      <c r="P11" s="1586"/>
      <c r="Q11" s="1554"/>
      <c r="R11" s="1586"/>
      <c r="S11" s="1708"/>
      <c r="T11" s="1708"/>
      <c r="U11" s="1708"/>
      <c r="V11" s="1708"/>
      <c r="W11" s="1560">
        <f t="shared" si="0"/>
        <v>0</v>
      </c>
      <c r="X11" s="1560">
        <f t="shared" si="1"/>
        <v>0</v>
      </c>
      <c r="Y11" s="1586" t="e">
        <f>U11/'表05-1'!$D$269</f>
        <v>#DIV/0!</v>
      </c>
      <c r="Z11" s="1568"/>
      <c r="AA11" s="1568"/>
      <c r="AB11" s="1568"/>
      <c r="AC11" s="1568"/>
    </row>
    <row r="12" spans="1:30">
      <c r="A12" s="1552">
        <f t="shared" si="2"/>
        <v>7</v>
      </c>
      <c r="B12" s="1707"/>
      <c r="C12" s="1568"/>
      <c r="D12" s="1568"/>
      <c r="E12" s="1568"/>
      <c r="F12" s="1568"/>
      <c r="G12" s="1568"/>
      <c r="H12" s="1568"/>
      <c r="I12" s="1568"/>
      <c r="J12" s="1568"/>
      <c r="K12" s="1568"/>
      <c r="L12" s="1568"/>
      <c r="M12" s="1568"/>
      <c r="N12" s="1568"/>
      <c r="O12" s="1568"/>
      <c r="P12" s="1586"/>
      <c r="Q12" s="1554"/>
      <c r="R12" s="1586"/>
      <c r="S12" s="1708"/>
      <c r="T12" s="1708"/>
      <c r="U12" s="1708"/>
      <c r="V12" s="1708"/>
      <c r="W12" s="1560">
        <f t="shared" si="0"/>
        <v>0</v>
      </c>
      <c r="X12" s="1560">
        <f t="shared" si="1"/>
        <v>0</v>
      </c>
      <c r="Y12" s="1586" t="e">
        <f>U12/'表05-1'!$D$269</f>
        <v>#DIV/0!</v>
      </c>
      <c r="Z12" s="1568"/>
      <c r="AA12" s="1568"/>
      <c r="AB12" s="1568"/>
      <c r="AC12" s="1568"/>
      <c r="AD12" s="1709"/>
    </row>
    <row r="13" spans="1:30">
      <c r="A13" s="1552">
        <f t="shared" si="2"/>
        <v>8</v>
      </c>
      <c r="B13" s="1707"/>
      <c r="C13" s="1710"/>
      <c r="D13" s="1710"/>
      <c r="E13" s="1710"/>
      <c r="F13" s="1710"/>
      <c r="G13" s="1710"/>
      <c r="H13" s="1710"/>
      <c r="I13" s="1710"/>
      <c r="J13" s="1568"/>
      <c r="K13" s="1568"/>
      <c r="L13" s="1568"/>
      <c r="M13" s="1568"/>
      <c r="N13" s="1568"/>
      <c r="O13" s="1568"/>
      <c r="P13" s="1586"/>
      <c r="Q13" s="1554"/>
      <c r="R13" s="1586"/>
      <c r="S13" s="1554"/>
      <c r="T13" s="1554"/>
      <c r="U13" s="1554"/>
      <c r="V13" s="1711"/>
      <c r="W13" s="1560">
        <f t="shared" si="0"/>
        <v>0</v>
      </c>
      <c r="X13" s="1560">
        <f>+U13-AA13</f>
        <v>0</v>
      </c>
      <c r="Y13" s="1586" t="e">
        <f>U13/'表05-1'!$D$269</f>
        <v>#DIV/0!</v>
      </c>
      <c r="Z13" s="1568"/>
      <c r="AA13" s="1568"/>
      <c r="AB13" s="1568"/>
      <c r="AC13" s="1568"/>
      <c r="AD13" s="1709"/>
    </row>
    <row r="14" spans="1:30">
      <c r="A14" s="1552">
        <f t="shared" si="2"/>
        <v>9</v>
      </c>
      <c r="B14" s="1707"/>
      <c r="C14" s="1710"/>
      <c r="D14" s="1710"/>
      <c r="E14" s="1710"/>
      <c r="F14" s="1710"/>
      <c r="G14" s="1710"/>
      <c r="H14" s="1710"/>
      <c r="I14" s="1710"/>
      <c r="J14" s="1568"/>
      <c r="K14" s="1568"/>
      <c r="L14" s="1568"/>
      <c r="M14" s="1568"/>
      <c r="N14" s="1568"/>
      <c r="O14" s="1568"/>
      <c r="P14" s="1586"/>
      <c r="Q14" s="1554"/>
      <c r="R14" s="1586"/>
      <c r="S14" s="1554"/>
      <c r="T14" s="1554"/>
      <c r="U14" s="1554"/>
      <c r="V14" s="1711"/>
      <c r="W14" s="1560">
        <f t="shared" si="0"/>
        <v>0</v>
      </c>
      <c r="X14" s="1560">
        <f t="shared" si="1"/>
        <v>0</v>
      </c>
      <c r="Y14" s="1586" t="e">
        <f>U14/'表05-1'!$D$269</f>
        <v>#DIV/0!</v>
      </c>
      <c r="Z14" s="1568"/>
      <c r="AA14" s="1568"/>
      <c r="AB14" s="1568"/>
      <c r="AC14" s="1568"/>
      <c r="AD14" s="1709"/>
    </row>
    <row r="15" spans="1:30">
      <c r="A15" s="1552">
        <f t="shared" si="2"/>
        <v>10</v>
      </c>
      <c r="B15" s="1712"/>
      <c r="C15" s="1710"/>
      <c r="D15" s="1710"/>
      <c r="E15" s="1710"/>
      <c r="F15" s="1710"/>
      <c r="G15" s="1710"/>
      <c r="H15" s="1710"/>
      <c r="I15" s="1710"/>
      <c r="J15" s="1568"/>
      <c r="K15" s="1568"/>
      <c r="L15" s="1568"/>
      <c r="M15" s="1568"/>
      <c r="N15" s="1568"/>
      <c r="O15" s="1568"/>
      <c r="P15" s="1586"/>
      <c r="Q15" s="1554"/>
      <c r="R15" s="1586"/>
      <c r="S15" s="1554"/>
      <c r="T15" s="1554"/>
      <c r="U15" s="1554"/>
      <c r="V15" s="1711"/>
      <c r="W15" s="1560">
        <f t="shared" si="0"/>
        <v>0</v>
      </c>
      <c r="X15" s="1560">
        <f>+U15-AA15</f>
        <v>0</v>
      </c>
      <c r="Y15" s="1586" t="e">
        <f>U15/'表05-1'!$D$269</f>
        <v>#DIV/0!</v>
      </c>
      <c r="Z15" s="1568"/>
      <c r="AA15" s="1568"/>
      <c r="AB15" s="1568"/>
      <c r="AC15" s="1568"/>
      <c r="AD15" s="1709"/>
    </row>
    <row r="16" spans="1:30">
      <c r="A16" s="453"/>
      <c r="B16" s="1713"/>
      <c r="C16" s="1714"/>
      <c r="D16" s="1714"/>
      <c r="E16" s="1714"/>
      <c r="F16" s="1714"/>
      <c r="G16" s="1714"/>
      <c r="H16" s="1714"/>
      <c r="I16" s="1714"/>
      <c r="J16" s="1715"/>
      <c r="K16" s="1715"/>
      <c r="L16" s="1715"/>
      <c r="M16" s="1715"/>
      <c r="N16" s="1715"/>
      <c r="O16" s="1715"/>
      <c r="P16" s="438"/>
      <c r="Q16" s="439"/>
      <c r="R16" s="438"/>
      <c r="S16" s="439"/>
      <c r="T16" s="439"/>
      <c r="U16" s="439"/>
      <c r="V16" s="1716"/>
      <c r="W16" s="439"/>
      <c r="X16" s="439"/>
      <c r="Y16" s="438"/>
      <c r="Z16" s="1715"/>
      <c r="AA16" s="1715"/>
      <c r="AB16" s="1715"/>
      <c r="AC16" s="1715"/>
    </row>
    <row r="17" spans="1:30" ht="16.5">
      <c r="A17" s="450" t="s">
        <v>3609</v>
      </c>
      <c r="B17" s="426"/>
      <c r="C17" s="426"/>
      <c r="D17" s="426"/>
      <c r="E17" s="426"/>
      <c r="F17" s="426"/>
      <c r="G17" s="426"/>
      <c r="H17" s="426"/>
      <c r="I17" s="426"/>
      <c r="J17" s="426"/>
      <c r="K17" s="426"/>
      <c r="L17" s="426"/>
      <c r="M17" s="426"/>
      <c r="N17" s="426"/>
      <c r="O17" s="426"/>
      <c r="P17" s="426"/>
      <c r="Q17" s="426"/>
      <c r="R17" s="426"/>
      <c r="S17" s="426"/>
      <c r="T17" s="426"/>
      <c r="U17" s="426"/>
      <c r="V17" s="426"/>
    </row>
    <row r="18" spans="1:30" ht="16.5">
      <c r="A18" s="453">
        <v>1</v>
      </c>
      <c r="B18" s="426" t="s">
        <v>4656</v>
      </c>
      <c r="C18" s="426"/>
      <c r="D18" s="426"/>
      <c r="E18" s="426"/>
      <c r="F18" s="426"/>
      <c r="G18" s="426"/>
      <c r="H18" s="426"/>
      <c r="I18" s="426"/>
      <c r="J18" s="426"/>
      <c r="K18" s="426"/>
      <c r="L18" s="426"/>
      <c r="M18" s="426"/>
      <c r="N18" s="426"/>
      <c r="O18" s="426"/>
      <c r="P18" s="426"/>
      <c r="Q18" s="426"/>
      <c r="R18" s="426"/>
      <c r="S18" s="426"/>
      <c r="T18" s="426"/>
      <c r="U18" s="426"/>
      <c r="V18" s="426"/>
    </row>
    <row r="19" spans="1:30" ht="16.5">
      <c r="A19" s="453">
        <v>2</v>
      </c>
      <c r="B19" s="426" t="s">
        <v>4657</v>
      </c>
      <c r="C19" s="426"/>
      <c r="D19" s="426"/>
      <c r="E19" s="426"/>
      <c r="F19" s="426"/>
      <c r="G19" s="426"/>
      <c r="H19" s="426"/>
      <c r="I19" s="426"/>
      <c r="J19" s="426"/>
      <c r="K19" s="426"/>
      <c r="L19" s="426"/>
      <c r="M19" s="426"/>
      <c r="N19" s="426"/>
      <c r="O19" s="426"/>
      <c r="P19" s="426"/>
      <c r="Q19" s="426"/>
      <c r="R19" s="426"/>
      <c r="S19" s="426"/>
      <c r="T19" s="426"/>
      <c r="U19" s="426"/>
      <c r="V19" s="426"/>
    </row>
    <row r="20" spans="1:30" s="1555" customFormat="1" ht="16.5">
      <c r="A20" s="453"/>
      <c r="B20" s="426" t="s">
        <v>4658</v>
      </c>
      <c r="C20" s="426"/>
      <c r="D20" s="426"/>
      <c r="E20" s="426"/>
      <c r="F20" s="426"/>
      <c r="G20" s="426"/>
      <c r="H20" s="426"/>
      <c r="I20" s="426"/>
      <c r="J20" s="426"/>
      <c r="K20" s="426"/>
      <c r="L20" s="426"/>
      <c r="M20" s="426"/>
      <c r="N20" s="426"/>
      <c r="O20" s="426"/>
      <c r="P20" s="426"/>
      <c r="Q20" s="426"/>
      <c r="R20" s="426"/>
      <c r="S20" s="426"/>
      <c r="T20" s="426"/>
      <c r="U20" s="426"/>
      <c r="V20" s="426"/>
      <c r="W20" s="23"/>
      <c r="X20" s="23"/>
      <c r="Y20" s="23"/>
      <c r="Z20" s="23"/>
      <c r="AA20" s="23"/>
      <c r="AB20" s="23"/>
      <c r="AC20" s="23"/>
      <c r="AD20" s="23"/>
    </row>
    <row r="21" spans="1:30" ht="16.5">
      <c r="A21" s="453">
        <v>3</v>
      </c>
      <c r="B21" s="426" t="s">
        <v>4659</v>
      </c>
      <c r="C21" s="426"/>
      <c r="D21" s="426"/>
      <c r="E21" s="426"/>
      <c r="F21" s="426"/>
      <c r="G21" s="426"/>
      <c r="H21" s="426"/>
      <c r="I21" s="426"/>
      <c r="J21" s="426"/>
      <c r="K21" s="426"/>
      <c r="L21" s="426"/>
      <c r="M21" s="426"/>
      <c r="N21" s="426"/>
      <c r="O21" s="426"/>
      <c r="P21" s="426"/>
      <c r="Q21" s="426"/>
      <c r="R21" s="426"/>
      <c r="S21" s="426"/>
      <c r="T21" s="426"/>
      <c r="U21" s="426"/>
      <c r="V21" s="426"/>
    </row>
    <row r="22" spans="1:30" ht="16.5">
      <c r="A22" s="453">
        <v>4</v>
      </c>
      <c r="B22" s="426" t="s">
        <v>3614</v>
      </c>
      <c r="C22" s="426"/>
      <c r="D22" s="426"/>
      <c r="E22" s="426"/>
      <c r="F22" s="426"/>
      <c r="G22" s="426"/>
      <c r="H22" s="426"/>
      <c r="I22" s="426"/>
      <c r="J22" s="426"/>
      <c r="K22" s="426"/>
      <c r="L22" s="426"/>
      <c r="M22" s="426"/>
      <c r="N22" s="426"/>
      <c r="O22" s="426"/>
      <c r="P22" s="426"/>
      <c r="Q22" s="426"/>
      <c r="R22" s="426"/>
      <c r="S22" s="426"/>
      <c r="T22" s="426"/>
      <c r="U22" s="426"/>
      <c r="V22" s="426"/>
    </row>
    <row r="23" spans="1:30" ht="16.5">
      <c r="A23" s="453">
        <v>5</v>
      </c>
      <c r="B23" s="426" t="s">
        <v>4660</v>
      </c>
      <c r="C23" s="426"/>
      <c r="D23" s="426"/>
      <c r="E23" s="426"/>
      <c r="F23" s="426"/>
      <c r="G23" s="426"/>
      <c r="H23" s="426"/>
      <c r="I23" s="426"/>
      <c r="J23" s="426"/>
      <c r="K23" s="426"/>
      <c r="L23" s="426"/>
      <c r="M23" s="426"/>
      <c r="N23" s="426"/>
      <c r="O23" s="426"/>
      <c r="P23" s="426"/>
      <c r="Q23" s="426"/>
      <c r="R23" s="426"/>
      <c r="S23" s="426"/>
      <c r="T23" s="426"/>
      <c r="U23" s="426"/>
      <c r="V23" s="426"/>
    </row>
    <row r="24" spans="1:30" ht="16.5">
      <c r="A24" s="453">
        <v>6</v>
      </c>
      <c r="B24" s="426" t="s">
        <v>4505</v>
      </c>
      <c r="C24" s="426"/>
      <c r="D24" s="426"/>
      <c r="E24" s="426"/>
      <c r="F24" s="426"/>
      <c r="G24" s="426"/>
      <c r="H24" s="426"/>
      <c r="I24" s="426"/>
      <c r="J24" s="426"/>
      <c r="K24" s="426"/>
      <c r="L24" s="426"/>
      <c r="M24" s="426"/>
      <c r="N24" s="426"/>
      <c r="O24" s="426"/>
      <c r="P24" s="426"/>
      <c r="Q24" s="426"/>
      <c r="R24" s="426"/>
      <c r="S24" s="426"/>
      <c r="T24" s="426"/>
      <c r="U24" s="426"/>
      <c r="V24" s="426"/>
    </row>
    <row r="25" spans="1:30" ht="16.5">
      <c r="A25" s="453"/>
      <c r="B25" s="426" t="s">
        <v>4661</v>
      </c>
      <c r="C25" s="426"/>
      <c r="D25" s="426"/>
      <c r="E25" s="426"/>
      <c r="F25" s="426"/>
      <c r="G25" s="426"/>
      <c r="H25" s="426"/>
      <c r="I25" s="426"/>
      <c r="J25" s="426"/>
      <c r="K25" s="426"/>
      <c r="L25" s="426"/>
      <c r="M25" s="426"/>
      <c r="N25" s="426"/>
      <c r="O25" s="426"/>
      <c r="P25" s="426"/>
      <c r="Q25" s="426"/>
      <c r="R25" s="426"/>
      <c r="S25" s="426"/>
      <c r="T25" s="426"/>
      <c r="U25" s="426"/>
      <c r="V25" s="426"/>
    </row>
    <row r="26" spans="1:30" ht="16.5">
      <c r="A26" s="453">
        <v>7</v>
      </c>
      <c r="B26" s="426" t="s">
        <v>6308</v>
      </c>
      <c r="C26" s="426"/>
      <c r="D26" s="426"/>
      <c r="E26" s="426"/>
      <c r="F26" s="426"/>
      <c r="G26" s="426"/>
      <c r="H26" s="426"/>
      <c r="I26" s="426"/>
      <c r="J26" s="426"/>
      <c r="K26" s="426"/>
      <c r="L26" s="426"/>
      <c r="M26" s="426"/>
      <c r="N26" s="426"/>
      <c r="O26" s="426"/>
      <c r="P26" s="426"/>
      <c r="Q26" s="426"/>
      <c r="R26" s="426"/>
      <c r="S26" s="426"/>
      <c r="T26" s="426"/>
      <c r="U26" s="426"/>
      <c r="V26" s="426"/>
    </row>
    <row r="27" spans="1:30" ht="16.5">
      <c r="A27" s="453"/>
      <c r="B27" s="426" t="s">
        <v>4662</v>
      </c>
      <c r="C27" s="426"/>
      <c r="D27" s="426"/>
      <c r="E27" s="426"/>
      <c r="F27" s="426"/>
      <c r="G27" s="426"/>
      <c r="H27" s="426"/>
      <c r="I27" s="426"/>
      <c r="J27" s="426"/>
      <c r="K27" s="426"/>
      <c r="L27" s="426"/>
      <c r="M27" s="426"/>
      <c r="N27" s="426"/>
      <c r="O27" s="426"/>
      <c r="P27" s="426"/>
      <c r="Q27" s="426"/>
      <c r="R27" s="426"/>
      <c r="S27" s="426"/>
      <c r="T27" s="426"/>
      <c r="U27" s="426"/>
      <c r="V27" s="426"/>
    </row>
    <row r="28" spans="1:30" ht="16.5">
      <c r="A28" s="453">
        <v>8</v>
      </c>
      <c r="B28" s="426" t="s">
        <v>4509</v>
      </c>
      <c r="C28" s="426"/>
      <c r="D28" s="426"/>
      <c r="E28" s="426"/>
      <c r="F28" s="426"/>
      <c r="G28" s="426"/>
      <c r="H28" s="426"/>
      <c r="I28" s="426"/>
      <c r="J28" s="426"/>
      <c r="K28" s="426"/>
      <c r="L28" s="426"/>
      <c r="M28" s="426"/>
      <c r="N28" s="426"/>
      <c r="O28" s="426"/>
      <c r="P28" s="426"/>
      <c r="Q28" s="426"/>
      <c r="R28" s="426"/>
      <c r="S28" s="426"/>
      <c r="T28" s="426"/>
      <c r="U28" s="426"/>
      <c r="V28" s="426"/>
    </row>
    <row r="29" spans="1:30" ht="16.5">
      <c r="A29" s="453">
        <v>9</v>
      </c>
      <c r="B29" s="426" t="s">
        <v>4663</v>
      </c>
      <c r="C29" s="426"/>
      <c r="D29" s="426"/>
      <c r="E29" s="426"/>
      <c r="F29" s="426"/>
      <c r="G29" s="426"/>
      <c r="H29" s="426"/>
      <c r="I29" s="426"/>
      <c r="J29" s="426"/>
      <c r="K29" s="426"/>
      <c r="L29" s="426"/>
      <c r="M29" s="426"/>
      <c r="N29" s="426"/>
      <c r="O29" s="426"/>
      <c r="P29" s="426"/>
      <c r="Q29" s="426"/>
      <c r="R29" s="426"/>
      <c r="S29" s="426"/>
      <c r="T29" s="426"/>
      <c r="U29" s="426"/>
      <c r="V29" s="426"/>
    </row>
    <row r="30" spans="1:30" ht="16.5">
      <c r="A30" s="453">
        <v>10</v>
      </c>
      <c r="B30" s="426" t="s">
        <v>4664</v>
      </c>
      <c r="C30" s="426"/>
      <c r="D30" s="426"/>
      <c r="E30" s="426"/>
      <c r="F30" s="426"/>
      <c r="G30" s="426"/>
      <c r="H30" s="426"/>
      <c r="I30" s="426"/>
      <c r="J30" s="426"/>
      <c r="K30" s="426"/>
      <c r="L30" s="426"/>
      <c r="M30" s="426"/>
      <c r="N30" s="426"/>
      <c r="O30" s="426"/>
      <c r="P30" s="426"/>
      <c r="Q30" s="426"/>
      <c r="R30" s="426"/>
      <c r="S30" s="426"/>
      <c r="T30" s="426"/>
      <c r="U30" s="426"/>
      <c r="V30" s="426"/>
    </row>
    <row r="31" spans="1:30" ht="16.5">
      <c r="A31" s="453">
        <v>11</v>
      </c>
      <c r="B31" s="426" t="s">
        <v>4665</v>
      </c>
      <c r="C31" s="452"/>
      <c r="D31" s="452"/>
      <c r="E31" s="452"/>
      <c r="F31" s="452"/>
      <c r="G31" s="452"/>
      <c r="H31" s="452"/>
      <c r="I31" s="452"/>
      <c r="J31" s="452"/>
      <c r="K31" s="452"/>
      <c r="L31" s="452"/>
      <c r="M31" s="452"/>
      <c r="N31" s="452"/>
      <c r="O31" s="452"/>
      <c r="P31" s="452"/>
      <c r="Q31" s="452"/>
      <c r="R31" s="452"/>
      <c r="S31" s="452"/>
      <c r="T31" s="452"/>
      <c r="U31" s="452"/>
      <c r="V31" s="452"/>
      <c r="W31" s="451"/>
      <c r="X31" s="451"/>
      <c r="Y31" s="451"/>
      <c r="Z31" s="451"/>
      <c r="AA31" s="451"/>
      <c r="AB31" s="451"/>
      <c r="AC31" s="451"/>
    </row>
    <row r="32" spans="1:30" ht="16.5">
      <c r="A32" s="453">
        <v>12</v>
      </c>
      <c r="B32" s="425" t="s">
        <v>4666</v>
      </c>
      <c r="C32" s="426"/>
      <c r="D32" s="426"/>
      <c r="E32" s="426"/>
      <c r="F32" s="426"/>
      <c r="G32" s="426"/>
      <c r="H32" s="426"/>
      <c r="I32" s="426"/>
      <c r="J32" s="426"/>
      <c r="K32" s="426"/>
      <c r="L32" s="426"/>
      <c r="M32" s="426"/>
      <c r="N32" s="426"/>
      <c r="O32" s="426"/>
      <c r="P32" s="426"/>
      <c r="Q32" s="426"/>
      <c r="R32" s="426"/>
      <c r="S32" s="426"/>
      <c r="T32" s="426"/>
      <c r="U32" s="426"/>
      <c r="V32" s="426"/>
    </row>
    <row r="33" spans="1:30" ht="16.5">
      <c r="A33" s="453">
        <v>13</v>
      </c>
      <c r="B33" s="426" t="s">
        <v>4667</v>
      </c>
      <c r="C33" s="1717"/>
      <c r="D33" s="1717"/>
      <c r="E33" s="1717"/>
      <c r="F33" s="1717"/>
      <c r="G33" s="1717"/>
      <c r="H33" s="1717"/>
      <c r="I33" s="1717"/>
      <c r="J33" s="1717"/>
      <c r="K33" s="1717"/>
      <c r="L33" s="1717"/>
      <c r="M33" s="426"/>
      <c r="N33" s="426"/>
      <c r="O33" s="426"/>
      <c r="P33" s="426"/>
      <c r="Q33" s="426"/>
      <c r="R33" s="426"/>
      <c r="S33" s="426"/>
      <c r="T33" s="426"/>
      <c r="U33" s="426"/>
      <c r="V33" s="426"/>
    </row>
    <row r="34" spans="1:30" ht="16.5">
      <c r="A34" s="453">
        <v>14</v>
      </c>
      <c r="B34" s="452" t="s">
        <v>4668</v>
      </c>
      <c r="C34" s="426"/>
      <c r="D34" s="426"/>
      <c r="E34" s="426"/>
      <c r="F34" s="426"/>
      <c r="G34" s="426"/>
      <c r="H34" s="426"/>
      <c r="I34" s="426"/>
      <c r="J34" s="426"/>
      <c r="K34" s="426"/>
      <c r="L34" s="426"/>
      <c r="M34" s="426"/>
      <c r="N34" s="426"/>
      <c r="O34" s="426"/>
      <c r="P34" s="426"/>
      <c r="Q34" s="426"/>
      <c r="R34" s="426"/>
      <c r="S34" s="426"/>
      <c r="T34" s="426"/>
      <c r="U34" s="426"/>
      <c r="V34" s="426"/>
    </row>
    <row r="35" spans="1:30" ht="16.5">
      <c r="A35" s="453">
        <v>15</v>
      </c>
      <c r="B35" s="426" t="s">
        <v>4669</v>
      </c>
      <c r="C35" s="426"/>
      <c r="D35" s="426"/>
      <c r="E35" s="426"/>
      <c r="F35" s="426"/>
      <c r="G35" s="426"/>
      <c r="H35" s="426"/>
      <c r="I35" s="426"/>
      <c r="J35" s="426"/>
      <c r="K35" s="426"/>
      <c r="L35" s="426"/>
      <c r="M35" s="426"/>
      <c r="N35" s="426"/>
      <c r="O35" s="426"/>
      <c r="P35" s="426"/>
      <c r="Q35" s="426"/>
      <c r="R35" s="426"/>
      <c r="S35" s="426"/>
      <c r="T35" s="426"/>
      <c r="U35" s="426"/>
      <c r="V35" s="426"/>
    </row>
    <row r="36" spans="1:30" ht="16.5">
      <c r="A36" s="453">
        <v>16</v>
      </c>
      <c r="B36" s="1717" t="s">
        <v>4670</v>
      </c>
      <c r="C36" s="426"/>
      <c r="D36" s="426"/>
      <c r="E36" s="426"/>
      <c r="F36" s="426"/>
      <c r="G36" s="426"/>
      <c r="H36" s="426"/>
      <c r="I36" s="426"/>
      <c r="J36" s="426"/>
      <c r="K36" s="426"/>
      <c r="L36" s="426"/>
      <c r="M36" s="426"/>
      <c r="N36" s="426"/>
      <c r="O36" s="426"/>
      <c r="P36" s="426"/>
      <c r="Q36" s="426"/>
      <c r="R36" s="426"/>
      <c r="S36" s="426"/>
      <c r="T36" s="426"/>
      <c r="U36" s="426"/>
      <c r="V36" s="426"/>
    </row>
    <row r="37" spans="1:30" s="1555" customFormat="1" ht="16.5">
      <c r="A37" s="453">
        <v>17</v>
      </c>
      <c r="B37" s="454" t="s">
        <v>6309</v>
      </c>
      <c r="C37" s="426"/>
      <c r="D37" s="426"/>
      <c r="E37" s="426"/>
      <c r="F37" s="426"/>
      <c r="G37" s="426"/>
      <c r="H37" s="426"/>
      <c r="I37" s="426"/>
      <c r="J37" s="426"/>
      <c r="K37" s="426"/>
      <c r="L37" s="426"/>
      <c r="M37" s="426"/>
      <c r="N37" s="426"/>
      <c r="O37" s="426"/>
      <c r="P37" s="426"/>
      <c r="Q37" s="426"/>
      <c r="R37" s="426"/>
      <c r="S37" s="426"/>
      <c r="T37" s="426"/>
      <c r="U37" s="426"/>
      <c r="V37" s="426"/>
      <c r="W37" s="23"/>
      <c r="X37" s="23"/>
      <c r="Y37" s="23"/>
      <c r="Z37" s="23"/>
      <c r="AA37" s="23"/>
      <c r="AB37" s="23"/>
      <c r="AC37" s="23"/>
      <c r="AD37" s="23"/>
    </row>
    <row r="38" spans="1:30" ht="16.5">
      <c r="A38" s="453"/>
      <c r="B38" s="454" t="s">
        <v>4671</v>
      </c>
    </row>
    <row r="39" spans="1:30" ht="16.5">
      <c r="A39" s="2655">
        <v>18</v>
      </c>
      <c r="B39" s="2656" t="s">
        <v>8443</v>
      </c>
    </row>
    <row r="40" spans="1:30" ht="16.5">
      <c r="A40" s="2657">
        <v>19</v>
      </c>
      <c r="B40" s="1817" t="s">
        <v>8444</v>
      </c>
    </row>
    <row r="41" spans="1:30" ht="16.5">
      <c r="A41" s="2658">
        <v>20</v>
      </c>
      <c r="B41" s="2654" t="s">
        <v>8437</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2" type="noConversion"/>
  <printOptions horizontalCentered="1"/>
  <pageMargins left="0.39370078740157483" right="0.19685039370078741" top="0.39370078740157483" bottom="0.39370078740157483" header="0" footer="0"/>
  <pageSetup paperSize="9" scale="60"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heetViews>
  <sheetFormatPr defaultColWidth="9" defaultRowHeight="14.25"/>
  <cols>
    <col min="1" max="1" width="5.125" style="14" customWidth="1"/>
    <col min="2" max="2" width="9" style="14"/>
    <col min="3" max="3" width="21" style="14" customWidth="1"/>
    <col min="4" max="8" width="9" style="14"/>
    <col min="9" max="9" width="12.375" style="14" customWidth="1"/>
    <col min="10" max="11" width="11.875" style="14" customWidth="1"/>
    <col min="12" max="16384" width="9" style="14"/>
  </cols>
  <sheetData>
    <row r="1" spans="1:12">
      <c r="A1" s="36" t="str">
        <f>+封面!A3&amp;" "&amp;封面!A2</f>
        <v xml:space="preserve"> 中央再保險股份有限公司 年度檢查報表</v>
      </c>
    </row>
    <row r="2" spans="1:12">
      <c r="A2" s="126" t="s">
        <v>267</v>
      </c>
    </row>
    <row r="3" spans="1:12" ht="15" thickBot="1">
      <c r="L3" s="127" t="s">
        <v>388</v>
      </c>
    </row>
    <row r="4" spans="1:12">
      <c r="A4" s="3523" t="s">
        <v>383</v>
      </c>
      <c r="B4" s="3518" t="s">
        <v>90</v>
      </c>
      <c r="C4" s="3518"/>
      <c r="D4" s="3518"/>
      <c r="E4" s="3519" t="s">
        <v>268</v>
      </c>
      <c r="F4" s="3519" t="s">
        <v>269</v>
      </c>
      <c r="G4" s="3519" t="s">
        <v>270</v>
      </c>
      <c r="H4" s="3519" t="s">
        <v>91</v>
      </c>
      <c r="I4" s="3519" t="s">
        <v>271</v>
      </c>
      <c r="J4" s="3519" t="s">
        <v>272</v>
      </c>
      <c r="K4" s="3519" t="s">
        <v>219</v>
      </c>
      <c r="L4" s="3516" t="s">
        <v>220</v>
      </c>
    </row>
    <row r="5" spans="1:12">
      <c r="A5" s="3524"/>
      <c r="B5" s="128" t="s">
        <v>222</v>
      </c>
      <c r="C5" s="128" t="s">
        <v>224</v>
      </c>
      <c r="D5" s="128" t="s">
        <v>223</v>
      </c>
      <c r="E5" s="3520"/>
      <c r="F5" s="3520"/>
      <c r="G5" s="3520"/>
      <c r="H5" s="3520"/>
      <c r="I5" s="3520"/>
      <c r="J5" s="3520"/>
      <c r="K5" s="3520"/>
      <c r="L5" s="3517"/>
    </row>
    <row r="6" spans="1:12">
      <c r="A6" s="3524"/>
      <c r="B6" s="129" t="s">
        <v>357</v>
      </c>
      <c r="C6" s="129" t="s">
        <v>67</v>
      </c>
      <c r="D6" s="129" t="s">
        <v>68</v>
      </c>
      <c r="E6" s="129" t="s">
        <v>69</v>
      </c>
      <c r="F6" s="129" t="s">
        <v>70</v>
      </c>
      <c r="G6" s="129" t="s">
        <v>71</v>
      </c>
      <c r="H6" s="129" t="s">
        <v>72</v>
      </c>
      <c r="I6" s="129" t="s">
        <v>73</v>
      </c>
      <c r="J6" s="129" t="s">
        <v>74</v>
      </c>
      <c r="K6" s="129" t="s">
        <v>75</v>
      </c>
      <c r="L6" s="130" t="s">
        <v>225</v>
      </c>
    </row>
    <row r="7" spans="1:12">
      <c r="A7" s="131">
        <v>1</v>
      </c>
      <c r="B7" s="132"/>
      <c r="C7" s="133"/>
      <c r="D7" s="133"/>
      <c r="E7" s="134"/>
      <c r="F7" s="134"/>
      <c r="G7" s="134"/>
      <c r="H7" s="134"/>
      <c r="I7" s="134"/>
      <c r="J7" s="134"/>
      <c r="K7" s="134"/>
      <c r="L7" s="135"/>
    </row>
    <row r="8" spans="1:12">
      <c r="A8" s="131">
        <v>2</v>
      </c>
      <c r="B8" s="133"/>
      <c r="C8" s="133"/>
      <c r="D8" s="133"/>
      <c r="E8" s="134"/>
      <c r="F8" s="134"/>
      <c r="G8" s="134"/>
      <c r="H8" s="134"/>
      <c r="I8" s="134"/>
      <c r="J8" s="134"/>
      <c r="K8" s="134"/>
      <c r="L8" s="135"/>
    </row>
    <row r="9" spans="1:12">
      <c r="A9" s="131">
        <v>3</v>
      </c>
      <c r="B9" s="133"/>
      <c r="C9" s="133"/>
      <c r="D9" s="133"/>
      <c r="E9" s="134"/>
      <c r="F9" s="134"/>
      <c r="G9" s="134"/>
      <c r="H9" s="134"/>
      <c r="I9" s="134"/>
      <c r="J9" s="134"/>
      <c r="K9" s="134"/>
      <c r="L9" s="135"/>
    </row>
    <row r="10" spans="1:12">
      <c r="A10" s="131">
        <v>4</v>
      </c>
      <c r="B10" s="133"/>
      <c r="C10" s="133"/>
      <c r="D10" s="133"/>
      <c r="E10" s="134"/>
      <c r="F10" s="134"/>
      <c r="G10" s="134"/>
      <c r="H10" s="134"/>
      <c r="I10" s="134"/>
      <c r="J10" s="134"/>
      <c r="K10" s="134"/>
      <c r="L10" s="135"/>
    </row>
    <row r="11" spans="1:12">
      <c r="A11" s="131">
        <v>5</v>
      </c>
      <c r="B11" s="133"/>
      <c r="C11" s="133"/>
      <c r="D11" s="133"/>
      <c r="E11" s="134"/>
      <c r="F11" s="134"/>
      <c r="G11" s="134"/>
      <c r="H11" s="134"/>
      <c r="I11" s="134"/>
      <c r="J11" s="134"/>
      <c r="K11" s="134"/>
      <c r="L11" s="135"/>
    </row>
    <row r="12" spans="1:12">
      <c r="A12" s="131">
        <v>6</v>
      </c>
      <c r="B12" s="133"/>
      <c r="C12" s="133"/>
      <c r="D12" s="133"/>
      <c r="E12" s="134"/>
      <c r="F12" s="134"/>
      <c r="G12" s="134"/>
      <c r="H12" s="134"/>
      <c r="I12" s="134"/>
      <c r="J12" s="134"/>
      <c r="K12" s="134"/>
      <c r="L12" s="135"/>
    </row>
    <row r="13" spans="1:12">
      <c r="A13" s="131">
        <v>7</v>
      </c>
      <c r="B13" s="133"/>
      <c r="C13" s="133"/>
      <c r="D13" s="133"/>
      <c r="E13" s="134"/>
      <c r="F13" s="134"/>
      <c r="G13" s="134"/>
      <c r="H13" s="134"/>
      <c r="I13" s="134"/>
      <c r="J13" s="134"/>
      <c r="K13" s="134"/>
      <c r="L13" s="135"/>
    </row>
    <row r="14" spans="1:12">
      <c r="A14" s="131">
        <v>8</v>
      </c>
      <c r="B14" s="133"/>
      <c r="C14" s="133"/>
      <c r="D14" s="133"/>
      <c r="E14" s="134"/>
      <c r="F14" s="134"/>
      <c r="G14" s="134"/>
      <c r="H14" s="134"/>
      <c r="I14" s="134"/>
      <c r="J14" s="134"/>
      <c r="K14" s="134"/>
      <c r="L14" s="135"/>
    </row>
    <row r="15" spans="1:12">
      <c r="A15" s="131">
        <v>9</v>
      </c>
      <c r="B15" s="133"/>
      <c r="C15" s="133"/>
      <c r="D15" s="133"/>
      <c r="E15" s="134"/>
      <c r="F15" s="134"/>
      <c r="G15" s="134"/>
      <c r="H15" s="134"/>
      <c r="I15" s="134"/>
      <c r="J15" s="134"/>
      <c r="K15" s="134"/>
      <c r="L15" s="135"/>
    </row>
    <row r="16" spans="1:12" ht="17.649999999999999" customHeight="1" thickBot="1">
      <c r="A16" s="136">
        <v>10</v>
      </c>
      <c r="B16" s="3521" t="s">
        <v>89</v>
      </c>
      <c r="C16" s="3522"/>
      <c r="D16" s="3522"/>
      <c r="E16" s="3522"/>
      <c r="F16" s="3522"/>
      <c r="G16" s="3522"/>
      <c r="H16" s="3522"/>
      <c r="I16" s="137">
        <f>SUM(I7:I15)</f>
        <v>0</v>
      </c>
      <c r="J16" s="137">
        <f>SUM(J7:J15)</f>
        <v>0</v>
      </c>
      <c r="K16" s="137">
        <f>SUM(K7:K15)</f>
        <v>0</v>
      </c>
      <c r="L16" s="138"/>
    </row>
    <row r="27" spans="1:13" ht="18" customHeight="1">
      <c r="A27" s="139"/>
      <c r="B27" s="140"/>
      <c r="C27" s="140"/>
      <c r="D27" s="140"/>
      <c r="E27" s="140"/>
      <c r="F27" s="140"/>
      <c r="G27" s="140"/>
      <c r="H27" s="140"/>
      <c r="I27" s="140"/>
      <c r="J27" s="140"/>
      <c r="K27" s="140"/>
      <c r="L27" s="140"/>
      <c r="M27" s="140"/>
    </row>
  </sheetData>
  <mergeCells count="11">
    <mergeCell ref="B16:H16"/>
    <mergeCell ref="A4:A6"/>
    <mergeCell ref="E4:E5"/>
    <mergeCell ref="F4:F5"/>
    <mergeCell ref="G4:G5"/>
    <mergeCell ref="L4:L5"/>
    <mergeCell ref="B4:D4"/>
    <mergeCell ref="H4:H5"/>
    <mergeCell ref="I4:I5"/>
    <mergeCell ref="J4:J5"/>
    <mergeCell ref="K4:K5"/>
  </mergeCells>
  <phoneticPr fontId="30"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L1376"/>
  <sheetViews>
    <sheetView zoomScale="90" zoomScaleNormal="90" zoomScaleSheetLayoutView="80" workbookViewId="0">
      <pane ySplit="3" topLeftCell="A1244" activePane="bottomLeft" state="frozen"/>
      <selection pane="bottomLeft" activeCell="A2" sqref="A2"/>
    </sheetView>
  </sheetViews>
  <sheetFormatPr defaultColWidth="15.625" defaultRowHeight="15.75"/>
  <cols>
    <col min="1" max="1" width="12.875" style="125" customWidth="1"/>
    <col min="2" max="2" width="18.625" style="13" customWidth="1"/>
    <col min="3" max="3" width="27.5" style="13" customWidth="1"/>
    <col min="4" max="6" width="18.625" style="13" customWidth="1"/>
    <col min="7" max="7" width="20.75" style="13" customWidth="1"/>
    <col min="8" max="8" width="18.625" style="13" customWidth="1"/>
    <col min="9" max="9" width="28" style="13" customWidth="1"/>
    <col min="10" max="10" width="1.625" style="13" customWidth="1"/>
    <col min="11" max="11" width="63.25" style="13" customWidth="1"/>
    <col min="12" max="12" width="30.625" style="13" customWidth="1"/>
    <col min="13" max="16384" width="15.625" style="13"/>
  </cols>
  <sheetData>
    <row r="1" spans="1:12">
      <c r="A1" s="2632" t="str">
        <f>+封面!A3&amp;" "&amp;封面!A2</f>
        <v xml:space="preserve"> 中央再保險股份有限公司 年度檢查報表</v>
      </c>
      <c r="B1" s="71"/>
    </row>
    <row r="2" spans="1:12" ht="17.25" thickBot="1">
      <c r="A2" s="2618" t="s">
        <v>6353</v>
      </c>
      <c r="B2" s="73"/>
      <c r="I2" s="101" t="s">
        <v>3440</v>
      </c>
    </row>
    <row r="3" spans="1:12" ht="33.75" thickBot="1">
      <c r="A3" s="102" t="s">
        <v>3454</v>
      </c>
      <c r="B3" s="76" t="s">
        <v>3455</v>
      </c>
      <c r="C3" s="76" t="s">
        <v>3456</v>
      </c>
      <c r="D3" s="76" t="s">
        <v>3457</v>
      </c>
      <c r="E3" s="76" t="s">
        <v>3458</v>
      </c>
      <c r="F3" s="76" t="s">
        <v>3459</v>
      </c>
      <c r="G3" s="76" t="s">
        <v>3460</v>
      </c>
      <c r="H3" s="76" t="s">
        <v>3448</v>
      </c>
      <c r="I3" s="77" t="s">
        <v>3449</v>
      </c>
      <c r="J3" s="103"/>
    </row>
    <row r="4" spans="1:12" ht="16.5">
      <c r="A4" s="7" t="s">
        <v>1425</v>
      </c>
      <c r="B4" s="8" t="s">
        <v>6354</v>
      </c>
      <c r="C4" s="9" t="s">
        <v>1349</v>
      </c>
      <c r="D4" s="104"/>
      <c r="E4" s="104"/>
      <c r="F4" s="105">
        <f>D4*E4</f>
        <v>0</v>
      </c>
      <c r="G4" s="106">
        <f t="shared" ref="G4:G67" si="0">IF($F$1265=0,0,F4/$F$1265)</f>
        <v>0</v>
      </c>
      <c r="H4" s="81">
        <v>1.0726</v>
      </c>
      <c r="I4" s="2619" t="s">
        <v>1146</v>
      </c>
      <c r="K4" s="82" t="s">
        <v>3461</v>
      </c>
    </row>
    <row r="5" spans="1:12" ht="17.25" thickBot="1">
      <c r="A5" s="7" t="s">
        <v>1426</v>
      </c>
      <c r="B5" s="8" t="s">
        <v>6355</v>
      </c>
      <c r="C5" s="9" t="s">
        <v>1349</v>
      </c>
      <c r="D5" s="104"/>
      <c r="E5" s="104"/>
      <c r="F5" s="105">
        <f t="shared" ref="F5:F68" si="1">D5*E5</f>
        <v>0</v>
      </c>
      <c r="G5" s="106">
        <f t="shared" si="0"/>
        <v>0</v>
      </c>
      <c r="H5" s="81">
        <v>0.90549999999999997</v>
      </c>
      <c r="I5" s="2619" t="s">
        <v>1146</v>
      </c>
      <c r="K5" s="107">
        <f>SUMPRODUCT(G4:G1264,H4:H1264)</f>
        <v>0</v>
      </c>
    </row>
    <row r="6" spans="1:12" ht="17.25" thickBot="1">
      <c r="A6" s="7" t="s">
        <v>1427</v>
      </c>
      <c r="B6" s="8" t="s">
        <v>6356</v>
      </c>
      <c r="C6" s="9" t="s">
        <v>1349</v>
      </c>
      <c r="D6" s="104"/>
      <c r="E6" s="104"/>
      <c r="F6" s="105">
        <f t="shared" si="1"/>
        <v>0</v>
      </c>
      <c r="G6" s="106">
        <f t="shared" si="0"/>
        <v>0</v>
      </c>
      <c r="H6" s="81">
        <v>1.3083</v>
      </c>
      <c r="I6" s="2619" t="s">
        <v>1146</v>
      </c>
      <c r="K6" s="13" t="s">
        <v>1377</v>
      </c>
    </row>
    <row r="7" spans="1:12" ht="16.5" customHeight="1">
      <c r="A7" s="7" t="s">
        <v>1428</v>
      </c>
      <c r="B7" s="8" t="s">
        <v>6357</v>
      </c>
      <c r="C7" s="9" t="s">
        <v>1349</v>
      </c>
      <c r="D7" s="104"/>
      <c r="E7" s="104"/>
      <c r="F7" s="105">
        <f t="shared" si="1"/>
        <v>0</v>
      </c>
      <c r="G7" s="106">
        <f t="shared" si="0"/>
        <v>0</v>
      </c>
      <c r="H7" s="81">
        <v>1.1433</v>
      </c>
      <c r="I7" s="2619" t="s">
        <v>1146</v>
      </c>
      <c r="K7" s="3525" t="s">
        <v>3462</v>
      </c>
      <c r="L7" s="3526"/>
    </row>
    <row r="8" spans="1:12" ht="16.5">
      <c r="A8" s="7" t="s">
        <v>1429</v>
      </c>
      <c r="B8" s="8" t="s">
        <v>6358</v>
      </c>
      <c r="C8" s="9" t="s">
        <v>1349</v>
      </c>
      <c r="D8" s="104"/>
      <c r="E8" s="104"/>
      <c r="F8" s="105">
        <f t="shared" si="1"/>
        <v>0</v>
      </c>
      <c r="G8" s="106">
        <f t="shared" si="0"/>
        <v>0</v>
      </c>
      <c r="H8" s="81">
        <v>0.53</v>
      </c>
      <c r="I8" s="2619" t="s">
        <v>1146</v>
      </c>
      <c r="K8" s="108" t="s">
        <v>5083</v>
      </c>
      <c r="L8" s="109"/>
    </row>
    <row r="9" spans="1:12" ht="16.5">
      <c r="A9" s="7" t="s">
        <v>1430</v>
      </c>
      <c r="B9" s="8" t="s">
        <v>6359</v>
      </c>
      <c r="C9" s="9" t="s">
        <v>1349</v>
      </c>
      <c r="D9" s="104"/>
      <c r="E9" s="104"/>
      <c r="F9" s="105">
        <f t="shared" si="1"/>
        <v>0</v>
      </c>
      <c r="G9" s="106">
        <f t="shared" si="0"/>
        <v>0</v>
      </c>
      <c r="H9" s="81">
        <v>0.8216</v>
      </c>
      <c r="I9" s="2619" t="s">
        <v>1146</v>
      </c>
      <c r="K9" s="108" t="s">
        <v>5084</v>
      </c>
      <c r="L9" s="109"/>
    </row>
    <row r="10" spans="1:12" ht="16.5">
      <c r="A10" s="7" t="s">
        <v>1431</v>
      </c>
      <c r="B10" s="8" t="s">
        <v>6360</v>
      </c>
      <c r="C10" s="9" t="s">
        <v>1349</v>
      </c>
      <c r="D10" s="104"/>
      <c r="E10" s="104"/>
      <c r="F10" s="105">
        <f t="shared" si="1"/>
        <v>0</v>
      </c>
      <c r="G10" s="106">
        <f t="shared" si="0"/>
        <v>0</v>
      </c>
      <c r="H10" s="81">
        <v>0.9919</v>
      </c>
      <c r="I10" s="2619" t="s">
        <v>1146</v>
      </c>
      <c r="K10" s="108" t="s">
        <v>3463</v>
      </c>
      <c r="L10" s="109"/>
    </row>
    <row r="11" spans="1:12" ht="16.5">
      <c r="A11" s="7" t="s">
        <v>1432</v>
      </c>
      <c r="B11" s="8" t="s">
        <v>6361</v>
      </c>
      <c r="C11" s="9" t="s">
        <v>1349</v>
      </c>
      <c r="D11" s="104"/>
      <c r="E11" s="104"/>
      <c r="F11" s="105">
        <f t="shared" si="1"/>
        <v>0</v>
      </c>
      <c r="G11" s="106">
        <f t="shared" si="0"/>
        <v>0</v>
      </c>
      <c r="H11" s="81">
        <v>0.96050000000000002</v>
      </c>
      <c r="I11" s="2619" t="s">
        <v>1146</v>
      </c>
      <c r="K11" s="108" t="s">
        <v>3464</v>
      </c>
      <c r="L11" s="109"/>
    </row>
    <row r="12" spans="1:12" ht="16.5">
      <c r="A12" s="7" t="s">
        <v>1433</v>
      </c>
      <c r="B12" s="8" t="s">
        <v>6362</v>
      </c>
      <c r="C12" s="9" t="s">
        <v>1349</v>
      </c>
      <c r="D12" s="104"/>
      <c r="E12" s="104"/>
      <c r="F12" s="105">
        <f t="shared" si="1"/>
        <v>0</v>
      </c>
      <c r="G12" s="106">
        <f t="shared" si="0"/>
        <v>0</v>
      </c>
      <c r="H12" s="81">
        <v>0.89849999999999997</v>
      </c>
      <c r="I12" s="2619" t="s">
        <v>1146</v>
      </c>
      <c r="K12" s="108" t="s">
        <v>5085</v>
      </c>
      <c r="L12" s="109"/>
    </row>
    <row r="13" spans="1:12" ht="16.5">
      <c r="A13" s="7" t="s">
        <v>1434</v>
      </c>
      <c r="B13" s="8" t="s">
        <v>6363</v>
      </c>
      <c r="C13" s="9" t="s">
        <v>1349</v>
      </c>
      <c r="D13" s="104"/>
      <c r="E13" s="104"/>
      <c r="F13" s="105">
        <f t="shared" si="1"/>
        <v>0</v>
      </c>
      <c r="G13" s="106">
        <f t="shared" si="0"/>
        <v>0</v>
      </c>
      <c r="H13" s="81">
        <v>1.0038</v>
      </c>
      <c r="I13" s="2619" t="s">
        <v>1146</v>
      </c>
      <c r="K13" s="108" t="s">
        <v>5086</v>
      </c>
      <c r="L13" s="109"/>
    </row>
    <row r="14" spans="1:12" ht="16.5">
      <c r="A14" s="7" t="s">
        <v>1435</v>
      </c>
      <c r="B14" s="8" t="s">
        <v>6364</v>
      </c>
      <c r="C14" s="9" t="s">
        <v>1349</v>
      </c>
      <c r="D14" s="104"/>
      <c r="E14" s="104"/>
      <c r="F14" s="105">
        <f t="shared" si="1"/>
        <v>0</v>
      </c>
      <c r="G14" s="106">
        <f t="shared" si="0"/>
        <v>0</v>
      </c>
      <c r="H14" s="81">
        <v>2.0596999999999999</v>
      </c>
      <c r="I14" s="2619" t="s">
        <v>1146</v>
      </c>
      <c r="K14" s="108" t="s">
        <v>5087</v>
      </c>
      <c r="L14" s="109"/>
    </row>
    <row r="15" spans="1:12" ht="16.5">
      <c r="A15" s="7" t="s">
        <v>1436</v>
      </c>
      <c r="B15" s="8" t="s">
        <v>6365</v>
      </c>
      <c r="C15" s="9" t="s">
        <v>1349</v>
      </c>
      <c r="D15" s="104"/>
      <c r="E15" s="104"/>
      <c r="F15" s="105">
        <f t="shared" si="1"/>
        <v>0</v>
      </c>
      <c r="G15" s="106">
        <f t="shared" si="0"/>
        <v>0</v>
      </c>
      <c r="H15" s="81">
        <v>-1.0161</v>
      </c>
      <c r="I15" s="2619" t="s">
        <v>1146</v>
      </c>
      <c r="K15" s="108" t="s">
        <v>5088</v>
      </c>
      <c r="L15" s="109"/>
    </row>
    <row r="16" spans="1:12" ht="16.5">
      <c r="A16" s="7" t="s">
        <v>1437</v>
      </c>
      <c r="B16" s="8" t="s">
        <v>6366</v>
      </c>
      <c r="C16" s="9" t="s">
        <v>1349</v>
      </c>
      <c r="D16" s="104"/>
      <c r="E16" s="104"/>
      <c r="F16" s="105">
        <f t="shared" si="1"/>
        <v>0</v>
      </c>
      <c r="G16" s="106">
        <f t="shared" si="0"/>
        <v>0</v>
      </c>
      <c r="H16" s="81">
        <v>2.0105</v>
      </c>
      <c r="I16" s="2619" t="s">
        <v>1146</v>
      </c>
      <c r="K16" s="108" t="s">
        <v>3465</v>
      </c>
      <c r="L16" s="109"/>
    </row>
    <row r="17" spans="1:12" ht="16.5">
      <c r="A17" s="7" t="s">
        <v>1438</v>
      </c>
      <c r="B17" s="8" t="s">
        <v>6367</v>
      </c>
      <c r="C17" s="9" t="s">
        <v>1349</v>
      </c>
      <c r="D17" s="104"/>
      <c r="E17" s="104"/>
      <c r="F17" s="105">
        <f t="shared" si="1"/>
        <v>0</v>
      </c>
      <c r="G17" s="106">
        <f t="shared" si="0"/>
        <v>0</v>
      </c>
      <c r="H17" s="81">
        <v>-0.98680000000000001</v>
      </c>
      <c r="I17" s="2619" t="s">
        <v>1146</v>
      </c>
      <c r="K17" s="108" t="s">
        <v>3466</v>
      </c>
      <c r="L17" s="109"/>
    </row>
    <row r="18" spans="1:12" ht="16.5">
      <c r="A18" s="7" t="s">
        <v>1439</v>
      </c>
      <c r="B18" s="8" t="s">
        <v>6368</v>
      </c>
      <c r="C18" s="9" t="s">
        <v>1349</v>
      </c>
      <c r="D18" s="104"/>
      <c r="E18" s="104"/>
      <c r="F18" s="105">
        <f t="shared" si="1"/>
        <v>0</v>
      </c>
      <c r="G18" s="106">
        <f t="shared" si="0"/>
        <v>0</v>
      </c>
      <c r="H18" s="81">
        <v>1.9836</v>
      </c>
      <c r="I18" s="2619" t="s">
        <v>1146</v>
      </c>
      <c r="K18" s="108" t="s">
        <v>3467</v>
      </c>
      <c r="L18" s="109"/>
    </row>
    <row r="19" spans="1:12" ht="16.5">
      <c r="A19" s="7" t="s">
        <v>1440</v>
      </c>
      <c r="B19" s="8" t="s">
        <v>6369</v>
      </c>
      <c r="C19" s="9" t="s">
        <v>1349</v>
      </c>
      <c r="D19" s="104"/>
      <c r="E19" s="104"/>
      <c r="F19" s="105">
        <f t="shared" si="1"/>
        <v>0</v>
      </c>
      <c r="G19" s="106">
        <f t="shared" si="0"/>
        <v>0</v>
      </c>
      <c r="H19" s="81">
        <v>-0.95499999999999996</v>
      </c>
      <c r="I19" s="2619" t="s">
        <v>1146</v>
      </c>
      <c r="K19" s="108" t="s">
        <v>3468</v>
      </c>
      <c r="L19" s="109"/>
    </row>
    <row r="20" spans="1:12" ht="16.5">
      <c r="A20" s="7" t="s">
        <v>1441</v>
      </c>
      <c r="B20" s="8" t="s">
        <v>6370</v>
      </c>
      <c r="C20" s="9" t="s">
        <v>1349</v>
      </c>
      <c r="D20" s="104"/>
      <c r="E20" s="104"/>
      <c r="F20" s="105">
        <f t="shared" si="1"/>
        <v>0</v>
      </c>
      <c r="G20" s="106">
        <f t="shared" si="0"/>
        <v>0</v>
      </c>
      <c r="H20" s="81">
        <v>1.9891000000000001</v>
      </c>
      <c r="I20" s="2619" t="s">
        <v>1146</v>
      </c>
      <c r="K20" s="108" t="s">
        <v>3469</v>
      </c>
      <c r="L20" s="109"/>
    </row>
    <row r="21" spans="1:12" ht="16.5">
      <c r="A21" s="7" t="s">
        <v>1442</v>
      </c>
      <c r="B21" s="8" t="s">
        <v>6371</v>
      </c>
      <c r="C21" s="9" t="s">
        <v>1349</v>
      </c>
      <c r="D21" s="104"/>
      <c r="E21" s="104"/>
      <c r="F21" s="105">
        <f t="shared" si="1"/>
        <v>0</v>
      </c>
      <c r="G21" s="106">
        <f t="shared" si="0"/>
        <v>0</v>
      </c>
      <c r="H21" s="81">
        <v>-0.94520000000000004</v>
      </c>
      <c r="I21" s="2619" t="s">
        <v>1146</v>
      </c>
      <c r="K21" s="108" t="s">
        <v>3470</v>
      </c>
      <c r="L21" s="109"/>
    </row>
    <row r="22" spans="1:12" ht="16.5">
      <c r="A22" s="7" t="s">
        <v>1443</v>
      </c>
      <c r="B22" s="8" t="s">
        <v>6372</v>
      </c>
      <c r="C22" s="9" t="s">
        <v>1349</v>
      </c>
      <c r="D22" s="104"/>
      <c r="E22" s="104"/>
      <c r="F22" s="105">
        <f t="shared" si="1"/>
        <v>0</v>
      </c>
      <c r="G22" s="106">
        <f t="shared" si="0"/>
        <v>0</v>
      </c>
      <c r="H22" s="81">
        <v>0.79169999999999996</v>
      </c>
      <c r="I22" s="2619" t="s">
        <v>1146</v>
      </c>
      <c r="K22" s="1998" t="s">
        <v>5089</v>
      </c>
      <c r="L22" s="1999"/>
    </row>
    <row r="23" spans="1:12" ht="16.5" customHeight="1">
      <c r="A23" s="7" t="s">
        <v>1444</v>
      </c>
      <c r="B23" s="8" t="s">
        <v>6373</v>
      </c>
      <c r="C23" s="9" t="s">
        <v>1349</v>
      </c>
      <c r="D23" s="104"/>
      <c r="E23" s="104"/>
      <c r="F23" s="105">
        <f t="shared" si="1"/>
        <v>0</v>
      </c>
      <c r="G23" s="106">
        <f t="shared" si="0"/>
        <v>0</v>
      </c>
      <c r="H23" s="81">
        <v>0.96989999999999998</v>
      </c>
      <c r="I23" s="2619" t="s">
        <v>1146</v>
      </c>
      <c r="K23" s="2000" t="s">
        <v>5090</v>
      </c>
      <c r="L23" s="2001"/>
    </row>
    <row r="24" spans="1:12" ht="16.5">
      <c r="A24" s="7" t="s">
        <v>1445</v>
      </c>
      <c r="B24" s="8" t="s">
        <v>6374</v>
      </c>
      <c r="C24" s="9" t="s">
        <v>1349</v>
      </c>
      <c r="D24" s="104"/>
      <c r="E24" s="104"/>
      <c r="F24" s="105">
        <f t="shared" si="1"/>
        <v>0</v>
      </c>
      <c r="G24" s="106">
        <f t="shared" si="0"/>
        <v>0</v>
      </c>
      <c r="H24" s="81">
        <v>0.55549999999999999</v>
      </c>
      <c r="I24" s="2619" t="s">
        <v>1146</v>
      </c>
      <c r="K24" s="108" t="s">
        <v>6375</v>
      </c>
      <c r="L24" s="2620">
        <f>SUM(L25:L26)</f>
        <v>0</v>
      </c>
    </row>
    <row r="25" spans="1:12" ht="16.5">
      <c r="A25" s="7" t="s">
        <v>1446</v>
      </c>
      <c r="B25" s="8" t="s">
        <v>6376</v>
      </c>
      <c r="C25" s="9" t="s">
        <v>1349</v>
      </c>
      <c r="D25" s="104"/>
      <c r="E25" s="104"/>
      <c r="F25" s="105">
        <f t="shared" si="1"/>
        <v>0</v>
      </c>
      <c r="G25" s="106">
        <f t="shared" si="0"/>
        <v>0</v>
      </c>
      <c r="H25" s="81">
        <v>0.55449999999999999</v>
      </c>
      <c r="I25" s="2619" t="s">
        <v>1146</v>
      </c>
      <c r="K25" s="2621" t="s">
        <v>6377</v>
      </c>
      <c r="L25" s="2001"/>
    </row>
    <row r="26" spans="1:12" ht="16.5">
      <c r="A26" s="7" t="s">
        <v>1447</v>
      </c>
      <c r="B26" s="8" t="s">
        <v>6378</v>
      </c>
      <c r="C26" s="9" t="s">
        <v>1349</v>
      </c>
      <c r="D26" s="104"/>
      <c r="E26" s="104"/>
      <c r="F26" s="105">
        <f t="shared" si="1"/>
        <v>0</v>
      </c>
      <c r="G26" s="106">
        <f t="shared" si="0"/>
        <v>0</v>
      </c>
      <c r="H26" s="81">
        <v>0.98219999999999996</v>
      </c>
      <c r="I26" s="2619" t="s">
        <v>1146</v>
      </c>
      <c r="K26" s="2000" t="s">
        <v>6379</v>
      </c>
      <c r="L26" s="2001"/>
    </row>
    <row r="27" spans="1:12" ht="16.5">
      <c r="A27" s="7" t="s">
        <v>1448</v>
      </c>
      <c r="B27" s="8" t="s">
        <v>6380</v>
      </c>
      <c r="C27" s="9" t="s">
        <v>1349</v>
      </c>
      <c r="D27" s="104"/>
      <c r="E27" s="104"/>
      <c r="F27" s="105">
        <f t="shared" si="1"/>
        <v>0</v>
      </c>
      <c r="G27" s="106">
        <f t="shared" si="0"/>
        <v>0</v>
      </c>
      <c r="H27" s="81">
        <v>0.54279999999999995</v>
      </c>
      <c r="I27" s="2619" t="s">
        <v>1146</v>
      </c>
      <c r="K27" s="2000" t="s">
        <v>6381</v>
      </c>
      <c r="L27" s="2622">
        <f>SUM(L28:L29)</f>
        <v>0</v>
      </c>
    </row>
    <row r="28" spans="1:12" ht="16.5">
      <c r="A28" s="7" t="s">
        <v>1449</v>
      </c>
      <c r="B28" s="8" t="s">
        <v>6382</v>
      </c>
      <c r="C28" s="9" t="s">
        <v>1349</v>
      </c>
      <c r="D28" s="104"/>
      <c r="E28" s="104"/>
      <c r="F28" s="105">
        <f t="shared" si="1"/>
        <v>0</v>
      </c>
      <c r="G28" s="106">
        <f t="shared" si="0"/>
        <v>0</v>
      </c>
      <c r="H28" s="81">
        <v>0.71050000000000002</v>
      </c>
      <c r="I28" s="2619" t="s">
        <v>1146</v>
      </c>
      <c r="K28" s="2000" t="s">
        <v>6383</v>
      </c>
      <c r="L28" s="2001"/>
    </row>
    <row r="29" spans="1:12" ht="17.25" thickBot="1">
      <c r="A29" s="7" t="s">
        <v>1450</v>
      </c>
      <c r="B29" s="8" t="s">
        <v>6384</v>
      </c>
      <c r="C29" s="9" t="s">
        <v>1349</v>
      </c>
      <c r="D29" s="104"/>
      <c r="E29" s="104"/>
      <c r="F29" s="105">
        <f t="shared" si="1"/>
        <v>0</v>
      </c>
      <c r="G29" s="106">
        <f t="shared" si="0"/>
        <v>0</v>
      </c>
      <c r="H29" s="81">
        <v>1.1785000000000001</v>
      </c>
      <c r="I29" s="2619" t="s">
        <v>1146</v>
      </c>
      <c r="K29" s="2623" t="s">
        <v>6385</v>
      </c>
      <c r="L29" s="2337"/>
    </row>
    <row r="30" spans="1:12" ht="17.25" thickBot="1">
      <c r="A30" s="7" t="s">
        <v>1451</v>
      </c>
      <c r="B30" s="8" t="s">
        <v>6386</v>
      </c>
      <c r="C30" s="9" t="s">
        <v>1349</v>
      </c>
      <c r="D30" s="104"/>
      <c r="E30" s="104"/>
      <c r="F30" s="105">
        <f t="shared" si="1"/>
        <v>0</v>
      </c>
      <c r="G30" s="106">
        <f t="shared" si="0"/>
        <v>0</v>
      </c>
      <c r="H30" s="81">
        <v>0.93630000000000002</v>
      </c>
      <c r="I30" s="2619" t="s">
        <v>1146</v>
      </c>
    </row>
    <row r="31" spans="1:12" ht="16.5">
      <c r="A31" s="7" t="s">
        <v>2581</v>
      </c>
      <c r="B31" s="8" t="s">
        <v>6387</v>
      </c>
      <c r="C31" s="9" t="s">
        <v>1349</v>
      </c>
      <c r="D31" s="104"/>
      <c r="E31" s="104"/>
      <c r="F31" s="105">
        <f t="shared" si="1"/>
        <v>0</v>
      </c>
      <c r="G31" s="106">
        <f t="shared" si="0"/>
        <v>0</v>
      </c>
      <c r="H31" s="81">
        <v>0.78010000000000002</v>
      </c>
      <c r="I31" s="2619" t="s">
        <v>1146</v>
      </c>
      <c r="K31" s="3525" t="s">
        <v>2523</v>
      </c>
      <c r="L31" s="3526"/>
    </row>
    <row r="32" spans="1:12" ht="16.5">
      <c r="A32" s="7" t="s">
        <v>2582</v>
      </c>
      <c r="B32" s="8" t="s">
        <v>6388</v>
      </c>
      <c r="C32" s="9" t="s">
        <v>1349</v>
      </c>
      <c r="D32" s="104"/>
      <c r="E32" s="104"/>
      <c r="F32" s="105">
        <f t="shared" si="1"/>
        <v>0</v>
      </c>
      <c r="G32" s="106">
        <f t="shared" si="0"/>
        <v>0</v>
      </c>
      <c r="H32" s="81">
        <v>1.1316999999999999</v>
      </c>
      <c r="I32" s="2619" t="s">
        <v>1146</v>
      </c>
      <c r="K32" s="108" t="s">
        <v>3471</v>
      </c>
      <c r="L32" s="109"/>
    </row>
    <row r="33" spans="1:12" ht="16.5">
      <c r="A33" s="7" t="s">
        <v>3382</v>
      </c>
      <c r="B33" s="8" t="s">
        <v>6389</v>
      </c>
      <c r="C33" s="9" t="s">
        <v>1349</v>
      </c>
      <c r="D33" s="104"/>
      <c r="E33" s="104"/>
      <c r="F33" s="105">
        <f t="shared" si="1"/>
        <v>0</v>
      </c>
      <c r="G33" s="106">
        <f t="shared" si="0"/>
        <v>0</v>
      </c>
      <c r="H33" s="81">
        <v>1.2795000000000001</v>
      </c>
      <c r="I33" s="2619" t="s">
        <v>1146</v>
      </c>
      <c r="K33" s="108" t="s">
        <v>3472</v>
      </c>
      <c r="L33" s="109"/>
    </row>
    <row r="34" spans="1:12" ht="16.5">
      <c r="A34" s="7" t="s">
        <v>3383</v>
      </c>
      <c r="B34" s="8" t="s">
        <v>6390</v>
      </c>
      <c r="C34" s="9" t="s">
        <v>1349</v>
      </c>
      <c r="D34" s="104"/>
      <c r="E34" s="104"/>
      <c r="F34" s="105">
        <f t="shared" si="1"/>
        <v>0</v>
      </c>
      <c r="G34" s="106">
        <f t="shared" si="0"/>
        <v>0</v>
      </c>
      <c r="H34" s="81">
        <v>1.3461000000000001</v>
      </c>
      <c r="I34" s="2619" t="s">
        <v>1146</v>
      </c>
      <c r="K34" s="108" t="s">
        <v>3473</v>
      </c>
      <c r="L34" s="109"/>
    </row>
    <row r="35" spans="1:12" ht="16.5">
      <c r="A35" s="7" t="s">
        <v>3384</v>
      </c>
      <c r="B35" s="8" t="s">
        <v>6391</v>
      </c>
      <c r="C35" s="9" t="s">
        <v>1349</v>
      </c>
      <c r="D35" s="104"/>
      <c r="E35" s="104"/>
      <c r="F35" s="105">
        <f t="shared" si="1"/>
        <v>0</v>
      </c>
      <c r="G35" s="106">
        <f t="shared" si="0"/>
        <v>0</v>
      </c>
      <c r="H35" s="81">
        <v>1.2721</v>
      </c>
      <c r="I35" s="2624" t="s">
        <v>1146</v>
      </c>
      <c r="K35" s="108" t="s">
        <v>3474</v>
      </c>
      <c r="L35" s="109"/>
    </row>
    <row r="36" spans="1:12" ht="16.5">
      <c r="A36" s="7" t="s">
        <v>3385</v>
      </c>
      <c r="B36" s="8" t="s">
        <v>6392</v>
      </c>
      <c r="C36" s="9" t="s">
        <v>1349</v>
      </c>
      <c r="D36" s="104"/>
      <c r="E36" s="104"/>
      <c r="F36" s="105">
        <f t="shared" si="1"/>
        <v>0</v>
      </c>
      <c r="G36" s="106">
        <f t="shared" si="0"/>
        <v>0</v>
      </c>
      <c r="H36" s="81">
        <v>1.0122</v>
      </c>
      <c r="I36" s="2624" t="s">
        <v>1146</v>
      </c>
      <c r="K36" s="108" t="s">
        <v>5091</v>
      </c>
      <c r="L36" s="109"/>
    </row>
    <row r="37" spans="1:12" ht="16.5">
      <c r="A37" s="7" t="s">
        <v>3386</v>
      </c>
      <c r="B37" s="8" t="s">
        <v>6393</v>
      </c>
      <c r="C37" s="9" t="s">
        <v>1349</v>
      </c>
      <c r="D37" s="104"/>
      <c r="E37" s="104"/>
      <c r="F37" s="105">
        <f t="shared" si="1"/>
        <v>0</v>
      </c>
      <c r="G37" s="106">
        <f t="shared" si="0"/>
        <v>0</v>
      </c>
      <c r="H37" s="81">
        <v>0.82279999999999998</v>
      </c>
      <c r="I37" s="2624" t="s">
        <v>1146</v>
      </c>
      <c r="K37" s="108" t="s">
        <v>5092</v>
      </c>
      <c r="L37" s="109"/>
    </row>
    <row r="38" spans="1:12" ht="16.5">
      <c r="A38" s="7" t="s">
        <v>3387</v>
      </c>
      <c r="B38" s="8" t="s">
        <v>6394</v>
      </c>
      <c r="C38" s="9" t="s">
        <v>1349</v>
      </c>
      <c r="D38" s="104"/>
      <c r="E38" s="104"/>
      <c r="F38" s="105">
        <f t="shared" si="1"/>
        <v>0</v>
      </c>
      <c r="G38" s="106">
        <f t="shared" si="0"/>
        <v>0</v>
      </c>
      <c r="H38" s="81">
        <v>1.1604000000000001</v>
      </c>
      <c r="I38" s="2624" t="s">
        <v>1146</v>
      </c>
      <c r="K38" s="108" t="s">
        <v>5093</v>
      </c>
      <c r="L38" s="109"/>
    </row>
    <row r="39" spans="1:12" ht="16.5">
      <c r="A39" s="7" t="s">
        <v>4991</v>
      </c>
      <c r="B39" s="8" t="s">
        <v>6395</v>
      </c>
      <c r="C39" s="9" t="s">
        <v>1349</v>
      </c>
      <c r="D39" s="104"/>
      <c r="E39" s="104"/>
      <c r="F39" s="105">
        <f t="shared" si="1"/>
        <v>0</v>
      </c>
      <c r="G39" s="106">
        <f t="shared" si="0"/>
        <v>0</v>
      </c>
      <c r="H39" s="81">
        <v>1.3657999999999999</v>
      </c>
      <c r="I39" s="2624" t="s">
        <v>1146</v>
      </c>
      <c r="K39" s="108" t="s">
        <v>5094</v>
      </c>
      <c r="L39" s="109"/>
    </row>
    <row r="40" spans="1:12" ht="16.5">
      <c r="A40" s="7" t="s">
        <v>4992</v>
      </c>
      <c r="B40" s="8" t="s">
        <v>6396</v>
      </c>
      <c r="C40" s="9" t="s">
        <v>1349</v>
      </c>
      <c r="D40" s="104"/>
      <c r="E40" s="104"/>
      <c r="F40" s="105">
        <f t="shared" si="1"/>
        <v>0</v>
      </c>
      <c r="G40" s="106">
        <f t="shared" si="0"/>
        <v>0</v>
      </c>
      <c r="H40" s="81">
        <v>0.90790000000000004</v>
      </c>
      <c r="I40" s="2624" t="s">
        <v>1146</v>
      </c>
      <c r="K40" s="108" t="s">
        <v>3475</v>
      </c>
      <c r="L40" s="109"/>
    </row>
    <row r="41" spans="1:12" ht="16.5">
      <c r="A41" s="7" t="s">
        <v>4993</v>
      </c>
      <c r="B41" s="8" t="s">
        <v>6397</v>
      </c>
      <c r="C41" s="9" t="s">
        <v>1349</v>
      </c>
      <c r="D41" s="104"/>
      <c r="E41" s="104"/>
      <c r="F41" s="105">
        <f t="shared" si="1"/>
        <v>0</v>
      </c>
      <c r="G41" s="106">
        <f t="shared" si="0"/>
        <v>0</v>
      </c>
      <c r="H41" s="81">
        <v>0.49330000000000002</v>
      </c>
      <c r="I41" s="2619" t="s">
        <v>1146</v>
      </c>
      <c r="K41" s="108" t="s">
        <v>3476</v>
      </c>
      <c r="L41" s="109"/>
    </row>
    <row r="42" spans="1:12" ht="16.5">
      <c r="A42" s="7" t="s">
        <v>4994</v>
      </c>
      <c r="B42" s="8" t="s">
        <v>6398</v>
      </c>
      <c r="C42" s="9" t="s">
        <v>1349</v>
      </c>
      <c r="D42" s="104"/>
      <c r="E42" s="104"/>
      <c r="F42" s="105">
        <f t="shared" si="1"/>
        <v>0</v>
      </c>
      <c r="G42" s="106">
        <f t="shared" si="0"/>
        <v>0</v>
      </c>
      <c r="H42" s="81">
        <v>0.97889999999999999</v>
      </c>
      <c r="I42" s="2619" t="s">
        <v>1146</v>
      </c>
      <c r="K42" s="108" t="s">
        <v>3477</v>
      </c>
      <c r="L42" s="109"/>
    </row>
    <row r="43" spans="1:12" ht="16.5">
      <c r="A43" s="7" t="s">
        <v>4995</v>
      </c>
      <c r="B43" s="8" t="s">
        <v>6399</v>
      </c>
      <c r="C43" s="9" t="s">
        <v>1349</v>
      </c>
      <c r="D43" s="104"/>
      <c r="E43" s="104"/>
      <c r="F43" s="105">
        <f t="shared" si="1"/>
        <v>0</v>
      </c>
      <c r="G43" s="106">
        <f t="shared" si="0"/>
        <v>0</v>
      </c>
      <c r="H43" s="81">
        <v>1.1818</v>
      </c>
      <c r="I43" s="2619" t="s">
        <v>1146</v>
      </c>
      <c r="K43" s="108" t="s">
        <v>3478</v>
      </c>
      <c r="L43" s="109"/>
    </row>
    <row r="44" spans="1:12" ht="16.5">
      <c r="A44" s="7" t="s">
        <v>4996</v>
      </c>
      <c r="B44" s="8" t="s">
        <v>6400</v>
      </c>
      <c r="C44" s="9" t="s">
        <v>1349</v>
      </c>
      <c r="D44" s="104"/>
      <c r="E44" s="104"/>
      <c r="F44" s="105">
        <f t="shared" si="1"/>
        <v>0</v>
      </c>
      <c r="G44" s="106">
        <f t="shared" si="0"/>
        <v>0</v>
      </c>
      <c r="H44" s="81">
        <v>0.68600000000000005</v>
      </c>
      <c r="I44" s="2619" t="s">
        <v>1146</v>
      </c>
      <c r="K44" s="108" t="s">
        <v>3479</v>
      </c>
      <c r="L44" s="109"/>
    </row>
    <row r="45" spans="1:12" ht="33">
      <c r="A45" s="7" t="s">
        <v>4997</v>
      </c>
      <c r="B45" s="8" t="s">
        <v>6401</v>
      </c>
      <c r="C45" s="9" t="s">
        <v>1349</v>
      </c>
      <c r="D45" s="104"/>
      <c r="E45" s="104"/>
      <c r="F45" s="105">
        <f t="shared" si="1"/>
        <v>0</v>
      </c>
      <c r="G45" s="106">
        <f t="shared" si="0"/>
        <v>0</v>
      </c>
      <c r="H45" s="81">
        <v>0.94340000000000002</v>
      </c>
      <c r="I45" s="2619" t="s">
        <v>1146</v>
      </c>
      <c r="K45" s="108" t="s">
        <v>3480</v>
      </c>
      <c r="L45" s="109"/>
    </row>
    <row r="46" spans="1:12" ht="16.5">
      <c r="A46" s="7" t="s">
        <v>4998</v>
      </c>
      <c r="B46" s="8" t="s">
        <v>6402</v>
      </c>
      <c r="C46" s="9" t="s">
        <v>1349</v>
      </c>
      <c r="D46" s="104"/>
      <c r="E46" s="104"/>
      <c r="F46" s="105">
        <f t="shared" si="1"/>
        <v>0</v>
      </c>
      <c r="G46" s="106">
        <f t="shared" si="0"/>
        <v>0</v>
      </c>
      <c r="H46" s="81">
        <v>0.86160000000000003</v>
      </c>
      <c r="I46" s="2619" t="s">
        <v>1146</v>
      </c>
      <c r="K46" s="108" t="s">
        <v>5095</v>
      </c>
      <c r="L46" s="1999"/>
    </row>
    <row r="47" spans="1:12" ht="16.5">
      <c r="A47" s="7" t="s">
        <v>5735</v>
      </c>
      <c r="B47" s="8" t="s">
        <v>6403</v>
      </c>
      <c r="C47" s="9" t="s">
        <v>1349</v>
      </c>
      <c r="D47" s="104"/>
      <c r="E47" s="104"/>
      <c r="F47" s="105">
        <f t="shared" si="1"/>
        <v>0</v>
      </c>
      <c r="G47" s="106">
        <f t="shared" si="0"/>
        <v>0</v>
      </c>
      <c r="H47" s="81">
        <v>1.145239090909091</v>
      </c>
      <c r="I47" s="2619" t="s">
        <v>6404</v>
      </c>
      <c r="K47" s="2000" t="s">
        <v>5096</v>
      </c>
      <c r="L47" s="2001"/>
    </row>
    <row r="48" spans="1:12" ht="33">
      <c r="A48" s="7" t="s">
        <v>5736</v>
      </c>
      <c r="B48" s="8" t="s">
        <v>6405</v>
      </c>
      <c r="C48" s="9" t="s">
        <v>1349</v>
      </c>
      <c r="D48" s="104"/>
      <c r="E48" s="104"/>
      <c r="F48" s="105">
        <f t="shared" si="1"/>
        <v>0</v>
      </c>
      <c r="G48" s="106">
        <f t="shared" si="0"/>
        <v>0</v>
      </c>
      <c r="H48" s="81">
        <v>1.145239090909091</v>
      </c>
      <c r="I48" s="2619" t="s">
        <v>6404</v>
      </c>
      <c r="K48" s="108" t="s">
        <v>6406</v>
      </c>
      <c r="L48" s="2620">
        <f>SUM(L49:L50)</f>
        <v>0</v>
      </c>
    </row>
    <row r="49" spans="1:12" ht="16.5">
      <c r="A49" s="7" t="s">
        <v>5737</v>
      </c>
      <c r="B49" s="8" t="s">
        <v>6407</v>
      </c>
      <c r="C49" s="9" t="s">
        <v>1349</v>
      </c>
      <c r="D49" s="104"/>
      <c r="E49" s="104"/>
      <c r="F49" s="105">
        <f t="shared" si="1"/>
        <v>0</v>
      </c>
      <c r="G49" s="106">
        <f t="shared" si="0"/>
        <v>0</v>
      </c>
      <c r="H49" s="81">
        <v>1.145239090909091</v>
      </c>
      <c r="I49" s="2619" t="s">
        <v>6404</v>
      </c>
      <c r="K49" s="2000" t="s">
        <v>6377</v>
      </c>
      <c r="L49" s="2001"/>
    </row>
    <row r="50" spans="1:12" ht="16.5">
      <c r="A50" s="7" t="s">
        <v>5738</v>
      </c>
      <c r="B50" s="8" t="s">
        <v>6408</v>
      </c>
      <c r="C50" s="9" t="s">
        <v>1349</v>
      </c>
      <c r="D50" s="104"/>
      <c r="E50" s="104"/>
      <c r="F50" s="105">
        <f t="shared" si="1"/>
        <v>0</v>
      </c>
      <c r="G50" s="106">
        <f t="shared" si="0"/>
        <v>0</v>
      </c>
      <c r="H50" s="81">
        <v>1.145239090909091</v>
      </c>
      <c r="I50" s="2619" t="s">
        <v>6404</v>
      </c>
      <c r="K50" s="2000" t="s">
        <v>6379</v>
      </c>
      <c r="L50" s="2001"/>
    </row>
    <row r="51" spans="1:12" ht="16.5">
      <c r="A51" s="7" t="s">
        <v>5739</v>
      </c>
      <c r="B51" s="8" t="s">
        <v>6409</v>
      </c>
      <c r="C51" s="9" t="s">
        <v>1349</v>
      </c>
      <c r="D51" s="104"/>
      <c r="E51" s="104"/>
      <c r="F51" s="105">
        <f t="shared" si="1"/>
        <v>0</v>
      </c>
      <c r="G51" s="106">
        <f t="shared" si="0"/>
        <v>0</v>
      </c>
      <c r="H51" s="81">
        <v>1.145239090909091</v>
      </c>
      <c r="I51" s="2619" t="s">
        <v>6404</v>
      </c>
      <c r="K51" s="2000" t="s">
        <v>6410</v>
      </c>
      <c r="L51" s="2622">
        <f>SUM(L52:L53)</f>
        <v>0</v>
      </c>
    </row>
    <row r="52" spans="1:12" ht="16.5">
      <c r="A52" s="7" t="s">
        <v>5740</v>
      </c>
      <c r="B52" s="8" t="s">
        <v>6411</v>
      </c>
      <c r="C52" s="9" t="s">
        <v>1349</v>
      </c>
      <c r="D52" s="104"/>
      <c r="E52" s="104"/>
      <c r="F52" s="105">
        <f t="shared" si="1"/>
        <v>0</v>
      </c>
      <c r="G52" s="106">
        <f t="shared" si="0"/>
        <v>0</v>
      </c>
      <c r="H52" s="81">
        <v>1.145239090909091</v>
      </c>
      <c r="I52" s="2619" t="s">
        <v>6404</v>
      </c>
      <c r="K52" s="108" t="s">
        <v>6383</v>
      </c>
      <c r="L52" s="2336"/>
    </row>
    <row r="53" spans="1:12" ht="17.25" thickBot="1">
      <c r="A53" s="7" t="s">
        <v>5741</v>
      </c>
      <c r="B53" s="8" t="s">
        <v>6412</v>
      </c>
      <c r="C53" s="9" t="s">
        <v>1349</v>
      </c>
      <c r="D53" s="104"/>
      <c r="E53" s="104"/>
      <c r="F53" s="105">
        <f t="shared" si="1"/>
        <v>0</v>
      </c>
      <c r="G53" s="106">
        <f t="shared" si="0"/>
        <v>0</v>
      </c>
      <c r="H53" s="81">
        <v>1.145239090909091</v>
      </c>
      <c r="I53" s="2619" t="s">
        <v>6404</v>
      </c>
      <c r="K53" s="2623" t="s">
        <v>6385</v>
      </c>
      <c r="L53" s="2337"/>
    </row>
    <row r="54" spans="1:12" ht="33">
      <c r="A54" s="7" t="s">
        <v>5742</v>
      </c>
      <c r="B54" s="8" t="s">
        <v>6413</v>
      </c>
      <c r="C54" s="9" t="s">
        <v>1349</v>
      </c>
      <c r="D54" s="104"/>
      <c r="E54" s="104"/>
      <c r="F54" s="105">
        <f t="shared" si="1"/>
        <v>0</v>
      </c>
      <c r="G54" s="106">
        <f t="shared" si="0"/>
        <v>0</v>
      </c>
      <c r="H54" s="81">
        <v>1.145239090909091</v>
      </c>
      <c r="I54" s="2619" t="s">
        <v>6404</v>
      </c>
    </row>
    <row r="55" spans="1:12" ht="16.5">
      <c r="A55" s="7" t="s">
        <v>5743</v>
      </c>
      <c r="B55" s="8" t="s">
        <v>6414</v>
      </c>
      <c r="C55" s="9" t="s">
        <v>1349</v>
      </c>
      <c r="D55" s="104"/>
      <c r="E55" s="104"/>
      <c r="F55" s="105">
        <f t="shared" si="1"/>
        <v>0</v>
      </c>
      <c r="G55" s="106">
        <f t="shared" si="0"/>
        <v>0</v>
      </c>
      <c r="H55" s="81">
        <v>1.145239090909091</v>
      </c>
      <c r="I55" s="2619" t="s">
        <v>6404</v>
      </c>
    </row>
    <row r="56" spans="1:12" ht="33">
      <c r="A56" s="7" t="s">
        <v>5744</v>
      </c>
      <c r="B56" s="8" t="s">
        <v>6415</v>
      </c>
      <c r="C56" s="9" t="s">
        <v>1349</v>
      </c>
      <c r="D56" s="104"/>
      <c r="E56" s="104"/>
      <c r="F56" s="105">
        <f t="shared" si="1"/>
        <v>0</v>
      </c>
      <c r="G56" s="106">
        <f t="shared" si="0"/>
        <v>0</v>
      </c>
      <c r="H56" s="81">
        <v>1.145239090909091</v>
      </c>
      <c r="I56" s="2619" t="s">
        <v>6404</v>
      </c>
    </row>
    <row r="57" spans="1:12" ht="16.5">
      <c r="A57" s="7" t="s">
        <v>1452</v>
      </c>
      <c r="B57" s="8" t="s">
        <v>6416</v>
      </c>
      <c r="C57" s="9" t="s">
        <v>3481</v>
      </c>
      <c r="D57" s="104"/>
      <c r="E57" s="104"/>
      <c r="F57" s="105">
        <f t="shared" si="1"/>
        <v>0</v>
      </c>
      <c r="G57" s="106">
        <f t="shared" si="0"/>
        <v>0</v>
      </c>
      <c r="H57" s="81">
        <v>0.57679999999999998</v>
      </c>
      <c r="I57" s="2619" t="s">
        <v>1146</v>
      </c>
    </row>
    <row r="58" spans="1:12" ht="16.5">
      <c r="A58" s="7" t="s">
        <v>1453</v>
      </c>
      <c r="B58" s="8" t="s">
        <v>6417</v>
      </c>
      <c r="C58" s="9" t="s">
        <v>3481</v>
      </c>
      <c r="D58" s="104"/>
      <c r="E58" s="104"/>
      <c r="F58" s="105">
        <f t="shared" si="1"/>
        <v>0</v>
      </c>
      <c r="G58" s="106">
        <f t="shared" si="0"/>
        <v>0</v>
      </c>
      <c r="H58" s="81">
        <v>0.29110000000000003</v>
      </c>
      <c r="I58" s="2619" t="s">
        <v>1146</v>
      </c>
    </row>
    <row r="59" spans="1:12" ht="16.5">
      <c r="A59" s="7" t="s">
        <v>1454</v>
      </c>
      <c r="B59" s="8" t="s">
        <v>6418</v>
      </c>
      <c r="C59" s="9" t="s">
        <v>3481</v>
      </c>
      <c r="D59" s="104"/>
      <c r="E59" s="104"/>
      <c r="F59" s="105">
        <f t="shared" si="1"/>
        <v>0</v>
      </c>
      <c r="G59" s="106">
        <f t="shared" si="0"/>
        <v>0</v>
      </c>
      <c r="H59" s="81">
        <v>0.6008</v>
      </c>
      <c r="I59" s="2619" t="s">
        <v>1146</v>
      </c>
    </row>
    <row r="60" spans="1:12" ht="16.5">
      <c r="A60" s="7" t="s">
        <v>1455</v>
      </c>
      <c r="B60" s="8" t="s">
        <v>6419</v>
      </c>
      <c r="C60" s="9" t="s">
        <v>3481</v>
      </c>
      <c r="D60" s="104"/>
      <c r="E60" s="104"/>
      <c r="F60" s="105">
        <f t="shared" si="1"/>
        <v>0</v>
      </c>
      <c r="G60" s="106">
        <f t="shared" si="0"/>
        <v>0</v>
      </c>
      <c r="H60" s="81">
        <v>0.4163</v>
      </c>
      <c r="I60" s="2619" t="s">
        <v>1146</v>
      </c>
    </row>
    <row r="61" spans="1:12" ht="16.5">
      <c r="A61" s="7" t="s">
        <v>1456</v>
      </c>
      <c r="B61" s="8" t="s">
        <v>6420</v>
      </c>
      <c r="C61" s="9" t="s">
        <v>3481</v>
      </c>
      <c r="D61" s="104"/>
      <c r="E61" s="104"/>
      <c r="F61" s="105">
        <f t="shared" si="1"/>
        <v>0</v>
      </c>
      <c r="G61" s="106">
        <f t="shared" si="0"/>
        <v>0</v>
      </c>
      <c r="H61" s="81">
        <v>0.60260000000000002</v>
      </c>
      <c r="I61" s="2619" t="s">
        <v>1146</v>
      </c>
    </row>
    <row r="62" spans="1:12" ht="16.5">
      <c r="A62" s="7" t="s">
        <v>1457</v>
      </c>
      <c r="B62" s="8" t="s">
        <v>6421</v>
      </c>
      <c r="C62" s="9" t="s">
        <v>3481</v>
      </c>
      <c r="D62" s="104"/>
      <c r="E62" s="104"/>
      <c r="F62" s="105">
        <f t="shared" si="1"/>
        <v>0</v>
      </c>
      <c r="G62" s="106">
        <f t="shared" si="0"/>
        <v>0</v>
      </c>
      <c r="H62" s="81">
        <v>0.17419999999999999</v>
      </c>
      <c r="I62" s="2619" t="s">
        <v>1146</v>
      </c>
    </row>
    <row r="63" spans="1:12" ht="16.5">
      <c r="A63" s="7" t="s">
        <v>1458</v>
      </c>
      <c r="B63" s="8" t="s">
        <v>6422</v>
      </c>
      <c r="C63" s="9" t="s">
        <v>3481</v>
      </c>
      <c r="D63" s="104"/>
      <c r="E63" s="104"/>
      <c r="F63" s="105">
        <f t="shared" si="1"/>
        <v>0</v>
      </c>
      <c r="G63" s="106">
        <f t="shared" si="0"/>
        <v>0</v>
      </c>
      <c r="H63" s="81">
        <v>0.2601</v>
      </c>
      <c r="I63" s="2619" t="s">
        <v>1146</v>
      </c>
    </row>
    <row r="64" spans="1:12" ht="16.5">
      <c r="A64" s="7" t="s">
        <v>1459</v>
      </c>
      <c r="B64" s="8" t="s">
        <v>6423</v>
      </c>
      <c r="C64" s="9" t="s">
        <v>3481</v>
      </c>
      <c r="D64" s="104"/>
      <c r="E64" s="104"/>
      <c r="F64" s="105">
        <f t="shared" si="1"/>
        <v>0</v>
      </c>
      <c r="G64" s="106">
        <f t="shared" si="0"/>
        <v>0</v>
      </c>
      <c r="H64" s="81">
        <v>0.18090000000000001</v>
      </c>
      <c r="I64" s="2619" t="s">
        <v>1146</v>
      </c>
    </row>
    <row r="65" spans="1:9" ht="16.5">
      <c r="A65" s="7" t="s">
        <v>1460</v>
      </c>
      <c r="B65" s="8" t="s">
        <v>6424</v>
      </c>
      <c r="C65" s="9" t="s">
        <v>3481</v>
      </c>
      <c r="D65" s="104"/>
      <c r="E65" s="104"/>
      <c r="F65" s="105">
        <f t="shared" si="1"/>
        <v>0</v>
      </c>
      <c r="G65" s="106">
        <f t="shared" si="0"/>
        <v>0</v>
      </c>
      <c r="H65" s="81">
        <v>0.3574</v>
      </c>
      <c r="I65" s="2619" t="s">
        <v>1146</v>
      </c>
    </row>
    <row r="66" spans="1:9" ht="16.5">
      <c r="A66" s="7" t="s">
        <v>1461</v>
      </c>
      <c r="B66" s="8" t="s">
        <v>6425</v>
      </c>
      <c r="C66" s="9" t="s">
        <v>3481</v>
      </c>
      <c r="D66" s="104"/>
      <c r="E66" s="104"/>
      <c r="F66" s="105">
        <f t="shared" si="1"/>
        <v>0</v>
      </c>
      <c r="G66" s="106">
        <f t="shared" si="0"/>
        <v>0</v>
      </c>
      <c r="H66" s="81">
        <v>0.36399999999999999</v>
      </c>
      <c r="I66" s="2619" t="s">
        <v>1146</v>
      </c>
    </row>
    <row r="67" spans="1:9" ht="16.5">
      <c r="A67" s="7" t="s">
        <v>1462</v>
      </c>
      <c r="B67" s="8" t="s">
        <v>6426</v>
      </c>
      <c r="C67" s="9" t="s">
        <v>3481</v>
      </c>
      <c r="D67" s="104"/>
      <c r="E67" s="104"/>
      <c r="F67" s="105">
        <f t="shared" si="1"/>
        <v>0</v>
      </c>
      <c r="G67" s="106">
        <f t="shared" si="0"/>
        <v>0</v>
      </c>
      <c r="H67" s="81">
        <v>0.1928</v>
      </c>
      <c r="I67" s="2619" t="s">
        <v>1146</v>
      </c>
    </row>
    <row r="68" spans="1:9" ht="16.5">
      <c r="A68" s="7" t="s">
        <v>1463</v>
      </c>
      <c r="B68" s="8" t="s">
        <v>6427</v>
      </c>
      <c r="C68" s="9" t="s">
        <v>3481</v>
      </c>
      <c r="D68" s="104"/>
      <c r="E68" s="104"/>
      <c r="F68" s="105">
        <f t="shared" si="1"/>
        <v>0</v>
      </c>
      <c r="G68" s="106">
        <f t="shared" ref="G68:G131" si="2">IF($F$1265=0,0,F68/$F$1265)</f>
        <v>0</v>
      </c>
      <c r="H68" s="81">
        <v>0.30399999999999999</v>
      </c>
      <c r="I68" s="2619" t="s">
        <v>1146</v>
      </c>
    </row>
    <row r="69" spans="1:9" ht="16.5">
      <c r="A69" s="7" t="s">
        <v>1464</v>
      </c>
      <c r="B69" s="8" t="s">
        <v>6428</v>
      </c>
      <c r="C69" s="9" t="s">
        <v>3481</v>
      </c>
      <c r="D69" s="104"/>
      <c r="E69" s="104"/>
      <c r="F69" s="105">
        <f t="shared" ref="F69:F132" si="3">D69*E69</f>
        <v>0</v>
      </c>
      <c r="G69" s="106">
        <f t="shared" si="2"/>
        <v>0</v>
      </c>
      <c r="H69" s="81">
        <v>0.3337</v>
      </c>
      <c r="I69" s="2619" t="s">
        <v>1146</v>
      </c>
    </row>
    <row r="70" spans="1:9" ht="16.5">
      <c r="A70" s="7" t="s">
        <v>1465</v>
      </c>
      <c r="B70" s="8" t="s">
        <v>6429</v>
      </c>
      <c r="C70" s="9" t="s">
        <v>3481</v>
      </c>
      <c r="D70" s="104"/>
      <c r="E70" s="104"/>
      <c r="F70" s="105">
        <f t="shared" si="3"/>
        <v>0</v>
      </c>
      <c r="G70" s="106">
        <f t="shared" si="2"/>
        <v>0</v>
      </c>
      <c r="H70" s="81">
        <v>0.41420000000000001</v>
      </c>
      <c r="I70" s="2619" t="s">
        <v>1146</v>
      </c>
    </row>
    <row r="71" spans="1:9" ht="16.5">
      <c r="A71" s="7" t="s">
        <v>1466</v>
      </c>
      <c r="B71" s="8" t="s">
        <v>6430</v>
      </c>
      <c r="C71" s="9" t="s">
        <v>3481</v>
      </c>
      <c r="D71" s="104"/>
      <c r="E71" s="104"/>
      <c r="F71" s="105">
        <f t="shared" si="3"/>
        <v>0</v>
      </c>
      <c r="G71" s="106">
        <f t="shared" si="2"/>
        <v>0</v>
      </c>
      <c r="H71" s="81">
        <v>0.30449999999999999</v>
      </c>
      <c r="I71" s="2619" t="s">
        <v>1146</v>
      </c>
    </row>
    <row r="72" spans="1:9" ht="16.5">
      <c r="A72" s="7" t="s">
        <v>1467</v>
      </c>
      <c r="B72" s="8" t="s">
        <v>6431</v>
      </c>
      <c r="C72" s="9" t="s">
        <v>3481</v>
      </c>
      <c r="D72" s="104"/>
      <c r="E72" s="104"/>
      <c r="F72" s="105">
        <f t="shared" si="3"/>
        <v>0</v>
      </c>
      <c r="G72" s="106">
        <f t="shared" si="2"/>
        <v>0</v>
      </c>
      <c r="H72" s="81">
        <v>0.15490000000000001</v>
      </c>
      <c r="I72" s="2619" t="s">
        <v>1146</v>
      </c>
    </row>
    <row r="73" spans="1:9" ht="16.5">
      <c r="A73" s="7" t="s">
        <v>1468</v>
      </c>
      <c r="B73" s="8" t="s">
        <v>6432</v>
      </c>
      <c r="C73" s="9" t="s">
        <v>3481</v>
      </c>
      <c r="D73" s="104"/>
      <c r="E73" s="104"/>
      <c r="F73" s="105">
        <f t="shared" si="3"/>
        <v>0</v>
      </c>
      <c r="G73" s="106">
        <f t="shared" si="2"/>
        <v>0</v>
      </c>
      <c r="H73" s="81">
        <v>0.27029999999999998</v>
      </c>
      <c r="I73" s="2619" t="s">
        <v>1146</v>
      </c>
    </row>
    <row r="74" spans="1:9" ht="16.5">
      <c r="A74" s="7" t="s">
        <v>1469</v>
      </c>
      <c r="B74" s="8" t="s">
        <v>6433</v>
      </c>
      <c r="C74" s="9" t="s">
        <v>3481</v>
      </c>
      <c r="D74" s="104"/>
      <c r="E74" s="104"/>
      <c r="F74" s="105">
        <f t="shared" si="3"/>
        <v>0</v>
      </c>
      <c r="G74" s="106">
        <f t="shared" si="2"/>
        <v>0</v>
      </c>
      <c r="H74" s="81">
        <v>5.3900000000000003E-2</v>
      </c>
      <c r="I74" s="2619" t="s">
        <v>1146</v>
      </c>
    </row>
    <row r="75" spans="1:9" ht="16.5">
      <c r="A75" s="7" t="s">
        <v>1470</v>
      </c>
      <c r="B75" s="8" t="s">
        <v>6434</v>
      </c>
      <c r="C75" s="9" t="s">
        <v>3481</v>
      </c>
      <c r="D75" s="104"/>
      <c r="E75" s="104"/>
      <c r="F75" s="105">
        <f t="shared" si="3"/>
        <v>0</v>
      </c>
      <c r="G75" s="106">
        <f t="shared" si="2"/>
        <v>0</v>
      </c>
      <c r="H75" s="81">
        <v>0.17829999999999999</v>
      </c>
      <c r="I75" s="2619" t="s">
        <v>1146</v>
      </c>
    </row>
    <row r="76" spans="1:9" ht="16.5">
      <c r="A76" s="7" t="s">
        <v>1471</v>
      </c>
      <c r="B76" s="8" t="s">
        <v>6435</v>
      </c>
      <c r="C76" s="9" t="s">
        <v>3481</v>
      </c>
      <c r="D76" s="104"/>
      <c r="E76" s="104"/>
      <c r="F76" s="105">
        <f t="shared" si="3"/>
        <v>0</v>
      </c>
      <c r="G76" s="106">
        <f t="shared" si="2"/>
        <v>0</v>
      </c>
      <c r="H76" s="81">
        <v>0.3614</v>
      </c>
      <c r="I76" s="2619" t="s">
        <v>1146</v>
      </c>
    </row>
    <row r="77" spans="1:9" ht="16.5">
      <c r="A77" s="7" t="s">
        <v>1472</v>
      </c>
      <c r="B77" s="8" t="s">
        <v>6436</v>
      </c>
      <c r="C77" s="9" t="s">
        <v>3481</v>
      </c>
      <c r="D77" s="104"/>
      <c r="E77" s="104"/>
      <c r="F77" s="105">
        <f t="shared" si="3"/>
        <v>0</v>
      </c>
      <c r="G77" s="106">
        <f t="shared" si="2"/>
        <v>0</v>
      </c>
      <c r="H77" s="81">
        <v>0.21779999999999999</v>
      </c>
      <c r="I77" s="2619" t="s">
        <v>1146</v>
      </c>
    </row>
    <row r="78" spans="1:9" ht="16.5">
      <c r="A78" s="7" t="s">
        <v>1473</v>
      </c>
      <c r="B78" s="8" t="s">
        <v>6437</v>
      </c>
      <c r="C78" s="9" t="s">
        <v>3481</v>
      </c>
      <c r="D78" s="104"/>
      <c r="E78" s="104"/>
      <c r="F78" s="105">
        <f t="shared" si="3"/>
        <v>0</v>
      </c>
      <c r="G78" s="106">
        <f t="shared" si="2"/>
        <v>0</v>
      </c>
      <c r="H78" s="81">
        <v>0.21820000000000001</v>
      </c>
      <c r="I78" s="2619" t="s">
        <v>1146</v>
      </c>
    </row>
    <row r="79" spans="1:9" ht="16.5">
      <c r="A79" s="7" t="s">
        <v>1474</v>
      </c>
      <c r="B79" s="8" t="s">
        <v>6438</v>
      </c>
      <c r="C79" s="9" t="s">
        <v>3481</v>
      </c>
      <c r="D79" s="104"/>
      <c r="E79" s="104"/>
      <c r="F79" s="105">
        <f t="shared" si="3"/>
        <v>0</v>
      </c>
      <c r="G79" s="106">
        <f t="shared" si="2"/>
        <v>0</v>
      </c>
      <c r="H79" s="81">
        <v>0.32619999999999999</v>
      </c>
      <c r="I79" s="2619" t="s">
        <v>1146</v>
      </c>
    </row>
    <row r="80" spans="1:9" ht="16.5">
      <c r="A80" s="7" t="s">
        <v>1475</v>
      </c>
      <c r="B80" s="8" t="s">
        <v>6439</v>
      </c>
      <c r="C80" s="9" t="s">
        <v>3481</v>
      </c>
      <c r="D80" s="104"/>
      <c r="E80" s="104"/>
      <c r="F80" s="105">
        <f t="shared" si="3"/>
        <v>0</v>
      </c>
      <c r="G80" s="106">
        <f t="shared" si="2"/>
        <v>0</v>
      </c>
      <c r="H80" s="81">
        <v>0.18260000000000001</v>
      </c>
      <c r="I80" s="2619" t="s">
        <v>1146</v>
      </c>
    </row>
    <row r="81" spans="1:9" ht="16.5">
      <c r="A81" s="7" t="s">
        <v>1476</v>
      </c>
      <c r="B81" s="8" t="s">
        <v>6440</v>
      </c>
      <c r="C81" s="9" t="s">
        <v>3481</v>
      </c>
      <c r="D81" s="104"/>
      <c r="E81" s="104"/>
      <c r="F81" s="105">
        <f t="shared" si="3"/>
        <v>0</v>
      </c>
      <c r="G81" s="106">
        <f t="shared" si="2"/>
        <v>0</v>
      </c>
      <c r="H81" s="81">
        <v>0.318</v>
      </c>
      <c r="I81" s="2619" t="s">
        <v>1146</v>
      </c>
    </row>
    <row r="82" spans="1:9" ht="16.5">
      <c r="A82" s="7" t="s">
        <v>1477</v>
      </c>
      <c r="B82" s="8" t="s">
        <v>6441</v>
      </c>
      <c r="C82" s="9" t="s">
        <v>3481</v>
      </c>
      <c r="D82" s="104"/>
      <c r="E82" s="104"/>
      <c r="F82" s="105">
        <f t="shared" si="3"/>
        <v>0</v>
      </c>
      <c r="G82" s="106">
        <f t="shared" si="2"/>
        <v>0</v>
      </c>
      <c r="H82" s="81">
        <v>0.1115</v>
      </c>
      <c r="I82" s="2619" t="s">
        <v>1146</v>
      </c>
    </row>
    <row r="83" spans="1:9" ht="16.5">
      <c r="A83" s="7" t="s">
        <v>1478</v>
      </c>
      <c r="B83" s="8" t="s">
        <v>6442</v>
      </c>
      <c r="C83" s="9" t="s">
        <v>3481</v>
      </c>
      <c r="D83" s="104"/>
      <c r="E83" s="104"/>
      <c r="F83" s="105">
        <f t="shared" si="3"/>
        <v>0</v>
      </c>
      <c r="G83" s="106">
        <f t="shared" si="2"/>
        <v>0</v>
      </c>
      <c r="H83" s="81">
        <v>0.38429999999999997</v>
      </c>
      <c r="I83" s="2619" t="s">
        <v>1146</v>
      </c>
    </row>
    <row r="84" spans="1:9" ht="16.5">
      <c r="A84" s="7" t="s">
        <v>1479</v>
      </c>
      <c r="B84" s="8" t="s">
        <v>6443</v>
      </c>
      <c r="C84" s="9" t="s">
        <v>3481</v>
      </c>
      <c r="D84" s="104"/>
      <c r="E84" s="104"/>
      <c r="F84" s="105">
        <f t="shared" si="3"/>
        <v>0</v>
      </c>
      <c r="G84" s="106">
        <f t="shared" si="2"/>
        <v>0</v>
      </c>
      <c r="H84" s="81">
        <v>0.44850000000000001</v>
      </c>
      <c r="I84" s="2619" t="s">
        <v>1146</v>
      </c>
    </row>
    <row r="85" spans="1:9" ht="16.5">
      <c r="A85" s="7" t="s">
        <v>1480</v>
      </c>
      <c r="B85" s="8" t="s">
        <v>6444</v>
      </c>
      <c r="C85" s="9" t="s">
        <v>3481</v>
      </c>
      <c r="D85" s="104"/>
      <c r="E85" s="104"/>
      <c r="F85" s="105">
        <f t="shared" si="3"/>
        <v>0</v>
      </c>
      <c r="G85" s="106">
        <f t="shared" si="2"/>
        <v>0</v>
      </c>
      <c r="H85" s="81">
        <v>0.62160000000000004</v>
      </c>
      <c r="I85" s="2619" t="s">
        <v>1146</v>
      </c>
    </row>
    <row r="86" spans="1:9" ht="16.5">
      <c r="A86" s="7" t="s">
        <v>1481</v>
      </c>
      <c r="B86" s="8" t="s">
        <v>6445</v>
      </c>
      <c r="C86" s="9" t="s">
        <v>3481</v>
      </c>
      <c r="D86" s="104"/>
      <c r="E86" s="104"/>
      <c r="F86" s="105">
        <f t="shared" si="3"/>
        <v>0</v>
      </c>
      <c r="G86" s="106">
        <f t="shared" si="2"/>
        <v>0</v>
      </c>
      <c r="H86" s="81">
        <v>0.40439999999999998</v>
      </c>
      <c r="I86" s="2619" t="s">
        <v>1146</v>
      </c>
    </row>
    <row r="87" spans="1:9" ht="16.5">
      <c r="A87" s="7" t="s">
        <v>1482</v>
      </c>
      <c r="B87" s="8" t="s">
        <v>6446</v>
      </c>
      <c r="C87" s="9" t="s">
        <v>3481</v>
      </c>
      <c r="D87" s="104"/>
      <c r="E87" s="104"/>
      <c r="F87" s="105">
        <f t="shared" si="3"/>
        <v>0</v>
      </c>
      <c r="G87" s="106">
        <f t="shared" si="2"/>
        <v>0</v>
      </c>
      <c r="H87" s="81">
        <v>0.4047</v>
      </c>
      <c r="I87" s="2619" t="s">
        <v>1146</v>
      </c>
    </row>
    <row r="88" spans="1:9" ht="16.5">
      <c r="A88" s="7" t="s">
        <v>1483</v>
      </c>
      <c r="B88" s="8" t="s">
        <v>6447</v>
      </c>
      <c r="C88" s="9" t="s">
        <v>3481</v>
      </c>
      <c r="D88" s="104"/>
      <c r="E88" s="104"/>
      <c r="F88" s="105">
        <f t="shared" si="3"/>
        <v>0</v>
      </c>
      <c r="G88" s="106">
        <f t="shared" si="2"/>
        <v>0</v>
      </c>
      <c r="H88" s="81">
        <v>0.44169999999999998</v>
      </c>
      <c r="I88" s="2619" t="s">
        <v>1146</v>
      </c>
    </row>
    <row r="89" spans="1:9" ht="16.5">
      <c r="A89" s="7" t="s">
        <v>1484</v>
      </c>
      <c r="B89" s="8" t="s">
        <v>6448</v>
      </c>
      <c r="C89" s="9" t="s">
        <v>3481</v>
      </c>
      <c r="D89" s="104"/>
      <c r="E89" s="104"/>
      <c r="F89" s="105">
        <f t="shared" si="3"/>
        <v>0</v>
      </c>
      <c r="G89" s="106">
        <f t="shared" si="2"/>
        <v>0</v>
      </c>
      <c r="H89" s="81">
        <v>0.34300000000000003</v>
      </c>
      <c r="I89" s="2619" t="s">
        <v>1146</v>
      </c>
    </row>
    <row r="90" spans="1:9" ht="16.5">
      <c r="A90" s="7" t="s">
        <v>1485</v>
      </c>
      <c r="B90" s="8" t="s">
        <v>6449</v>
      </c>
      <c r="C90" s="9" t="s">
        <v>3481</v>
      </c>
      <c r="D90" s="104"/>
      <c r="E90" s="104"/>
      <c r="F90" s="105">
        <f t="shared" si="3"/>
        <v>0</v>
      </c>
      <c r="G90" s="106">
        <f t="shared" si="2"/>
        <v>0</v>
      </c>
      <c r="H90" s="81">
        <v>0.3755</v>
      </c>
      <c r="I90" s="2619" t="s">
        <v>1146</v>
      </c>
    </row>
    <row r="91" spans="1:9" ht="16.5">
      <c r="A91" s="7" t="s">
        <v>1486</v>
      </c>
      <c r="B91" s="8" t="s">
        <v>6450</v>
      </c>
      <c r="C91" s="9" t="s">
        <v>3481</v>
      </c>
      <c r="D91" s="104"/>
      <c r="E91" s="104"/>
      <c r="F91" s="105">
        <f t="shared" si="3"/>
        <v>0</v>
      </c>
      <c r="G91" s="106">
        <f t="shared" si="2"/>
        <v>0</v>
      </c>
      <c r="H91" s="81">
        <v>0.2117</v>
      </c>
      <c r="I91" s="2619" t="s">
        <v>1146</v>
      </c>
    </row>
    <row r="92" spans="1:9" ht="16.5">
      <c r="A92" s="7" t="s">
        <v>1487</v>
      </c>
      <c r="B92" s="8" t="s">
        <v>6451</v>
      </c>
      <c r="C92" s="9" t="s">
        <v>3481</v>
      </c>
      <c r="D92" s="104"/>
      <c r="E92" s="104"/>
      <c r="F92" s="105">
        <f t="shared" si="3"/>
        <v>0</v>
      </c>
      <c r="G92" s="106">
        <f t="shared" si="2"/>
        <v>0</v>
      </c>
      <c r="H92" s="81">
        <v>0.35299999999999998</v>
      </c>
      <c r="I92" s="2619" t="s">
        <v>1146</v>
      </c>
    </row>
    <row r="93" spans="1:9" ht="16.5">
      <c r="A93" s="7" t="s">
        <v>1488</v>
      </c>
      <c r="B93" s="8" t="s">
        <v>6452</v>
      </c>
      <c r="C93" s="9" t="s">
        <v>3481</v>
      </c>
      <c r="D93" s="104"/>
      <c r="E93" s="104"/>
      <c r="F93" s="105">
        <f t="shared" si="3"/>
        <v>0</v>
      </c>
      <c r="G93" s="106">
        <f t="shared" si="2"/>
        <v>0</v>
      </c>
      <c r="H93" s="81">
        <v>0.4753</v>
      </c>
      <c r="I93" s="2619" t="s">
        <v>1146</v>
      </c>
    </row>
    <row r="94" spans="1:9" ht="16.5">
      <c r="A94" s="7" t="s">
        <v>1489</v>
      </c>
      <c r="B94" s="8" t="s">
        <v>6453</v>
      </c>
      <c r="C94" s="9" t="s">
        <v>3481</v>
      </c>
      <c r="D94" s="104"/>
      <c r="E94" s="104"/>
      <c r="F94" s="105">
        <f t="shared" si="3"/>
        <v>0</v>
      </c>
      <c r="G94" s="106">
        <f t="shared" si="2"/>
        <v>0</v>
      </c>
      <c r="H94" s="81">
        <v>0.23669999999999999</v>
      </c>
      <c r="I94" s="2619" t="s">
        <v>1146</v>
      </c>
    </row>
    <row r="95" spans="1:9" ht="16.5">
      <c r="A95" s="7" t="s">
        <v>1490</v>
      </c>
      <c r="B95" s="8" t="s">
        <v>6454</v>
      </c>
      <c r="C95" s="9" t="s">
        <v>3481</v>
      </c>
      <c r="D95" s="104"/>
      <c r="E95" s="104"/>
      <c r="F95" s="105">
        <f t="shared" si="3"/>
        <v>0</v>
      </c>
      <c r="G95" s="106">
        <f t="shared" si="2"/>
        <v>0</v>
      </c>
      <c r="H95" s="81">
        <v>9.2999999999999999E-2</v>
      </c>
      <c r="I95" s="2619" t="s">
        <v>1146</v>
      </c>
    </row>
    <row r="96" spans="1:9" ht="16.5">
      <c r="A96" s="7" t="s">
        <v>1491</v>
      </c>
      <c r="B96" s="8" t="s">
        <v>6455</v>
      </c>
      <c r="C96" s="9" t="s">
        <v>3481</v>
      </c>
      <c r="D96" s="104"/>
      <c r="E96" s="104"/>
      <c r="F96" s="105">
        <f t="shared" si="3"/>
        <v>0</v>
      </c>
      <c r="G96" s="106">
        <f t="shared" si="2"/>
        <v>0</v>
      </c>
      <c r="H96" s="81">
        <v>0.38229999999999997</v>
      </c>
      <c r="I96" s="2619" t="s">
        <v>1146</v>
      </c>
    </row>
    <row r="97" spans="1:9" ht="16.5">
      <c r="A97" s="7" t="s">
        <v>1492</v>
      </c>
      <c r="B97" s="8" t="s">
        <v>6456</v>
      </c>
      <c r="C97" s="9" t="s">
        <v>3481</v>
      </c>
      <c r="D97" s="104"/>
      <c r="E97" s="104"/>
      <c r="F97" s="105">
        <f t="shared" si="3"/>
        <v>0</v>
      </c>
      <c r="G97" s="106">
        <f t="shared" si="2"/>
        <v>0</v>
      </c>
      <c r="H97" s="81">
        <v>0.59240000000000004</v>
      </c>
      <c r="I97" s="2619" t="s">
        <v>1146</v>
      </c>
    </row>
    <row r="98" spans="1:9" ht="16.5">
      <c r="A98" s="7" t="s">
        <v>1493</v>
      </c>
      <c r="B98" s="8" t="s">
        <v>6457</v>
      </c>
      <c r="C98" s="9" t="s">
        <v>3481</v>
      </c>
      <c r="D98" s="104"/>
      <c r="E98" s="104"/>
      <c r="F98" s="105">
        <f t="shared" si="3"/>
        <v>0</v>
      </c>
      <c r="G98" s="106">
        <f t="shared" si="2"/>
        <v>0</v>
      </c>
      <c r="H98" s="81">
        <v>0.2359</v>
      </c>
      <c r="I98" s="2619" t="s">
        <v>1146</v>
      </c>
    </row>
    <row r="99" spans="1:9" ht="16.5">
      <c r="A99" s="7" t="s">
        <v>1494</v>
      </c>
      <c r="B99" s="8" t="s">
        <v>6458</v>
      </c>
      <c r="C99" s="9" t="s">
        <v>3481</v>
      </c>
      <c r="D99" s="104"/>
      <c r="E99" s="104"/>
      <c r="F99" s="105">
        <f t="shared" si="3"/>
        <v>0</v>
      </c>
      <c r="G99" s="106">
        <f t="shared" si="2"/>
        <v>0</v>
      </c>
      <c r="H99" s="81">
        <v>4.9500000000000002E-2</v>
      </c>
      <c r="I99" s="2619" t="s">
        <v>1146</v>
      </c>
    </row>
    <row r="100" spans="1:9" ht="16.5">
      <c r="A100" s="7" t="s">
        <v>1495</v>
      </c>
      <c r="B100" s="8" t="s">
        <v>6459</v>
      </c>
      <c r="C100" s="9" t="s">
        <v>3481</v>
      </c>
      <c r="D100" s="104"/>
      <c r="E100" s="104"/>
      <c r="F100" s="105">
        <f t="shared" si="3"/>
        <v>0</v>
      </c>
      <c r="G100" s="106">
        <f t="shared" si="2"/>
        <v>0</v>
      </c>
      <c r="H100" s="81">
        <v>1.2699999999999999E-2</v>
      </c>
      <c r="I100" s="2619" t="s">
        <v>1146</v>
      </c>
    </row>
    <row r="101" spans="1:9" ht="16.5">
      <c r="A101" s="7" t="s">
        <v>1496</v>
      </c>
      <c r="B101" s="8" t="s">
        <v>6460</v>
      </c>
      <c r="C101" s="9" t="s">
        <v>3481</v>
      </c>
      <c r="D101" s="104"/>
      <c r="E101" s="104"/>
      <c r="F101" s="105">
        <f t="shared" si="3"/>
        <v>0</v>
      </c>
      <c r="G101" s="106">
        <f t="shared" si="2"/>
        <v>0</v>
      </c>
      <c r="H101" s="81">
        <v>0.21870000000000001</v>
      </c>
      <c r="I101" s="2619" t="s">
        <v>1146</v>
      </c>
    </row>
    <row r="102" spans="1:9" ht="16.5">
      <c r="A102" s="7" t="s">
        <v>1497</v>
      </c>
      <c r="B102" s="8" t="s">
        <v>6461</v>
      </c>
      <c r="C102" s="9" t="s">
        <v>3481</v>
      </c>
      <c r="D102" s="104"/>
      <c r="E102" s="104"/>
      <c r="F102" s="105">
        <f t="shared" si="3"/>
        <v>0</v>
      </c>
      <c r="G102" s="106">
        <f t="shared" si="2"/>
        <v>0</v>
      </c>
      <c r="H102" s="81">
        <v>0.57269999999999999</v>
      </c>
      <c r="I102" s="2619" t="s">
        <v>1146</v>
      </c>
    </row>
    <row r="103" spans="1:9" ht="16.5">
      <c r="A103" s="7" t="s">
        <v>1498</v>
      </c>
      <c r="B103" s="8" t="s">
        <v>6462</v>
      </c>
      <c r="C103" s="9" t="s">
        <v>3481</v>
      </c>
      <c r="D103" s="104"/>
      <c r="E103" s="104"/>
      <c r="F103" s="105">
        <f t="shared" si="3"/>
        <v>0</v>
      </c>
      <c r="G103" s="106">
        <f t="shared" si="2"/>
        <v>0</v>
      </c>
      <c r="H103" s="81">
        <v>0.1084</v>
      </c>
      <c r="I103" s="2619" t="s">
        <v>1146</v>
      </c>
    </row>
    <row r="104" spans="1:9" ht="16.5">
      <c r="A104" s="7" t="s">
        <v>1499</v>
      </c>
      <c r="B104" s="8" t="s">
        <v>6463</v>
      </c>
      <c r="C104" s="9" t="s">
        <v>3481</v>
      </c>
      <c r="D104" s="104"/>
      <c r="E104" s="104"/>
      <c r="F104" s="105">
        <f t="shared" si="3"/>
        <v>0</v>
      </c>
      <c r="G104" s="106">
        <f t="shared" si="2"/>
        <v>0</v>
      </c>
      <c r="H104" s="81">
        <v>0.52439999999999998</v>
      </c>
      <c r="I104" s="2619" t="s">
        <v>1146</v>
      </c>
    </row>
    <row r="105" spans="1:9" ht="16.5">
      <c r="A105" s="7" t="s">
        <v>1500</v>
      </c>
      <c r="B105" s="8" t="s">
        <v>6464</v>
      </c>
      <c r="C105" s="9" t="s">
        <v>3481</v>
      </c>
      <c r="D105" s="104"/>
      <c r="E105" s="104"/>
      <c r="F105" s="105">
        <f t="shared" si="3"/>
        <v>0</v>
      </c>
      <c r="G105" s="106">
        <f t="shared" si="2"/>
        <v>0</v>
      </c>
      <c r="H105" s="81">
        <v>0.49120000000000003</v>
      </c>
      <c r="I105" s="2619" t="s">
        <v>1146</v>
      </c>
    </row>
    <row r="106" spans="1:9" ht="16.5">
      <c r="A106" s="7" t="s">
        <v>1501</v>
      </c>
      <c r="B106" s="8" t="s">
        <v>6465</v>
      </c>
      <c r="C106" s="9" t="s">
        <v>3481</v>
      </c>
      <c r="D106" s="104"/>
      <c r="E106" s="104"/>
      <c r="F106" s="105">
        <f t="shared" si="3"/>
        <v>0</v>
      </c>
      <c r="G106" s="106">
        <f t="shared" si="2"/>
        <v>0</v>
      </c>
      <c r="H106" s="81">
        <v>0.31950000000000001</v>
      </c>
      <c r="I106" s="2619" t="s">
        <v>1146</v>
      </c>
    </row>
    <row r="107" spans="1:9" ht="16.5">
      <c r="A107" s="7" t="s">
        <v>1502</v>
      </c>
      <c r="B107" s="8" t="s">
        <v>6466</v>
      </c>
      <c r="C107" s="9" t="s">
        <v>3481</v>
      </c>
      <c r="D107" s="104"/>
      <c r="E107" s="104"/>
      <c r="F107" s="105">
        <f t="shared" si="3"/>
        <v>0</v>
      </c>
      <c r="G107" s="106">
        <f t="shared" si="2"/>
        <v>0</v>
      </c>
      <c r="H107" s="81">
        <v>0.19120000000000001</v>
      </c>
      <c r="I107" s="2619" t="s">
        <v>1146</v>
      </c>
    </row>
    <row r="108" spans="1:9" ht="16.5">
      <c r="A108" s="7" t="s">
        <v>2583</v>
      </c>
      <c r="B108" s="8" t="s">
        <v>6467</v>
      </c>
      <c r="C108" s="9" t="s">
        <v>3481</v>
      </c>
      <c r="D108" s="104"/>
      <c r="E108" s="104"/>
      <c r="F108" s="105">
        <f t="shared" si="3"/>
        <v>0</v>
      </c>
      <c r="G108" s="106">
        <f t="shared" si="2"/>
        <v>0</v>
      </c>
      <c r="H108" s="81">
        <v>0.82540000000000002</v>
      </c>
      <c r="I108" s="2619" t="s">
        <v>1146</v>
      </c>
    </row>
    <row r="109" spans="1:9" ht="16.5">
      <c r="A109" s="7" t="s">
        <v>1503</v>
      </c>
      <c r="B109" s="8" t="s">
        <v>6468</v>
      </c>
      <c r="C109" s="9" t="s">
        <v>3481</v>
      </c>
      <c r="D109" s="104"/>
      <c r="E109" s="104"/>
      <c r="F109" s="105">
        <f t="shared" si="3"/>
        <v>0</v>
      </c>
      <c r="G109" s="106">
        <f t="shared" si="2"/>
        <v>0</v>
      </c>
      <c r="H109" s="81">
        <v>0.40570000000000001</v>
      </c>
      <c r="I109" s="2619" t="s">
        <v>1146</v>
      </c>
    </row>
    <row r="110" spans="1:9" ht="16.5">
      <c r="A110" s="7" t="s">
        <v>1504</v>
      </c>
      <c r="B110" s="8" t="s">
        <v>6469</v>
      </c>
      <c r="C110" s="9" t="s">
        <v>3481</v>
      </c>
      <c r="D110" s="104"/>
      <c r="E110" s="104"/>
      <c r="F110" s="105">
        <f t="shared" si="3"/>
        <v>0</v>
      </c>
      <c r="G110" s="106">
        <f t="shared" si="2"/>
        <v>0</v>
      </c>
      <c r="H110" s="81">
        <v>0.30890000000000001</v>
      </c>
      <c r="I110" s="2619" t="s">
        <v>1146</v>
      </c>
    </row>
    <row r="111" spans="1:9" ht="16.5">
      <c r="A111" s="7" t="s">
        <v>1505</v>
      </c>
      <c r="B111" s="8" t="s">
        <v>6470</v>
      </c>
      <c r="C111" s="9" t="s">
        <v>3481</v>
      </c>
      <c r="D111" s="104"/>
      <c r="E111" s="104"/>
      <c r="F111" s="105">
        <f t="shared" si="3"/>
        <v>0</v>
      </c>
      <c r="G111" s="106">
        <f t="shared" si="2"/>
        <v>0</v>
      </c>
      <c r="H111" s="81">
        <v>0.1726</v>
      </c>
      <c r="I111" s="2619" t="s">
        <v>1146</v>
      </c>
    </row>
    <row r="112" spans="1:9" ht="16.5">
      <c r="A112" s="7" t="s">
        <v>1506</v>
      </c>
      <c r="B112" s="8" t="s">
        <v>6471</v>
      </c>
      <c r="C112" s="9" t="s">
        <v>3481</v>
      </c>
      <c r="D112" s="104"/>
      <c r="E112" s="104"/>
      <c r="F112" s="105">
        <f t="shared" si="3"/>
        <v>0</v>
      </c>
      <c r="G112" s="106">
        <f t="shared" si="2"/>
        <v>0</v>
      </c>
      <c r="H112" s="81">
        <v>0.17480000000000001</v>
      </c>
      <c r="I112" s="2619" t="s">
        <v>1146</v>
      </c>
    </row>
    <row r="113" spans="1:9" ht="16.5">
      <c r="A113" s="7" t="s">
        <v>1507</v>
      </c>
      <c r="B113" s="8" t="s">
        <v>6472</v>
      </c>
      <c r="C113" s="9" t="s">
        <v>3481</v>
      </c>
      <c r="D113" s="104"/>
      <c r="E113" s="104"/>
      <c r="F113" s="105">
        <f t="shared" si="3"/>
        <v>0</v>
      </c>
      <c r="G113" s="106">
        <f t="shared" si="2"/>
        <v>0</v>
      </c>
      <c r="H113" s="81">
        <v>0.20119999999999999</v>
      </c>
      <c r="I113" s="2619" t="s">
        <v>1146</v>
      </c>
    </row>
    <row r="114" spans="1:9" ht="16.5">
      <c r="A114" s="7" t="s">
        <v>1508</v>
      </c>
      <c r="B114" s="8" t="s">
        <v>6473</v>
      </c>
      <c r="C114" s="9" t="s">
        <v>3481</v>
      </c>
      <c r="D114" s="104"/>
      <c r="E114" s="104"/>
      <c r="F114" s="105">
        <f t="shared" si="3"/>
        <v>0</v>
      </c>
      <c r="G114" s="106">
        <f t="shared" si="2"/>
        <v>0</v>
      </c>
      <c r="H114" s="81">
        <v>0.2495</v>
      </c>
      <c r="I114" s="2619" t="s">
        <v>1146</v>
      </c>
    </row>
    <row r="115" spans="1:9" ht="16.5">
      <c r="A115" s="7" t="s">
        <v>1509</v>
      </c>
      <c r="B115" s="8" t="s">
        <v>6474</v>
      </c>
      <c r="C115" s="9" t="s">
        <v>3481</v>
      </c>
      <c r="D115" s="104"/>
      <c r="E115" s="104"/>
      <c r="F115" s="105">
        <f t="shared" si="3"/>
        <v>0</v>
      </c>
      <c r="G115" s="106">
        <f t="shared" si="2"/>
        <v>0</v>
      </c>
      <c r="H115" s="81">
        <v>0.37640000000000001</v>
      </c>
      <c r="I115" s="2619" t="s">
        <v>1146</v>
      </c>
    </row>
    <row r="116" spans="1:9" ht="16.5">
      <c r="A116" s="7" t="s">
        <v>1510</v>
      </c>
      <c r="B116" s="8" t="s">
        <v>6475</v>
      </c>
      <c r="C116" s="9" t="s">
        <v>3481</v>
      </c>
      <c r="D116" s="104"/>
      <c r="E116" s="104"/>
      <c r="F116" s="105">
        <f t="shared" si="3"/>
        <v>0</v>
      </c>
      <c r="G116" s="106">
        <f t="shared" si="2"/>
        <v>0</v>
      </c>
      <c r="H116" s="81">
        <v>0.13300000000000001</v>
      </c>
      <c r="I116" s="2619" t="s">
        <v>1146</v>
      </c>
    </row>
    <row r="117" spans="1:9" ht="16.5">
      <c r="A117" s="7" t="s">
        <v>1511</v>
      </c>
      <c r="B117" s="8" t="s">
        <v>6476</v>
      </c>
      <c r="C117" s="9" t="s">
        <v>3481</v>
      </c>
      <c r="D117" s="104"/>
      <c r="E117" s="104"/>
      <c r="F117" s="105">
        <f t="shared" si="3"/>
        <v>0</v>
      </c>
      <c r="G117" s="106">
        <f t="shared" si="2"/>
        <v>0</v>
      </c>
      <c r="H117" s="81">
        <v>0.26240000000000002</v>
      </c>
      <c r="I117" s="2619" t="s">
        <v>1146</v>
      </c>
    </row>
    <row r="118" spans="1:9" ht="16.5">
      <c r="A118" s="7" t="s">
        <v>1512</v>
      </c>
      <c r="B118" s="8" t="s">
        <v>6477</v>
      </c>
      <c r="C118" s="9" t="s">
        <v>3481</v>
      </c>
      <c r="D118" s="104"/>
      <c r="E118" s="104"/>
      <c r="F118" s="105">
        <f t="shared" si="3"/>
        <v>0</v>
      </c>
      <c r="G118" s="106">
        <f t="shared" si="2"/>
        <v>0</v>
      </c>
      <c r="H118" s="81">
        <v>0.1043</v>
      </c>
      <c r="I118" s="2619" t="s">
        <v>1146</v>
      </c>
    </row>
    <row r="119" spans="1:9" ht="16.5">
      <c r="A119" s="7" t="s">
        <v>1513</v>
      </c>
      <c r="B119" s="8" t="s">
        <v>6478</v>
      </c>
      <c r="C119" s="9" t="s">
        <v>3481</v>
      </c>
      <c r="D119" s="104"/>
      <c r="E119" s="104"/>
      <c r="F119" s="105">
        <f t="shared" si="3"/>
        <v>0</v>
      </c>
      <c r="G119" s="106">
        <f t="shared" si="2"/>
        <v>0</v>
      </c>
      <c r="H119" s="81">
        <v>0.60409999999999997</v>
      </c>
      <c r="I119" s="2619" t="s">
        <v>1146</v>
      </c>
    </row>
    <row r="120" spans="1:9" ht="16.5">
      <c r="A120" s="7" t="s">
        <v>1514</v>
      </c>
      <c r="B120" s="8" t="s">
        <v>6479</v>
      </c>
      <c r="C120" s="9" t="s">
        <v>3481</v>
      </c>
      <c r="D120" s="104"/>
      <c r="E120" s="104"/>
      <c r="F120" s="105">
        <f t="shared" si="3"/>
        <v>0</v>
      </c>
      <c r="G120" s="106">
        <f t="shared" si="2"/>
        <v>0</v>
      </c>
      <c r="H120" s="81">
        <v>0.26479999999999998</v>
      </c>
      <c r="I120" s="2619" t="s">
        <v>1146</v>
      </c>
    </row>
    <row r="121" spans="1:9" ht="16.5">
      <c r="A121" s="7" t="s">
        <v>1515</v>
      </c>
      <c r="B121" s="8" t="s">
        <v>6480</v>
      </c>
      <c r="C121" s="9" t="s">
        <v>3481</v>
      </c>
      <c r="D121" s="104"/>
      <c r="E121" s="104"/>
      <c r="F121" s="105">
        <f t="shared" si="3"/>
        <v>0</v>
      </c>
      <c r="G121" s="106">
        <f t="shared" si="2"/>
        <v>0</v>
      </c>
      <c r="H121" s="81">
        <v>-1.23E-2</v>
      </c>
      <c r="I121" s="2619" t="s">
        <v>1146</v>
      </c>
    </row>
    <row r="122" spans="1:9" ht="16.5">
      <c r="A122" s="7" t="s">
        <v>1516</v>
      </c>
      <c r="B122" s="8" t="s">
        <v>6481</v>
      </c>
      <c r="C122" s="9" t="s">
        <v>3481</v>
      </c>
      <c r="D122" s="104"/>
      <c r="E122" s="104"/>
      <c r="F122" s="105">
        <f t="shared" si="3"/>
        <v>0</v>
      </c>
      <c r="G122" s="106">
        <f t="shared" si="2"/>
        <v>0</v>
      </c>
      <c r="H122" s="81">
        <v>0.18609999999999999</v>
      </c>
      <c r="I122" s="2619" t="s">
        <v>1146</v>
      </c>
    </row>
    <row r="123" spans="1:9" ht="16.5">
      <c r="A123" s="7" t="s">
        <v>1517</v>
      </c>
      <c r="B123" s="8" t="s">
        <v>6482</v>
      </c>
      <c r="C123" s="9" t="s">
        <v>3481</v>
      </c>
      <c r="D123" s="104"/>
      <c r="E123" s="104"/>
      <c r="F123" s="105">
        <f t="shared" si="3"/>
        <v>0</v>
      </c>
      <c r="G123" s="106">
        <f t="shared" si="2"/>
        <v>0</v>
      </c>
      <c r="H123" s="81">
        <v>0.3831</v>
      </c>
      <c r="I123" s="2619" t="s">
        <v>1146</v>
      </c>
    </row>
    <row r="124" spans="1:9" ht="16.5">
      <c r="A124" s="7" t="s">
        <v>1518</v>
      </c>
      <c r="B124" s="8" t="s">
        <v>6483</v>
      </c>
      <c r="C124" s="9" t="s">
        <v>3481</v>
      </c>
      <c r="D124" s="104"/>
      <c r="E124" s="104"/>
      <c r="F124" s="105">
        <f t="shared" si="3"/>
        <v>0</v>
      </c>
      <c r="G124" s="106">
        <f t="shared" si="2"/>
        <v>0</v>
      </c>
      <c r="H124" s="81">
        <v>0.2278</v>
      </c>
      <c r="I124" s="2619" t="s">
        <v>1146</v>
      </c>
    </row>
    <row r="125" spans="1:9" ht="16.5">
      <c r="A125" s="7" t="s">
        <v>1519</v>
      </c>
      <c r="B125" s="8" t="s">
        <v>6484</v>
      </c>
      <c r="C125" s="9" t="s">
        <v>3481</v>
      </c>
      <c r="D125" s="104"/>
      <c r="E125" s="104"/>
      <c r="F125" s="105">
        <f t="shared" si="3"/>
        <v>0</v>
      </c>
      <c r="G125" s="106">
        <f t="shared" si="2"/>
        <v>0</v>
      </c>
      <c r="H125" s="81">
        <v>0.32100000000000001</v>
      </c>
      <c r="I125" s="2619" t="s">
        <v>1146</v>
      </c>
    </row>
    <row r="126" spans="1:9" ht="16.5">
      <c r="A126" s="7" t="s">
        <v>1520</v>
      </c>
      <c r="B126" s="8" t="s">
        <v>6485</v>
      </c>
      <c r="C126" s="9" t="s">
        <v>3481</v>
      </c>
      <c r="D126" s="104"/>
      <c r="E126" s="104"/>
      <c r="F126" s="105">
        <f t="shared" si="3"/>
        <v>0</v>
      </c>
      <c r="G126" s="106">
        <f t="shared" si="2"/>
        <v>0</v>
      </c>
      <c r="H126" s="81">
        <v>0.36530000000000001</v>
      </c>
      <c r="I126" s="2619" t="s">
        <v>1146</v>
      </c>
    </row>
    <row r="127" spans="1:9" ht="16.5">
      <c r="A127" s="7" t="s">
        <v>1521</v>
      </c>
      <c r="B127" s="8" t="s">
        <v>6486</v>
      </c>
      <c r="C127" s="9" t="s">
        <v>3481</v>
      </c>
      <c r="D127" s="104"/>
      <c r="E127" s="104"/>
      <c r="F127" s="105">
        <f t="shared" si="3"/>
        <v>0</v>
      </c>
      <c r="G127" s="106">
        <f t="shared" si="2"/>
        <v>0</v>
      </c>
      <c r="H127" s="81">
        <v>3.8800000000000001E-2</v>
      </c>
      <c r="I127" s="2619" t="s">
        <v>1146</v>
      </c>
    </row>
    <row r="128" spans="1:9" ht="16.5">
      <c r="A128" s="7" t="s">
        <v>1522</v>
      </c>
      <c r="B128" s="8" t="s">
        <v>6487</v>
      </c>
      <c r="C128" s="9" t="s">
        <v>3481</v>
      </c>
      <c r="D128" s="104"/>
      <c r="E128" s="104"/>
      <c r="F128" s="105">
        <f t="shared" si="3"/>
        <v>0</v>
      </c>
      <c r="G128" s="106">
        <f t="shared" si="2"/>
        <v>0</v>
      </c>
      <c r="H128" s="81">
        <v>0.4375</v>
      </c>
      <c r="I128" s="2619" t="s">
        <v>1146</v>
      </c>
    </row>
    <row r="129" spans="1:10" ht="16.5">
      <c r="A129" s="7" t="s">
        <v>1523</v>
      </c>
      <c r="B129" s="8" t="s">
        <v>6488</v>
      </c>
      <c r="C129" s="9" t="s">
        <v>3481</v>
      </c>
      <c r="D129" s="104"/>
      <c r="E129" s="104"/>
      <c r="F129" s="105">
        <f t="shared" si="3"/>
        <v>0</v>
      </c>
      <c r="G129" s="106">
        <f t="shared" si="2"/>
        <v>0</v>
      </c>
      <c r="H129" s="81">
        <v>0.3901</v>
      </c>
      <c r="I129" s="2619" t="s">
        <v>1146</v>
      </c>
    </row>
    <row r="130" spans="1:10" ht="16.5">
      <c r="A130" s="7" t="s">
        <v>1524</v>
      </c>
      <c r="B130" s="8" t="s">
        <v>6489</v>
      </c>
      <c r="C130" s="9" t="s">
        <v>3481</v>
      </c>
      <c r="D130" s="104"/>
      <c r="E130" s="104"/>
      <c r="F130" s="105">
        <f t="shared" si="3"/>
        <v>0</v>
      </c>
      <c r="G130" s="106">
        <f t="shared" si="2"/>
        <v>0</v>
      </c>
      <c r="H130" s="81">
        <v>0.22459999999999999</v>
      </c>
      <c r="I130" s="2619" t="s">
        <v>1146</v>
      </c>
    </row>
    <row r="131" spans="1:10" ht="16.5">
      <c r="A131" s="7" t="s">
        <v>1525</v>
      </c>
      <c r="B131" s="8" t="s">
        <v>6490</v>
      </c>
      <c r="C131" s="9" t="s">
        <v>3481</v>
      </c>
      <c r="D131" s="104"/>
      <c r="E131" s="104"/>
      <c r="F131" s="105">
        <f t="shared" si="3"/>
        <v>0</v>
      </c>
      <c r="G131" s="106">
        <f t="shared" si="2"/>
        <v>0</v>
      </c>
      <c r="H131" s="81">
        <v>0.14410000000000001</v>
      </c>
      <c r="I131" s="2619" t="s">
        <v>1146</v>
      </c>
    </row>
    <row r="132" spans="1:10" ht="16.5">
      <c r="A132" s="7" t="s">
        <v>1526</v>
      </c>
      <c r="B132" s="8" t="s">
        <v>6491</v>
      </c>
      <c r="C132" s="9" t="s">
        <v>3481</v>
      </c>
      <c r="D132" s="104"/>
      <c r="E132" s="104"/>
      <c r="F132" s="105">
        <f t="shared" si="3"/>
        <v>0</v>
      </c>
      <c r="G132" s="106">
        <f t="shared" ref="G132:G195" si="4">IF($F$1265=0,0,F132/$F$1265)</f>
        <v>0</v>
      </c>
      <c r="H132" s="81">
        <v>0.25369999999999998</v>
      </c>
      <c r="I132" s="2619" t="s">
        <v>1146</v>
      </c>
    </row>
    <row r="133" spans="1:10" ht="16.5">
      <c r="A133" s="7" t="s">
        <v>1527</v>
      </c>
      <c r="B133" s="8" t="s">
        <v>6492</v>
      </c>
      <c r="C133" s="9" t="s">
        <v>3481</v>
      </c>
      <c r="D133" s="104"/>
      <c r="E133" s="104"/>
      <c r="F133" s="105">
        <f t="shared" ref="F133:F196" si="5">D133*E133</f>
        <v>0</v>
      </c>
      <c r="G133" s="106">
        <f t="shared" si="4"/>
        <v>0</v>
      </c>
      <c r="H133" s="81">
        <v>0.24510000000000001</v>
      </c>
      <c r="I133" s="2619" t="s">
        <v>1146</v>
      </c>
    </row>
    <row r="134" spans="1:10" ht="16.5">
      <c r="A134" s="7" t="s">
        <v>1528</v>
      </c>
      <c r="B134" s="8" t="s">
        <v>6493</v>
      </c>
      <c r="C134" s="9" t="s">
        <v>3481</v>
      </c>
      <c r="D134" s="104"/>
      <c r="E134" s="104"/>
      <c r="F134" s="105">
        <f t="shared" si="5"/>
        <v>0</v>
      </c>
      <c r="G134" s="106">
        <f t="shared" si="4"/>
        <v>0</v>
      </c>
      <c r="H134" s="81">
        <v>0.60580000000000001</v>
      </c>
      <c r="I134" s="2619" t="s">
        <v>1146</v>
      </c>
    </row>
    <row r="135" spans="1:10" ht="16.5">
      <c r="A135" s="7" t="s">
        <v>1529</v>
      </c>
      <c r="B135" s="8" t="s">
        <v>6494</v>
      </c>
      <c r="C135" s="9" t="s">
        <v>3481</v>
      </c>
      <c r="D135" s="104"/>
      <c r="E135" s="104"/>
      <c r="F135" s="105">
        <f t="shared" si="5"/>
        <v>0</v>
      </c>
      <c r="G135" s="106">
        <f t="shared" si="4"/>
        <v>0</v>
      </c>
      <c r="H135" s="81">
        <v>0.216</v>
      </c>
      <c r="I135" s="2619" t="s">
        <v>1146</v>
      </c>
      <c r="J135" s="110"/>
    </row>
    <row r="136" spans="1:10" ht="16.5">
      <c r="A136" s="7" t="s">
        <v>1530</v>
      </c>
      <c r="B136" s="8" t="s">
        <v>6495</v>
      </c>
      <c r="C136" s="9" t="s">
        <v>3481</v>
      </c>
      <c r="D136" s="104"/>
      <c r="E136" s="104"/>
      <c r="F136" s="105">
        <f t="shared" si="5"/>
        <v>0</v>
      </c>
      <c r="G136" s="106">
        <f t="shared" si="4"/>
        <v>0</v>
      </c>
      <c r="H136" s="81">
        <v>0.14879999999999999</v>
      </c>
      <c r="I136" s="2619" t="s">
        <v>1146</v>
      </c>
    </row>
    <row r="137" spans="1:10" ht="16.5">
      <c r="A137" s="7" t="s">
        <v>1531</v>
      </c>
      <c r="B137" s="8" t="s">
        <v>6496</v>
      </c>
      <c r="C137" s="9" t="s">
        <v>3481</v>
      </c>
      <c r="D137" s="104"/>
      <c r="E137" s="104"/>
      <c r="F137" s="105">
        <f t="shared" si="5"/>
        <v>0</v>
      </c>
      <c r="G137" s="106">
        <f t="shared" si="4"/>
        <v>0</v>
      </c>
      <c r="H137" s="81">
        <v>0.66869999999999996</v>
      </c>
      <c r="I137" s="2619" t="s">
        <v>1146</v>
      </c>
    </row>
    <row r="138" spans="1:10" ht="16.5">
      <c r="A138" s="7" t="s">
        <v>1532</v>
      </c>
      <c r="B138" s="8" t="s">
        <v>6497</v>
      </c>
      <c r="C138" s="9" t="s">
        <v>3481</v>
      </c>
      <c r="D138" s="104"/>
      <c r="E138" s="104"/>
      <c r="F138" s="105">
        <f t="shared" si="5"/>
        <v>0</v>
      </c>
      <c r="G138" s="106">
        <f t="shared" si="4"/>
        <v>0</v>
      </c>
      <c r="H138" s="81">
        <v>0.42559999999999998</v>
      </c>
      <c r="I138" s="2619" t="s">
        <v>1146</v>
      </c>
    </row>
    <row r="139" spans="1:10" ht="16.5">
      <c r="A139" s="7" t="s">
        <v>1533</v>
      </c>
      <c r="B139" s="8" t="s">
        <v>6498</v>
      </c>
      <c r="C139" s="9" t="s">
        <v>3481</v>
      </c>
      <c r="D139" s="104"/>
      <c r="E139" s="104"/>
      <c r="F139" s="105">
        <f t="shared" si="5"/>
        <v>0</v>
      </c>
      <c r="G139" s="106">
        <f t="shared" si="4"/>
        <v>0</v>
      </c>
      <c r="H139" s="81">
        <v>0.1933</v>
      </c>
      <c r="I139" s="2619" t="s">
        <v>1146</v>
      </c>
    </row>
    <row r="140" spans="1:10" ht="16.5">
      <c r="A140" s="7" t="s">
        <v>1534</v>
      </c>
      <c r="B140" s="8" t="s">
        <v>6499</v>
      </c>
      <c r="C140" s="9" t="s">
        <v>3481</v>
      </c>
      <c r="D140" s="104"/>
      <c r="E140" s="104"/>
      <c r="F140" s="105">
        <f t="shared" si="5"/>
        <v>0</v>
      </c>
      <c r="G140" s="106">
        <f t="shared" si="4"/>
        <v>0</v>
      </c>
      <c r="H140" s="81">
        <v>0.26600000000000001</v>
      </c>
      <c r="I140" s="2619" t="s">
        <v>1146</v>
      </c>
    </row>
    <row r="141" spans="1:10" ht="16.5">
      <c r="A141" s="7" t="s">
        <v>1535</v>
      </c>
      <c r="B141" s="8" t="s">
        <v>6500</v>
      </c>
      <c r="C141" s="9" t="s">
        <v>3481</v>
      </c>
      <c r="D141" s="104"/>
      <c r="E141" s="104"/>
      <c r="F141" s="105">
        <f t="shared" si="5"/>
        <v>0</v>
      </c>
      <c r="G141" s="106">
        <f t="shared" si="4"/>
        <v>0</v>
      </c>
      <c r="H141" s="81">
        <v>0.2054</v>
      </c>
      <c r="I141" s="2619" t="s">
        <v>1146</v>
      </c>
    </row>
    <row r="142" spans="1:10" ht="16.5">
      <c r="A142" s="7" t="s">
        <v>1536</v>
      </c>
      <c r="B142" s="8" t="s">
        <v>6501</v>
      </c>
      <c r="C142" s="9" t="s">
        <v>3481</v>
      </c>
      <c r="D142" s="104"/>
      <c r="E142" s="104"/>
      <c r="F142" s="105">
        <f t="shared" si="5"/>
        <v>0</v>
      </c>
      <c r="G142" s="106">
        <f t="shared" si="4"/>
        <v>0</v>
      </c>
      <c r="H142" s="81">
        <v>0.25559999999999999</v>
      </c>
      <c r="I142" s="2619" t="s">
        <v>1146</v>
      </c>
    </row>
    <row r="143" spans="1:10" ht="16.5">
      <c r="A143" s="7" t="s">
        <v>1537</v>
      </c>
      <c r="B143" s="8" t="s">
        <v>6502</v>
      </c>
      <c r="C143" s="9" t="s">
        <v>3481</v>
      </c>
      <c r="D143" s="104"/>
      <c r="E143" s="104"/>
      <c r="F143" s="105">
        <f t="shared" si="5"/>
        <v>0</v>
      </c>
      <c r="G143" s="106">
        <f t="shared" si="4"/>
        <v>0</v>
      </c>
      <c r="H143" s="81">
        <v>0.36759999999999998</v>
      </c>
      <c r="I143" s="2619" t="s">
        <v>1146</v>
      </c>
    </row>
    <row r="144" spans="1:10" ht="16.5">
      <c r="A144" s="7" t="s">
        <v>1538</v>
      </c>
      <c r="B144" s="8" t="s">
        <v>6503</v>
      </c>
      <c r="C144" s="9" t="s">
        <v>3481</v>
      </c>
      <c r="D144" s="104"/>
      <c r="E144" s="104"/>
      <c r="F144" s="105">
        <f t="shared" si="5"/>
        <v>0</v>
      </c>
      <c r="G144" s="106">
        <f t="shared" si="4"/>
        <v>0</v>
      </c>
      <c r="H144" s="81">
        <v>0.21010000000000001</v>
      </c>
      <c r="I144" s="2619" t="s">
        <v>1146</v>
      </c>
    </row>
    <row r="145" spans="1:9" ht="16.5">
      <c r="A145" s="7" t="s">
        <v>1539</v>
      </c>
      <c r="B145" s="8" t="s">
        <v>6504</v>
      </c>
      <c r="C145" s="9" t="s">
        <v>3481</v>
      </c>
      <c r="D145" s="104"/>
      <c r="E145" s="104"/>
      <c r="F145" s="105">
        <f t="shared" si="5"/>
        <v>0</v>
      </c>
      <c r="G145" s="106">
        <f t="shared" si="4"/>
        <v>0</v>
      </c>
      <c r="H145" s="81">
        <v>0.19400000000000001</v>
      </c>
      <c r="I145" s="2619" t="s">
        <v>1146</v>
      </c>
    </row>
    <row r="146" spans="1:9" ht="16.5">
      <c r="A146" s="7" t="s">
        <v>1540</v>
      </c>
      <c r="B146" s="8" t="s">
        <v>6505</v>
      </c>
      <c r="C146" s="9" t="s">
        <v>3481</v>
      </c>
      <c r="D146" s="104"/>
      <c r="E146" s="104"/>
      <c r="F146" s="105">
        <f t="shared" si="5"/>
        <v>0</v>
      </c>
      <c r="G146" s="106">
        <f t="shared" si="4"/>
        <v>0</v>
      </c>
      <c r="H146" s="81">
        <v>0.16089999999999999</v>
      </c>
      <c r="I146" s="2619" t="s">
        <v>1146</v>
      </c>
    </row>
    <row r="147" spans="1:9" ht="16.5">
      <c r="A147" s="7" t="s">
        <v>1541</v>
      </c>
      <c r="B147" s="8" t="s">
        <v>6506</v>
      </c>
      <c r="C147" s="9" t="s">
        <v>3481</v>
      </c>
      <c r="D147" s="104"/>
      <c r="E147" s="104"/>
      <c r="F147" s="105">
        <f t="shared" si="5"/>
        <v>0</v>
      </c>
      <c r="G147" s="106">
        <f t="shared" si="4"/>
        <v>0</v>
      </c>
      <c r="H147" s="81">
        <v>1.4E-3</v>
      </c>
      <c r="I147" s="2619" t="s">
        <v>1146</v>
      </c>
    </row>
    <row r="148" spans="1:9" ht="16.5">
      <c r="A148" s="7" t="s">
        <v>1542</v>
      </c>
      <c r="B148" s="8" t="s">
        <v>6507</v>
      </c>
      <c r="C148" s="9" t="s">
        <v>3481</v>
      </c>
      <c r="D148" s="104"/>
      <c r="E148" s="104"/>
      <c r="F148" s="105">
        <f t="shared" si="5"/>
        <v>0</v>
      </c>
      <c r="G148" s="106">
        <f t="shared" si="4"/>
        <v>0</v>
      </c>
      <c r="H148" s="81">
        <v>2.9600000000000001E-2</v>
      </c>
      <c r="I148" s="2619" t="s">
        <v>1146</v>
      </c>
    </row>
    <row r="149" spans="1:9" ht="16.5">
      <c r="A149" s="7" t="s">
        <v>1543</v>
      </c>
      <c r="B149" s="8" t="s">
        <v>6508</v>
      </c>
      <c r="C149" s="9" t="s">
        <v>3481</v>
      </c>
      <c r="D149" s="104"/>
      <c r="E149" s="104"/>
      <c r="F149" s="105">
        <f t="shared" si="5"/>
        <v>0</v>
      </c>
      <c r="G149" s="106">
        <f t="shared" si="4"/>
        <v>0</v>
      </c>
      <c r="H149" s="81">
        <v>0.40160000000000001</v>
      </c>
      <c r="I149" s="2619" t="s">
        <v>1146</v>
      </c>
    </row>
    <row r="150" spans="1:9" ht="16.5">
      <c r="A150" s="7" t="s">
        <v>1544</v>
      </c>
      <c r="B150" s="8" t="s">
        <v>6509</v>
      </c>
      <c r="C150" s="9" t="s">
        <v>3481</v>
      </c>
      <c r="D150" s="104"/>
      <c r="E150" s="104"/>
      <c r="F150" s="105">
        <f t="shared" si="5"/>
        <v>0</v>
      </c>
      <c r="G150" s="106">
        <f t="shared" si="4"/>
        <v>0</v>
      </c>
      <c r="H150" s="81">
        <v>0.105</v>
      </c>
      <c r="I150" s="2619" t="s">
        <v>1146</v>
      </c>
    </row>
    <row r="151" spans="1:9" ht="16.5">
      <c r="A151" s="7" t="s">
        <v>1545</v>
      </c>
      <c r="B151" s="8" t="s">
        <v>6510</v>
      </c>
      <c r="C151" s="9" t="s">
        <v>3481</v>
      </c>
      <c r="D151" s="104"/>
      <c r="E151" s="104"/>
      <c r="F151" s="105">
        <f t="shared" si="5"/>
        <v>0</v>
      </c>
      <c r="G151" s="106">
        <f t="shared" si="4"/>
        <v>0</v>
      </c>
      <c r="H151" s="81">
        <v>6.8699999999999997E-2</v>
      </c>
      <c r="I151" s="2619" t="s">
        <v>1146</v>
      </c>
    </row>
    <row r="152" spans="1:9" ht="16.5">
      <c r="A152" s="7" t="s">
        <v>1546</v>
      </c>
      <c r="B152" s="8" t="s">
        <v>6511</v>
      </c>
      <c r="C152" s="9" t="s">
        <v>3481</v>
      </c>
      <c r="D152" s="104"/>
      <c r="E152" s="104"/>
      <c r="F152" s="105">
        <f t="shared" si="5"/>
        <v>0</v>
      </c>
      <c r="G152" s="106">
        <f t="shared" si="4"/>
        <v>0</v>
      </c>
      <c r="H152" s="81">
        <v>0.2359</v>
      </c>
      <c r="I152" s="2619" t="s">
        <v>1146</v>
      </c>
    </row>
    <row r="153" spans="1:9" ht="16.5">
      <c r="A153" s="7" t="s">
        <v>1547</v>
      </c>
      <c r="B153" s="8" t="s">
        <v>6512</v>
      </c>
      <c r="C153" s="9" t="s">
        <v>3481</v>
      </c>
      <c r="D153" s="104"/>
      <c r="E153" s="104"/>
      <c r="F153" s="105">
        <f t="shared" si="5"/>
        <v>0</v>
      </c>
      <c r="G153" s="106">
        <f t="shared" si="4"/>
        <v>0</v>
      </c>
      <c r="H153" s="81">
        <v>9.5600000000000004E-2</v>
      </c>
      <c r="I153" s="2619" t="s">
        <v>1146</v>
      </c>
    </row>
    <row r="154" spans="1:9" ht="16.5">
      <c r="A154" s="7" t="s">
        <v>1548</v>
      </c>
      <c r="B154" s="8" t="s">
        <v>6513</v>
      </c>
      <c r="C154" s="9" t="s">
        <v>3481</v>
      </c>
      <c r="D154" s="104"/>
      <c r="E154" s="104"/>
      <c r="F154" s="105">
        <f t="shared" si="5"/>
        <v>0</v>
      </c>
      <c r="G154" s="106">
        <f t="shared" si="4"/>
        <v>0</v>
      </c>
      <c r="H154" s="81">
        <v>0.23219999999999999</v>
      </c>
      <c r="I154" s="2619" t="s">
        <v>1146</v>
      </c>
    </row>
    <row r="155" spans="1:9" ht="16.5">
      <c r="A155" s="7" t="s">
        <v>1549</v>
      </c>
      <c r="B155" s="8" t="s">
        <v>6514</v>
      </c>
      <c r="C155" s="9" t="s">
        <v>3481</v>
      </c>
      <c r="D155" s="104"/>
      <c r="E155" s="104"/>
      <c r="F155" s="105">
        <f t="shared" si="5"/>
        <v>0</v>
      </c>
      <c r="G155" s="106">
        <f t="shared" si="4"/>
        <v>0</v>
      </c>
      <c r="H155" s="81">
        <v>0.44059999999999999</v>
      </c>
      <c r="I155" s="2619" t="s">
        <v>1146</v>
      </c>
    </row>
    <row r="156" spans="1:9" ht="16.5">
      <c r="A156" s="7" t="s">
        <v>1550</v>
      </c>
      <c r="B156" s="8" t="s">
        <v>6515</v>
      </c>
      <c r="C156" s="9" t="s">
        <v>3481</v>
      </c>
      <c r="D156" s="104"/>
      <c r="E156" s="104"/>
      <c r="F156" s="105">
        <f t="shared" si="5"/>
        <v>0</v>
      </c>
      <c r="G156" s="106">
        <f t="shared" si="4"/>
        <v>0</v>
      </c>
      <c r="H156" s="81">
        <v>0.57999999999999996</v>
      </c>
      <c r="I156" s="2619" t="s">
        <v>1146</v>
      </c>
    </row>
    <row r="157" spans="1:9" ht="16.5">
      <c r="A157" s="7" t="s">
        <v>1551</v>
      </c>
      <c r="B157" s="8" t="s">
        <v>6516</v>
      </c>
      <c r="C157" s="9" t="s">
        <v>3481</v>
      </c>
      <c r="D157" s="104"/>
      <c r="E157" s="104"/>
      <c r="F157" s="105">
        <f t="shared" si="5"/>
        <v>0</v>
      </c>
      <c r="G157" s="106">
        <f t="shared" si="4"/>
        <v>0</v>
      </c>
      <c r="H157" s="81">
        <v>0.53769999999999996</v>
      </c>
      <c r="I157" s="2619" t="s">
        <v>1146</v>
      </c>
    </row>
    <row r="158" spans="1:9" ht="16.5">
      <c r="A158" s="7" t="s">
        <v>1552</v>
      </c>
      <c r="B158" s="8" t="s">
        <v>6517</v>
      </c>
      <c r="C158" s="9" t="s">
        <v>3481</v>
      </c>
      <c r="D158" s="104"/>
      <c r="E158" s="104"/>
      <c r="F158" s="105">
        <f t="shared" si="5"/>
        <v>0</v>
      </c>
      <c r="G158" s="106">
        <f t="shared" si="4"/>
        <v>0</v>
      </c>
      <c r="H158" s="81">
        <v>0.84419999999999995</v>
      </c>
      <c r="I158" s="2619" t="s">
        <v>1146</v>
      </c>
    </row>
    <row r="159" spans="1:9" ht="16.5">
      <c r="A159" s="7" t="s">
        <v>1553</v>
      </c>
      <c r="B159" s="8" t="s">
        <v>6518</v>
      </c>
      <c r="C159" s="9" t="s">
        <v>3481</v>
      </c>
      <c r="D159" s="104"/>
      <c r="E159" s="104"/>
      <c r="F159" s="105">
        <f t="shared" si="5"/>
        <v>0</v>
      </c>
      <c r="G159" s="106">
        <f t="shared" si="4"/>
        <v>0</v>
      </c>
      <c r="H159" s="81">
        <v>0.93669999999999998</v>
      </c>
      <c r="I159" s="2619" t="s">
        <v>1146</v>
      </c>
    </row>
    <row r="160" spans="1:9" ht="16.5">
      <c r="A160" s="7" t="s">
        <v>1554</v>
      </c>
      <c r="B160" s="8" t="s">
        <v>6519</v>
      </c>
      <c r="C160" s="9" t="s">
        <v>3481</v>
      </c>
      <c r="D160" s="104"/>
      <c r="E160" s="104"/>
      <c r="F160" s="105">
        <f t="shared" si="5"/>
        <v>0</v>
      </c>
      <c r="G160" s="106">
        <f t="shared" si="4"/>
        <v>0</v>
      </c>
      <c r="H160" s="81">
        <v>0.28129999999999999</v>
      </c>
      <c r="I160" s="2619" t="s">
        <v>1146</v>
      </c>
    </row>
    <row r="161" spans="1:10" ht="16.5">
      <c r="A161" s="7" t="s">
        <v>1555</v>
      </c>
      <c r="B161" s="8" t="s">
        <v>6520</v>
      </c>
      <c r="C161" s="9" t="s">
        <v>3481</v>
      </c>
      <c r="D161" s="104"/>
      <c r="E161" s="104"/>
      <c r="F161" s="105">
        <f t="shared" si="5"/>
        <v>0</v>
      </c>
      <c r="G161" s="106">
        <f t="shared" si="4"/>
        <v>0</v>
      </c>
      <c r="H161" s="81">
        <v>0.38400000000000001</v>
      </c>
      <c r="I161" s="2619" t="s">
        <v>1146</v>
      </c>
    </row>
    <row r="162" spans="1:10" ht="16.5">
      <c r="A162" s="7" t="s">
        <v>1556</v>
      </c>
      <c r="B162" s="8" t="s">
        <v>6521</v>
      </c>
      <c r="C162" s="9" t="s">
        <v>3481</v>
      </c>
      <c r="D162" s="104"/>
      <c r="E162" s="104"/>
      <c r="F162" s="105">
        <f t="shared" si="5"/>
        <v>0</v>
      </c>
      <c r="G162" s="106">
        <f t="shared" si="4"/>
        <v>0</v>
      </c>
      <c r="H162" s="81">
        <v>0.74990000000000001</v>
      </c>
      <c r="I162" s="2619" t="s">
        <v>1146</v>
      </c>
    </row>
    <row r="163" spans="1:10" ht="16.5">
      <c r="A163" s="7" t="s">
        <v>1557</v>
      </c>
      <c r="B163" s="8" t="s">
        <v>6522</v>
      </c>
      <c r="C163" s="9" t="s">
        <v>3481</v>
      </c>
      <c r="D163" s="104"/>
      <c r="E163" s="104"/>
      <c r="F163" s="105">
        <f t="shared" si="5"/>
        <v>0</v>
      </c>
      <c r="G163" s="106">
        <f t="shared" si="4"/>
        <v>0</v>
      </c>
      <c r="H163" s="81">
        <v>0.66739999999999999</v>
      </c>
      <c r="I163" s="2619" t="s">
        <v>1146</v>
      </c>
    </row>
    <row r="164" spans="1:10" ht="16.5">
      <c r="A164" s="7" t="s">
        <v>1558</v>
      </c>
      <c r="B164" s="8" t="s">
        <v>6523</v>
      </c>
      <c r="C164" s="9" t="s">
        <v>3481</v>
      </c>
      <c r="D164" s="104"/>
      <c r="E164" s="104"/>
      <c r="F164" s="105">
        <f t="shared" si="5"/>
        <v>0</v>
      </c>
      <c r="G164" s="106">
        <f t="shared" si="4"/>
        <v>0</v>
      </c>
      <c r="H164" s="81">
        <v>0.55840000000000001</v>
      </c>
      <c r="I164" s="2619" t="s">
        <v>1146</v>
      </c>
    </row>
    <row r="165" spans="1:10" ht="16.5">
      <c r="A165" s="7" t="s">
        <v>1559</v>
      </c>
      <c r="B165" s="8" t="s">
        <v>6524</v>
      </c>
      <c r="C165" s="9" t="s">
        <v>3481</v>
      </c>
      <c r="D165" s="104"/>
      <c r="E165" s="104"/>
      <c r="F165" s="105">
        <f t="shared" si="5"/>
        <v>0</v>
      </c>
      <c r="G165" s="106">
        <f t="shared" si="4"/>
        <v>0</v>
      </c>
      <c r="H165" s="81">
        <v>0.39140000000000003</v>
      </c>
      <c r="I165" s="2619" t="s">
        <v>1146</v>
      </c>
    </row>
    <row r="166" spans="1:10" ht="16.5">
      <c r="A166" s="7" t="s">
        <v>1560</v>
      </c>
      <c r="B166" s="8" t="s">
        <v>6525</v>
      </c>
      <c r="C166" s="9" t="s">
        <v>3481</v>
      </c>
      <c r="D166" s="104"/>
      <c r="E166" s="104"/>
      <c r="F166" s="105">
        <f t="shared" si="5"/>
        <v>0</v>
      </c>
      <c r="G166" s="106">
        <f t="shared" si="4"/>
        <v>0</v>
      </c>
      <c r="H166" s="81">
        <v>0.38450000000000001</v>
      </c>
      <c r="I166" s="2619" t="s">
        <v>1146</v>
      </c>
    </row>
    <row r="167" spans="1:10" ht="16.5">
      <c r="A167" s="7" t="s">
        <v>1561</v>
      </c>
      <c r="B167" s="8" t="s">
        <v>6526</v>
      </c>
      <c r="C167" s="9" t="s">
        <v>3481</v>
      </c>
      <c r="D167" s="104"/>
      <c r="E167" s="104"/>
      <c r="F167" s="105">
        <f t="shared" si="5"/>
        <v>0</v>
      </c>
      <c r="G167" s="106">
        <f t="shared" si="4"/>
        <v>0</v>
      </c>
      <c r="H167" s="81">
        <v>0.97609999999999997</v>
      </c>
      <c r="I167" s="2619" t="s">
        <v>1146</v>
      </c>
    </row>
    <row r="168" spans="1:10" ht="16.5">
      <c r="A168" s="7" t="s">
        <v>1562</v>
      </c>
      <c r="B168" s="8" t="s">
        <v>6527</v>
      </c>
      <c r="C168" s="9" t="s">
        <v>3481</v>
      </c>
      <c r="D168" s="104"/>
      <c r="E168" s="104"/>
      <c r="F168" s="105">
        <f t="shared" si="5"/>
        <v>0</v>
      </c>
      <c r="G168" s="106">
        <f t="shared" si="4"/>
        <v>0</v>
      </c>
      <c r="H168" s="81">
        <v>0.29299999999999998</v>
      </c>
      <c r="I168" s="2619" t="s">
        <v>1146</v>
      </c>
    </row>
    <row r="169" spans="1:10" ht="16.5">
      <c r="A169" s="7" t="s">
        <v>1563</v>
      </c>
      <c r="B169" s="8" t="s">
        <v>6528</v>
      </c>
      <c r="C169" s="9" t="s">
        <v>3481</v>
      </c>
      <c r="D169" s="104"/>
      <c r="E169" s="104"/>
      <c r="F169" s="105">
        <f t="shared" si="5"/>
        <v>0</v>
      </c>
      <c r="G169" s="106">
        <f t="shared" si="4"/>
        <v>0</v>
      </c>
      <c r="H169" s="81">
        <v>0.78320000000000001</v>
      </c>
      <c r="I169" s="2619" t="s">
        <v>1146</v>
      </c>
    </row>
    <row r="170" spans="1:10" ht="16.5">
      <c r="A170" s="7" t="s">
        <v>1564</v>
      </c>
      <c r="B170" s="8" t="s">
        <v>6529</v>
      </c>
      <c r="C170" s="9" t="s">
        <v>3481</v>
      </c>
      <c r="D170" s="104"/>
      <c r="E170" s="104"/>
      <c r="F170" s="105">
        <f t="shared" si="5"/>
        <v>0</v>
      </c>
      <c r="G170" s="106">
        <f t="shared" si="4"/>
        <v>0</v>
      </c>
      <c r="H170" s="81">
        <v>0.54879999999999995</v>
      </c>
      <c r="I170" s="2619" t="s">
        <v>1146</v>
      </c>
    </row>
    <row r="171" spans="1:10" ht="16.5">
      <c r="A171" s="7" t="s">
        <v>1565</v>
      </c>
      <c r="B171" s="8" t="s">
        <v>6530</v>
      </c>
      <c r="C171" s="9" t="s">
        <v>3481</v>
      </c>
      <c r="D171" s="104"/>
      <c r="E171" s="104"/>
      <c r="F171" s="105">
        <f t="shared" si="5"/>
        <v>0</v>
      </c>
      <c r="G171" s="106">
        <f t="shared" si="4"/>
        <v>0</v>
      </c>
      <c r="H171" s="81">
        <v>0.72640000000000005</v>
      </c>
      <c r="I171" s="2619" t="s">
        <v>1146</v>
      </c>
    </row>
    <row r="172" spans="1:10" ht="16.5">
      <c r="A172" s="7" t="s">
        <v>1566</v>
      </c>
      <c r="B172" s="8" t="s">
        <v>6531</v>
      </c>
      <c r="C172" s="9" t="s">
        <v>3481</v>
      </c>
      <c r="D172" s="104"/>
      <c r="E172" s="104"/>
      <c r="F172" s="105">
        <f t="shared" si="5"/>
        <v>0</v>
      </c>
      <c r="G172" s="106">
        <f t="shared" si="4"/>
        <v>0</v>
      </c>
      <c r="H172" s="81">
        <v>0.49819999999999998</v>
      </c>
      <c r="I172" s="2619" t="s">
        <v>1146</v>
      </c>
    </row>
    <row r="173" spans="1:10" ht="16.5">
      <c r="A173" s="7" t="s">
        <v>1567</v>
      </c>
      <c r="B173" s="8" t="s">
        <v>6532</v>
      </c>
      <c r="C173" s="9" t="s">
        <v>3481</v>
      </c>
      <c r="D173" s="104"/>
      <c r="E173" s="104"/>
      <c r="F173" s="105">
        <f t="shared" si="5"/>
        <v>0</v>
      </c>
      <c r="G173" s="106">
        <f t="shared" si="4"/>
        <v>0</v>
      </c>
      <c r="H173" s="81">
        <v>0.25679999999999997</v>
      </c>
      <c r="I173" s="2619" t="s">
        <v>1146</v>
      </c>
      <c r="J173" s="110"/>
    </row>
    <row r="174" spans="1:10" ht="16.5">
      <c r="A174" s="7" t="s">
        <v>1568</v>
      </c>
      <c r="B174" s="8" t="s">
        <v>6533</v>
      </c>
      <c r="C174" s="9" t="s">
        <v>3481</v>
      </c>
      <c r="D174" s="104"/>
      <c r="E174" s="104"/>
      <c r="F174" s="105">
        <f t="shared" si="5"/>
        <v>0</v>
      </c>
      <c r="G174" s="106">
        <f t="shared" si="4"/>
        <v>0</v>
      </c>
      <c r="H174" s="81">
        <v>0.54530000000000001</v>
      </c>
      <c r="I174" s="2619" t="s">
        <v>1146</v>
      </c>
    </row>
    <row r="175" spans="1:10" ht="16.5">
      <c r="A175" s="7" t="s">
        <v>1569</v>
      </c>
      <c r="B175" s="8" t="s">
        <v>6534</v>
      </c>
      <c r="C175" s="9" t="s">
        <v>3481</v>
      </c>
      <c r="D175" s="104"/>
      <c r="E175" s="104"/>
      <c r="F175" s="105">
        <f t="shared" si="5"/>
        <v>0</v>
      </c>
      <c r="G175" s="106">
        <f t="shared" si="4"/>
        <v>0</v>
      </c>
      <c r="H175" s="81">
        <v>0.73209999999999997</v>
      </c>
      <c r="I175" s="2619" t="s">
        <v>1146</v>
      </c>
    </row>
    <row r="176" spans="1:10" ht="16.5">
      <c r="A176" s="7" t="s">
        <v>1570</v>
      </c>
      <c r="B176" s="8" t="s">
        <v>6535</v>
      </c>
      <c r="C176" s="9" t="s">
        <v>3481</v>
      </c>
      <c r="D176" s="104"/>
      <c r="E176" s="104"/>
      <c r="F176" s="105">
        <f t="shared" si="5"/>
        <v>0</v>
      </c>
      <c r="G176" s="106">
        <f t="shared" si="4"/>
        <v>0</v>
      </c>
      <c r="H176" s="81">
        <v>0.25869999999999999</v>
      </c>
      <c r="I176" s="2619" t="s">
        <v>1146</v>
      </c>
    </row>
    <row r="177" spans="1:9" ht="16.5">
      <c r="A177" s="7" t="s">
        <v>1571</v>
      </c>
      <c r="B177" s="8" t="s">
        <v>6536</v>
      </c>
      <c r="C177" s="9" t="s">
        <v>3481</v>
      </c>
      <c r="D177" s="104"/>
      <c r="E177" s="104"/>
      <c r="F177" s="105">
        <f t="shared" si="5"/>
        <v>0</v>
      </c>
      <c r="G177" s="106">
        <f t="shared" si="4"/>
        <v>0</v>
      </c>
      <c r="H177" s="81">
        <v>0.19900000000000001</v>
      </c>
      <c r="I177" s="2619" t="s">
        <v>1146</v>
      </c>
    </row>
    <row r="178" spans="1:9" ht="16.5">
      <c r="A178" s="7" t="s">
        <v>1572</v>
      </c>
      <c r="B178" s="8" t="s">
        <v>6537</v>
      </c>
      <c r="C178" s="9" t="s">
        <v>3481</v>
      </c>
      <c r="D178" s="104"/>
      <c r="E178" s="104"/>
      <c r="F178" s="105">
        <f t="shared" si="5"/>
        <v>0</v>
      </c>
      <c r="G178" s="106">
        <f t="shared" si="4"/>
        <v>0</v>
      </c>
      <c r="H178" s="81">
        <v>0.42009999999999997</v>
      </c>
      <c r="I178" s="2619" t="s">
        <v>1146</v>
      </c>
    </row>
    <row r="179" spans="1:9" ht="16.5">
      <c r="A179" s="7" t="s">
        <v>1573</v>
      </c>
      <c r="B179" s="8" t="s">
        <v>6538</v>
      </c>
      <c r="C179" s="9" t="s">
        <v>3481</v>
      </c>
      <c r="D179" s="104"/>
      <c r="E179" s="104"/>
      <c r="F179" s="105">
        <f t="shared" si="5"/>
        <v>0</v>
      </c>
      <c r="G179" s="106">
        <f t="shared" si="4"/>
        <v>0</v>
      </c>
      <c r="H179" s="81">
        <v>0.64039999999999997</v>
      </c>
      <c r="I179" s="2619" t="s">
        <v>1146</v>
      </c>
    </row>
    <row r="180" spans="1:9" ht="16.5">
      <c r="A180" s="7" t="s">
        <v>1574</v>
      </c>
      <c r="B180" s="8" t="s">
        <v>6539</v>
      </c>
      <c r="C180" s="9" t="s">
        <v>3481</v>
      </c>
      <c r="D180" s="104"/>
      <c r="E180" s="104"/>
      <c r="F180" s="105">
        <f t="shared" si="5"/>
        <v>0</v>
      </c>
      <c r="G180" s="106">
        <f t="shared" si="4"/>
        <v>0</v>
      </c>
      <c r="H180" s="81">
        <v>0.33360000000000001</v>
      </c>
      <c r="I180" s="2619" t="s">
        <v>1146</v>
      </c>
    </row>
    <row r="181" spans="1:9" ht="16.5">
      <c r="A181" s="7" t="s">
        <v>1575</v>
      </c>
      <c r="B181" s="8" t="s">
        <v>6540</v>
      </c>
      <c r="C181" s="9" t="s">
        <v>3481</v>
      </c>
      <c r="D181" s="104"/>
      <c r="E181" s="104"/>
      <c r="F181" s="105">
        <f t="shared" si="5"/>
        <v>0</v>
      </c>
      <c r="G181" s="106">
        <f t="shared" si="4"/>
        <v>0</v>
      </c>
      <c r="H181" s="81">
        <v>0.64490000000000003</v>
      </c>
      <c r="I181" s="2619" t="s">
        <v>1146</v>
      </c>
    </row>
    <row r="182" spans="1:9" ht="16.5">
      <c r="A182" s="7" t="s">
        <v>1576</v>
      </c>
      <c r="B182" s="8" t="s">
        <v>6541</v>
      </c>
      <c r="C182" s="9" t="s">
        <v>3481</v>
      </c>
      <c r="D182" s="104"/>
      <c r="E182" s="104"/>
      <c r="F182" s="105">
        <f t="shared" si="5"/>
        <v>0</v>
      </c>
      <c r="G182" s="106">
        <f t="shared" si="4"/>
        <v>0</v>
      </c>
      <c r="H182" s="81">
        <v>0.12609999999999999</v>
      </c>
      <c r="I182" s="2619" t="s">
        <v>1146</v>
      </c>
    </row>
    <row r="183" spans="1:9" ht="16.5">
      <c r="A183" s="7" t="s">
        <v>1577</v>
      </c>
      <c r="B183" s="8" t="s">
        <v>6542</v>
      </c>
      <c r="C183" s="9" t="s">
        <v>3481</v>
      </c>
      <c r="D183" s="104"/>
      <c r="E183" s="104"/>
      <c r="F183" s="105">
        <f t="shared" si="5"/>
        <v>0</v>
      </c>
      <c r="G183" s="106">
        <f t="shared" si="4"/>
        <v>0</v>
      </c>
      <c r="H183" s="81">
        <v>0.3115</v>
      </c>
      <c r="I183" s="2619" t="s">
        <v>1146</v>
      </c>
    </row>
    <row r="184" spans="1:9" ht="16.5">
      <c r="A184" s="7" t="s">
        <v>1578</v>
      </c>
      <c r="B184" s="8" t="s">
        <v>6543</v>
      </c>
      <c r="C184" s="9" t="s">
        <v>3481</v>
      </c>
      <c r="D184" s="104"/>
      <c r="E184" s="104"/>
      <c r="F184" s="105">
        <f t="shared" si="5"/>
        <v>0</v>
      </c>
      <c r="G184" s="106">
        <f t="shared" si="4"/>
        <v>0</v>
      </c>
      <c r="H184" s="81">
        <v>0.4955</v>
      </c>
      <c r="I184" s="2619" t="s">
        <v>1146</v>
      </c>
    </row>
    <row r="185" spans="1:9" ht="16.5">
      <c r="A185" s="7" t="s">
        <v>1579</v>
      </c>
      <c r="B185" s="8" t="s">
        <v>6544</v>
      </c>
      <c r="C185" s="9" t="s">
        <v>3481</v>
      </c>
      <c r="D185" s="104"/>
      <c r="E185" s="104"/>
      <c r="F185" s="105">
        <f t="shared" si="5"/>
        <v>0</v>
      </c>
      <c r="G185" s="106">
        <f t="shared" si="4"/>
        <v>0</v>
      </c>
      <c r="H185" s="81">
        <v>0.27429999999999999</v>
      </c>
      <c r="I185" s="2619" t="s">
        <v>1146</v>
      </c>
    </row>
    <row r="186" spans="1:9" ht="16.5">
      <c r="A186" s="7" t="s">
        <v>1580</v>
      </c>
      <c r="B186" s="8" t="s">
        <v>6545</v>
      </c>
      <c r="C186" s="9" t="s">
        <v>3481</v>
      </c>
      <c r="D186" s="104"/>
      <c r="E186" s="104"/>
      <c r="F186" s="105">
        <f t="shared" si="5"/>
        <v>0</v>
      </c>
      <c r="G186" s="106">
        <f t="shared" si="4"/>
        <v>0</v>
      </c>
      <c r="H186" s="81">
        <v>0.4869</v>
      </c>
      <c r="I186" s="2619" t="s">
        <v>1146</v>
      </c>
    </row>
    <row r="187" spans="1:9" ht="16.5">
      <c r="A187" s="7" t="s">
        <v>1581</v>
      </c>
      <c r="B187" s="8" t="s">
        <v>6546</v>
      </c>
      <c r="C187" s="9" t="s">
        <v>3481</v>
      </c>
      <c r="D187" s="104"/>
      <c r="E187" s="104"/>
      <c r="F187" s="105">
        <f t="shared" si="5"/>
        <v>0</v>
      </c>
      <c r="G187" s="106">
        <f t="shared" si="4"/>
        <v>0</v>
      </c>
      <c r="H187" s="81">
        <v>0.24460000000000001</v>
      </c>
      <c r="I187" s="2619" t="s">
        <v>1146</v>
      </c>
    </row>
    <row r="188" spans="1:9" ht="16.5">
      <c r="A188" s="7" t="s">
        <v>1582</v>
      </c>
      <c r="B188" s="8" t="s">
        <v>6547</v>
      </c>
      <c r="C188" s="9" t="s">
        <v>3481</v>
      </c>
      <c r="D188" s="104"/>
      <c r="E188" s="104"/>
      <c r="F188" s="105">
        <f t="shared" si="5"/>
        <v>0</v>
      </c>
      <c r="G188" s="106">
        <f t="shared" si="4"/>
        <v>0</v>
      </c>
      <c r="H188" s="81">
        <v>1.3846000000000001</v>
      </c>
      <c r="I188" s="2619" t="s">
        <v>1146</v>
      </c>
    </row>
    <row r="189" spans="1:9" ht="16.5">
      <c r="A189" s="7" t="s">
        <v>1583</v>
      </c>
      <c r="B189" s="8" t="s">
        <v>6548</v>
      </c>
      <c r="C189" s="9" t="s">
        <v>3481</v>
      </c>
      <c r="D189" s="104"/>
      <c r="E189" s="104"/>
      <c r="F189" s="105">
        <f t="shared" si="5"/>
        <v>0</v>
      </c>
      <c r="G189" s="106">
        <f t="shared" si="4"/>
        <v>0</v>
      </c>
      <c r="H189" s="81">
        <v>0.85799999999999998</v>
      </c>
      <c r="I189" s="2619" t="s">
        <v>1146</v>
      </c>
    </row>
    <row r="190" spans="1:9" ht="16.5">
      <c r="A190" s="7" t="s">
        <v>1584</v>
      </c>
      <c r="B190" s="8" t="s">
        <v>6549</v>
      </c>
      <c r="C190" s="9" t="s">
        <v>3481</v>
      </c>
      <c r="D190" s="104"/>
      <c r="E190" s="104"/>
      <c r="F190" s="105">
        <f t="shared" si="5"/>
        <v>0</v>
      </c>
      <c r="G190" s="106">
        <f t="shared" si="4"/>
        <v>0</v>
      </c>
      <c r="H190" s="81">
        <v>0.28660000000000002</v>
      </c>
      <c r="I190" s="2619" t="s">
        <v>1146</v>
      </c>
    </row>
    <row r="191" spans="1:9" ht="16.5">
      <c r="A191" s="7" t="s">
        <v>1585</v>
      </c>
      <c r="B191" s="8" t="s">
        <v>6550</v>
      </c>
      <c r="C191" s="9" t="s">
        <v>3481</v>
      </c>
      <c r="D191" s="104"/>
      <c r="E191" s="104"/>
      <c r="F191" s="105">
        <f t="shared" si="5"/>
        <v>0</v>
      </c>
      <c r="G191" s="106">
        <f t="shared" si="4"/>
        <v>0</v>
      </c>
      <c r="H191" s="81">
        <v>0.2707</v>
      </c>
      <c r="I191" s="2619" t="s">
        <v>1146</v>
      </c>
    </row>
    <row r="192" spans="1:9" ht="16.5">
      <c r="A192" s="7" t="s">
        <v>1586</v>
      </c>
      <c r="B192" s="8" t="s">
        <v>6551</v>
      </c>
      <c r="C192" s="9" t="s">
        <v>3481</v>
      </c>
      <c r="D192" s="104"/>
      <c r="E192" s="104"/>
      <c r="F192" s="105">
        <f t="shared" si="5"/>
        <v>0</v>
      </c>
      <c r="G192" s="106">
        <f t="shared" si="4"/>
        <v>0</v>
      </c>
      <c r="H192" s="81">
        <v>0.63629999999999998</v>
      </c>
      <c r="I192" s="2619" t="s">
        <v>1146</v>
      </c>
    </row>
    <row r="193" spans="1:9" ht="16.5">
      <c r="A193" s="7" t="s">
        <v>1587</v>
      </c>
      <c r="B193" s="8" t="s">
        <v>6552</v>
      </c>
      <c r="C193" s="9" t="s">
        <v>3481</v>
      </c>
      <c r="D193" s="104"/>
      <c r="E193" s="104"/>
      <c r="F193" s="105">
        <f t="shared" si="5"/>
        <v>0</v>
      </c>
      <c r="G193" s="106">
        <f t="shared" si="4"/>
        <v>0</v>
      </c>
      <c r="H193" s="81">
        <v>0.3574</v>
      </c>
      <c r="I193" s="2619" t="s">
        <v>1146</v>
      </c>
    </row>
    <row r="194" spans="1:9" ht="16.5">
      <c r="A194" s="7" t="s">
        <v>1588</v>
      </c>
      <c r="B194" s="8" t="s">
        <v>6553</v>
      </c>
      <c r="C194" s="9" t="s">
        <v>3481</v>
      </c>
      <c r="D194" s="104"/>
      <c r="E194" s="104"/>
      <c r="F194" s="105">
        <f t="shared" si="5"/>
        <v>0</v>
      </c>
      <c r="G194" s="106">
        <f t="shared" si="4"/>
        <v>0</v>
      </c>
      <c r="H194" s="81">
        <v>0.89080000000000004</v>
      </c>
      <c r="I194" s="2619" t="s">
        <v>1146</v>
      </c>
    </row>
    <row r="195" spans="1:9" ht="16.5">
      <c r="A195" s="7" t="s">
        <v>2584</v>
      </c>
      <c r="B195" s="8" t="s">
        <v>6554</v>
      </c>
      <c r="C195" s="9" t="s">
        <v>3481</v>
      </c>
      <c r="D195" s="104"/>
      <c r="E195" s="104"/>
      <c r="F195" s="105">
        <f t="shared" si="5"/>
        <v>0</v>
      </c>
      <c r="G195" s="106">
        <f t="shared" si="4"/>
        <v>0</v>
      </c>
      <c r="H195" s="81">
        <v>0.46389999999999998</v>
      </c>
      <c r="I195" s="2619" t="s">
        <v>1146</v>
      </c>
    </row>
    <row r="196" spans="1:9" ht="16.5">
      <c r="A196" s="7" t="s">
        <v>1589</v>
      </c>
      <c r="B196" s="8" t="s">
        <v>6555</v>
      </c>
      <c r="C196" s="9" t="s">
        <v>3481</v>
      </c>
      <c r="D196" s="104"/>
      <c r="E196" s="104"/>
      <c r="F196" s="105">
        <f t="shared" si="5"/>
        <v>0</v>
      </c>
      <c r="G196" s="106">
        <f t="shared" ref="G196:G259" si="6">IF($F$1265=0,0,F196/$F$1265)</f>
        <v>0</v>
      </c>
      <c r="H196" s="81">
        <v>0.63900000000000001</v>
      </c>
      <c r="I196" s="2619" t="s">
        <v>1146</v>
      </c>
    </row>
    <row r="197" spans="1:9" ht="16.5">
      <c r="A197" s="7" t="s">
        <v>1590</v>
      </c>
      <c r="B197" s="8" t="s">
        <v>6556</v>
      </c>
      <c r="C197" s="9" t="s">
        <v>3481</v>
      </c>
      <c r="D197" s="104"/>
      <c r="E197" s="104"/>
      <c r="F197" s="105">
        <f t="shared" ref="F197:F260" si="7">D197*E197</f>
        <v>0</v>
      </c>
      <c r="G197" s="106">
        <f t="shared" si="6"/>
        <v>0</v>
      </c>
      <c r="H197" s="81">
        <v>0.5454</v>
      </c>
      <c r="I197" s="2619" t="s">
        <v>1146</v>
      </c>
    </row>
    <row r="198" spans="1:9" ht="16.5">
      <c r="A198" s="7" t="s">
        <v>1591</v>
      </c>
      <c r="B198" s="8" t="s">
        <v>6557</v>
      </c>
      <c r="C198" s="9" t="s">
        <v>3481</v>
      </c>
      <c r="D198" s="104"/>
      <c r="E198" s="104"/>
      <c r="F198" s="105">
        <f t="shared" si="7"/>
        <v>0</v>
      </c>
      <c r="G198" s="106">
        <f t="shared" si="6"/>
        <v>0</v>
      </c>
      <c r="H198" s="81">
        <v>9.8500000000000004E-2</v>
      </c>
      <c r="I198" s="2619" t="s">
        <v>1146</v>
      </c>
    </row>
    <row r="199" spans="1:9" ht="16.5">
      <c r="A199" s="7" t="s">
        <v>1592</v>
      </c>
      <c r="B199" s="8" t="s">
        <v>6558</v>
      </c>
      <c r="C199" s="9" t="s">
        <v>3481</v>
      </c>
      <c r="D199" s="104"/>
      <c r="E199" s="104"/>
      <c r="F199" s="105">
        <f t="shared" si="7"/>
        <v>0</v>
      </c>
      <c r="G199" s="106">
        <f t="shared" si="6"/>
        <v>0</v>
      </c>
      <c r="H199" s="81">
        <v>1.038</v>
      </c>
      <c r="I199" s="2619" t="s">
        <v>1146</v>
      </c>
    </row>
    <row r="200" spans="1:9" ht="16.5">
      <c r="A200" s="7" t="s">
        <v>1593</v>
      </c>
      <c r="B200" s="8" t="s">
        <v>6559</v>
      </c>
      <c r="C200" s="9" t="s">
        <v>3481</v>
      </c>
      <c r="D200" s="104"/>
      <c r="E200" s="104"/>
      <c r="F200" s="105">
        <f t="shared" si="7"/>
        <v>0</v>
      </c>
      <c r="G200" s="106">
        <f t="shared" si="6"/>
        <v>0</v>
      </c>
      <c r="H200" s="81">
        <v>0.46050000000000002</v>
      </c>
      <c r="I200" s="2619" t="s">
        <v>1146</v>
      </c>
    </row>
    <row r="201" spans="1:9" ht="16.5">
      <c r="A201" s="7" t="s">
        <v>1594</v>
      </c>
      <c r="B201" s="8" t="s">
        <v>6560</v>
      </c>
      <c r="C201" s="9" t="s">
        <v>3481</v>
      </c>
      <c r="D201" s="104"/>
      <c r="E201" s="104"/>
      <c r="F201" s="105">
        <f t="shared" si="7"/>
        <v>0</v>
      </c>
      <c r="G201" s="106">
        <f t="shared" si="6"/>
        <v>0</v>
      </c>
      <c r="H201" s="81">
        <v>0.35909999999999997</v>
      </c>
      <c r="I201" s="2619" t="s">
        <v>1146</v>
      </c>
    </row>
    <row r="202" spans="1:9" ht="16.5">
      <c r="A202" s="7" t="s">
        <v>1595</v>
      </c>
      <c r="B202" s="8" t="s">
        <v>6561</v>
      </c>
      <c r="C202" s="9" t="s">
        <v>3481</v>
      </c>
      <c r="D202" s="104"/>
      <c r="E202" s="104"/>
      <c r="F202" s="105">
        <f t="shared" si="7"/>
        <v>0</v>
      </c>
      <c r="G202" s="106">
        <f t="shared" si="6"/>
        <v>0</v>
      </c>
      <c r="H202" s="81">
        <v>0.72299999999999998</v>
      </c>
      <c r="I202" s="2619" t="s">
        <v>1146</v>
      </c>
    </row>
    <row r="203" spans="1:9" ht="16.5">
      <c r="A203" s="7" t="s">
        <v>1596</v>
      </c>
      <c r="B203" s="8" t="s">
        <v>6562</v>
      </c>
      <c r="C203" s="9" t="s">
        <v>3481</v>
      </c>
      <c r="D203" s="104"/>
      <c r="E203" s="104"/>
      <c r="F203" s="105">
        <f t="shared" si="7"/>
        <v>0</v>
      </c>
      <c r="G203" s="106">
        <f t="shared" si="6"/>
        <v>0</v>
      </c>
      <c r="H203" s="81">
        <v>0.77380000000000004</v>
      </c>
      <c r="I203" s="2619" t="s">
        <v>1146</v>
      </c>
    </row>
    <row r="204" spans="1:9" ht="16.5">
      <c r="A204" s="7" t="s">
        <v>1597</v>
      </c>
      <c r="B204" s="8" t="s">
        <v>6563</v>
      </c>
      <c r="C204" s="9" t="s">
        <v>3481</v>
      </c>
      <c r="D204" s="104"/>
      <c r="E204" s="104"/>
      <c r="F204" s="105">
        <f t="shared" si="7"/>
        <v>0</v>
      </c>
      <c r="G204" s="106">
        <f t="shared" si="6"/>
        <v>0</v>
      </c>
      <c r="H204" s="81">
        <v>0.18140000000000001</v>
      </c>
      <c r="I204" s="2619" t="s">
        <v>1146</v>
      </c>
    </row>
    <row r="205" spans="1:9" ht="16.5">
      <c r="A205" s="7" t="s">
        <v>1598</v>
      </c>
      <c r="B205" s="8" t="s">
        <v>6564</v>
      </c>
      <c r="C205" s="9" t="s">
        <v>3481</v>
      </c>
      <c r="D205" s="104"/>
      <c r="E205" s="104"/>
      <c r="F205" s="105">
        <f t="shared" si="7"/>
        <v>0</v>
      </c>
      <c r="G205" s="106">
        <f t="shared" si="6"/>
        <v>0</v>
      </c>
      <c r="H205" s="81">
        <v>8.8000000000000005E-3</v>
      </c>
      <c r="I205" s="2619" t="s">
        <v>1146</v>
      </c>
    </row>
    <row r="206" spans="1:9" ht="16.5">
      <c r="A206" s="7" t="s">
        <v>1599</v>
      </c>
      <c r="B206" s="8" t="s">
        <v>6565</v>
      </c>
      <c r="C206" s="9" t="s">
        <v>3481</v>
      </c>
      <c r="D206" s="104"/>
      <c r="E206" s="104"/>
      <c r="F206" s="105">
        <f t="shared" si="7"/>
        <v>0</v>
      </c>
      <c r="G206" s="106">
        <f t="shared" si="6"/>
        <v>0</v>
      </c>
      <c r="H206" s="81">
        <v>0.53800000000000003</v>
      </c>
      <c r="I206" s="2619" t="s">
        <v>1146</v>
      </c>
    </row>
    <row r="207" spans="1:9" ht="16.5">
      <c r="A207" s="7" t="s">
        <v>1600</v>
      </c>
      <c r="B207" s="8" t="s">
        <v>6566</v>
      </c>
      <c r="C207" s="9" t="s">
        <v>3481</v>
      </c>
      <c r="D207" s="104"/>
      <c r="E207" s="104"/>
      <c r="F207" s="105">
        <f t="shared" si="7"/>
        <v>0</v>
      </c>
      <c r="G207" s="106">
        <f t="shared" si="6"/>
        <v>0</v>
      </c>
      <c r="H207" s="81">
        <v>0.1242</v>
      </c>
      <c r="I207" s="2619" t="s">
        <v>1146</v>
      </c>
    </row>
    <row r="208" spans="1:9" ht="16.5">
      <c r="A208" s="7" t="s">
        <v>1601</v>
      </c>
      <c r="B208" s="8" t="s">
        <v>6567</v>
      </c>
      <c r="C208" s="9" t="s">
        <v>3481</v>
      </c>
      <c r="D208" s="104"/>
      <c r="E208" s="104"/>
      <c r="F208" s="105">
        <f t="shared" si="7"/>
        <v>0</v>
      </c>
      <c r="G208" s="106">
        <f t="shared" si="6"/>
        <v>0</v>
      </c>
      <c r="H208" s="81">
        <v>0.96530000000000005</v>
      </c>
      <c r="I208" s="2619" t="s">
        <v>1146</v>
      </c>
    </row>
    <row r="209" spans="1:10" ht="16.5">
      <c r="A209" s="7" t="s">
        <v>1602</v>
      </c>
      <c r="B209" s="8" t="s">
        <v>6568</v>
      </c>
      <c r="C209" s="9" t="s">
        <v>3481</v>
      </c>
      <c r="D209" s="104"/>
      <c r="E209" s="104"/>
      <c r="F209" s="105">
        <f t="shared" si="7"/>
        <v>0</v>
      </c>
      <c r="G209" s="106">
        <f t="shared" si="6"/>
        <v>0</v>
      </c>
      <c r="H209" s="81">
        <v>0.2888</v>
      </c>
      <c r="I209" s="2619" t="s">
        <v>1146</v>
      </c>
    </row>
    <row r="210" spans="1:10" ht="16.5">
      <c r="A210" s="7" t="s">
        <v>1603</v>
      </c>
      <c r="B210" s="8" t="s">
        <v>6569</v>
      </c>
      <c r="C210" s="9" t="s">
        <v>3481</v>
      </c>
      <c r="D210" s="104"/>
      <c r="E210" s="104"/>
      <c r="F210" s="105">
        <f t="shared" si="7"/>
        <v>0</v>
      </c>
      <c r="G210" s="106">
        <f t="shared" si="6"/>
        <v>0</v>
      </c>
      <c r="H210" s="81">
        <v>0.17369999999999999</v>
      </c>
      <c r="I210" s="2619" t="s">
        <v>1146</v>
      </c>
    </row>
    <row r="211" spans="1:10" ht="16.5">
      <c r="A211" s="7" t="s">
        <v>1604</v>
      </c>
      <c r="B211" s="8" t="s">
        <v>6570</v>
      </c>
      <c r="C211" s="9" t="s">
        <v>3481</v>
      </c>
      <c r="D211" s="104"/>
      <c r="E211" s="104"/>
      <c r="F211" s="105">
        <f t="shared" si="7"/>
        <v>0</v>
      </c>
      <c r="G211" s="106">
        <f t="shared" si="6"/>
        <v>0</v>
      </c>
      <c r="H211" s="81">
        <v>0.20730000000000001</v>
      </c>
      <c r="I211" s="2619" t="s">
        <v>1146</v>
      </c>
    </row>
    <row r="212" spans="1:10" ht="16.5">
      <c r="A212" s="7" t="s">
        <v>1605</v>
      </c>
      <c r="B212" s="8" t="s">
        <v>6571</v>
      </c>
      <c r="C212" s="9" t="s">
        <v>3481</v>
      </c>
      <c r="D212" s="104"/>
      <c r="E212" s="104"/>
      <c r="F212" s="105">
        <f t="shared" si="7"/>
        <v>0</v>
      </c>
      <c r="G212" s="106">
        <f t="shared" si="6"/>
        <v>0</v>
      </c>
      <c r="H212" s="81">
        <v>0.46910000000000002</v>
      </c>
      <c r="I212" s="2619" t="s">
        <v>1146</v>
      </c>
    </row>
    <row r="213" spans="1:10" ht="16.5">
      <c r="A213" s="7" t="s">
        <v>1606</v>
      </c>
      <c r="B213" s="8" t="s">
        <v>6572</v>
      </c>
      <c r="C213" s="9" t="s">
        <v>3481</v>
      </c>
      <c r="D213" s="104"/>
      <c r="E213" s="104"/>
      <c r="F213" s="105">
        <f t="shared" si="7"/>
        <v>0</v>
      </c>
      <c r="G213" s="106">
        <f t="shared" si="6"/>
        <v>0</v>
      </c>
      <c r="H213" s="81">
        <v>0.36059999999999998</v>
      </c>
      <c r="I213" s="2619" t="s">
        <v>1146</v>
      </c>
    </row>
    <row r="214" spans="1:10" ht="16.5">
      <c r="A214" s="7" t="s">
        <v>1607</v>
      </c>
      <c r="B214" s="8" t="s">
        <v>6573</v>
      </c>
      <c r="C214" s="9" t="s">
        <v>3481</v>
      </c>
      <c r="D214" s="104"/>
      <c r="E214" s="104"/>
      <c r="F214" s="105">
        <f t="shared" si="7"/>
        <v>0</v>
      </c>
      <c r="G214" s="106">
        <f t="shared" si="6"/>
        <v>0</v>
      </c>
      <c r="H214" s="81">
        <v>0.29920000000000002</v>
      </c>
      <c r="I214" s="2619" t="s">
        <v>1146</v>
      </c>
    </row>
    <row r="215" spans="1:10" ht="16.5">
      <c r="A215" s="7" t="s">
        <v>1608</v>
      </c>
      <c r="B215" s="8" t="s">
        <v>6574</v>
      </c>
      <c r="C215" s="9" t="s">
        <v>3481</v>
      </c>
      <c r="D215" s="104"/>
      <c r="E215" s="104"/>
      <c r="F215" s="105">
        <f t="shared" si="7"/>
        <v>0</v>
      </c>
      <c r="G215" s="106">
        <f t="shared" si="6"/>
        <v>0</v>
      </c>
      <c r="H215" s="81">
        <v>0.35720000000000002</v>
      </c>
      <c r="I215" s="2619" t="s">
        <v>1146</v>
      </c>
    </row>
    <row r="216" spans="1:10" ht="16.5">
      <c r="A216" s="7" t="s">
        <v>1609</v>
      </c>
      <c r="B216" s="8" t="s">
        <v>6575</v>
      </c>
      <c r="C216" s="9" t="s">
        <v>3481</v>
      </c>
      <c r="D216" s="104"/>
      <c r="E216" s="104"/>
      <c r="F216" s="105">
        <f t="shared" si="7"/>
        <v>0</v>
      </c>
      <c r="G216" s="106">
        <f t="shared" si="6"/>
        <v>0</v>
      </c>
      <c r="H216" s="81">
        <v>0.40239999999999998</v>
      </c>
      <c r="I216" s="2619" t="s">
        <v>1146</v>
      </c>
    </row>
    <row r="217" spans="1:10" ht="16.5">
      <c r="A217" s="7" t="s">
        <v>1610</v>
      </c>
      <c r="B217" s="8" t="s">
        <v>6576</v>
      </c>
      <c r="C217" s="9" t="s">
        <v>3481</v>
      </c>
      <c r="D217" s="104"/>
      <c r="E217" s="104"/>
      <c r="F217" s="105">
        <f t="shared" si="7"/>
        <v>0</v>
      </c>
      <c r="G217" s="106">
        <f t="shared" si="6"/>
        <v>0</v>
      </c>
      <c r="H217" s="81">
        <v>0.2329</v>
      </c>
      <c r="I217" s="2619" t="s">
        <v>1146</v>
      </c>
    </row>
    <row r="218" spans="1:10" ht="16.5">
      <c r="A218" s="7" t="s">
        <v>1611</v>
      </c>
      <c r="B218" s="8" t="s">
        <v>6577</v>
      </c>
      <c r="C218" s="9" t="s">
        <v>3481</v>
      </c>
      <c r="D218" s="104"/>
      <c r="E218" s="104"/>
      <c r="F218" s="105">
        <f t="shared" si="7"/>
        <v>0</v>
      </c>
      <c r="G218" s="106">
        <f t="shared" si="6"/>
        <v>0</v>
      </c>
      <c r="H218" s="81">
        <v>0.26600000000000001</v>
      </c>
      <c r="I218" s="2619" t="s">
        <v>1146</v>
      </c>
    </row>
    <row r="219" spans="1:10" ht="16.5">
      <c r="A219" s="7" t="s">
        <v>1612</v>
      </c>
      <c r="B219" s="8" t="s">
        <v>6578</v>
      </c>
      <c r="C219" s="9" t="s">
        <v>3481</v>
      </c>
      <c r="D219" s="104"/>
      <c r="E219" s="104"/>
      <c r="F219" s="105">
        <f t="shared" si="7"/>
        <v>0</v>
      </c>
      <c r="G219" s="106">
        <f t="shared" si="6"/>
        <v>0</v>
      </c>
      <c r="H219" s="81">
        <v>0.15920000000000001</v>
      </c>
      <c r="I219" s="2619" t="s">
        <v>1146</v>
      </c>
    </row>
    <row r="220" spans="1:10" ht="16.5">
      <c r="A220" s="7" t="s">
        <v>1613</v>
      </c>
      <c r="B220" s="8" t="s">
        <v>6579</v>
      </c>
      <c r="C220" s="9" t="s">
        <v>3481</v>
      </c>
      <c r="D220" s="104"/>
      <c r="E220" s="104"/>
      <c r="F220" s="105">
        <f t="shared" si="7"/>
        <v>0</v>
      </c>
      <c r="G220" s="106">
        <f t="shared" si="6"/>
        <v>0</v>
      </c>
      <c r="H220" s="81">
        <v>0.54759999999999998</v>
      </c>
      <c r="I220" s="2619" t="s">
        <v>1146</v>
      </c>
    </row>
    <row r="221" spans="1:10" ht="16.5">
      <c r="A221" s="7" t="s">
        <v>1614</v>
      </c>
      <c r="B221" s="8" t="s">
        <v>6580</v>
      </c>
      <c r="C221" s="9" t="s">
        <v>3481</v>
      </c>
      <c r="D221" s="104"/>
      <c r="E221" s="104"/>
      <c r="F221" s="105">
        <f t="shared" si="7"/>
        <v>0</v>
      </c>
      <c r="G221" s="106">
        <f t="shared" si="6"/>
        <v>0</v>
      </c>
      <c r="H221" s="81">
        <v>0.29970000000000002</v>
      </c>
      <c r="I221" s="2619" t="s">
        <v>1146</v>
      </c>
    </row>
    <row r="222" spans="1:10" ht="16.5">
      <c r="A222" s="7" t="s">
        <v>1615</v>
      </c>
      <c r="B222" s="8" t="s">
        <v>6581</v>
      </c>
      <c r="C222" s="9" t="s">
        <v>3481</v>
      </c>
      <c r="D222" s="104"/>
      <c r="E222" s="104"/>
      <c r="F222" s="105">
        <f t="shared" si="7"/>
        <v>0</v>
      </c>
      <c r="G222" s="106">
        <f t="shared" si="6"/>
        <v>0</v>
      </c>
      <c r="H222" s="81">
        <v>0.32029999999999997</v>
      </c>
      <c r="I222" s="2619" t="s">
        <v>1146</v>
      </c>
    </row>
    <row r="223" spans="1:10" ht="16.5">
      <c r="A223" s="7" t="s">
        <v>1616</v>
      </c>
      <c r="B223" s="8" t="s">
        <v>6582</v>
      </c>
      <c r="C223" s="9" t="s">
        <v>3481</v>
      </c>
      <c r="D223" s="104"/>
      <c r="E223" s="104"/>
      <c r="F223" s="105">
        <f t="shared" si="7"/>
        <v>0</v>
      </c>
      <c r="G223" s="106">
        <f t="shared" si="6"/>
        <v>0</v>
      </c>
      <c r="H223" s="81">
        <v>0.19350000000000001</v>
      </c>
      <c r="I223" s="2619" t="s">
        <v>1146</v>
      </c>
      <c r="J223" s="110"/>
    </row>
    <row r="224" spans="1:10" ht="16.5">
      <c r="A224" s="7" t="s">
        <v>1617</v>
      </c>
      <c r="B224" s="8" t="s">
        <v>6583</v>
      </c>
      <c r="C224" s="9" t="s">
        <v>3481</v>
      </c>
      <c r="D224" s="104"/>
      <c r="E224" s="104"/>
      <c r="F224" s="105">
        <f t="shared" si="7"/>
        <v>0</v>
      </c>
      <c r="G224" s="106">
        <f t="shared" si="6"/>
        <v>0</v>
      </c>
      <c r="H224" s="81">
        <v>0.43430000000000002</v>
      </c>
      <c r="I224" s="2619" t="s">
        <v>1146</v>
      </c>
    </row>
    <row r="225" spans="1:9" ht="16.5">
      <c r="A225" s="7" t="s">
        <v>1618</v>
      </c>
      <c r="B225" s="8" t="s">
        <v>6584</v>
      </c>
      <c r="C225" s="9" t="s">
        <v>3481</v>
      </c>
      <c r="D225" s="104"/>
      <c r="E225" s="104"/>
      <c r="F225" s="105">
        <f t="shared" si="7"/>
        <v>0</v>
      </c>
      <c r="G225" s="106">
        <f t="shared" si="6"/>
        <v>0</v>
      </c>
      <c r="H225" s="81">
        <v>0.30640000000000001</v>
      </c>
      <c r="I225" s="2619" t="s">
        <v>1146</v>
      </c>
    </row>
    <row r="226" spans="1:9" ht="16.5">
      <c r="A226" s="7" t="s">
        <v>1619</v>
      </c>
      <c r="B226" s="8" t="s">
        <v>6585</v>
      </c>
      <c r="C226" s="9" t="s">
        <v>3481</v>
      </c>
      <c r="D226" s="104"/>
      <c r="E226" s="104"/>
      <c r="F226" s="105">
        <f t="shared" si="7"/>
        <v>0</v>
      </c>
      <c r="G226" s="106">
        <f t="shared" si="6"/>
        <v>0</v>
      </c>
      <c r="H226" s="81">
        <v>0.1986</v>
      </c>
      <c r="I226" s="2619" t="s">
        <v>1146</v>
      </c>
    </row>
    <row r="227" spans="1:9" ht="16.5">
      <c r="A227" s="7" t="s">
        <v>1620</v>
      </c>
      <c r="B227" s="8" t="s">
        <v>6586</v>
      </c>
      <c r="C227" s="9" t="s">
        <v>3481</v>
      </c>
      <c r="D227" s="104"/>
      <c r="E227" s="104"/>
      <c r="F227" s="105">
        <f t="shared" si="7"/>
        <v>0</v>
      </c>
      <c r="G227" s="106">
        <f t="shared" si="6"/>
        <v>0</v>
      </c>
      <c r="H227" s="81">
        <v>9.0399999999999994E-2</v>
      </c>
      <c r="I227" s="2619" t="s">
        <v>1146</v>
      </c>
    </row>
    <row r="228" spans="1:9" ht="16.5">
      <c r="A228" s="7" t="s">
        <v>1621</v>
      </c>
      <c r="B228" s="8" t="s">
        <v>6587</v>
      </c>
      <c r="C228" s="9" t="s">
        <v>3481</v>
      </c>
      <c r="D228" s="104"/>
      <c r="E228" s="104"/>
      <c r="F228" s="105">
        <f t="shared" si="7"/>
        <v>0</v>
      </c>
      <c r="G228" s="106">
        <f t="shared" si="6"/>
        <v>0</v>
      </c>
      <c r="H228" s="81">
        <v>0.34770000000000001</v>
      </c>
      <c r="I228" s="2619" t="s">
        <v>1146</v>
      </c>
    </row>
    <row r="229" spans="1:9" ht="16.5">
      <c r="A229" s="7" t="s">
        <v>1622</v>
      </c>
      <c r="B229" s="8" t="s">
        <v>6588</v>
      </c>
      <c r="C229" s="9" t="s">
        <v>3481</v>
      </c>
      <c r="D229" s="104"/>
      <c r="E229" s="104"/>
      <c r="F229" s="105">
        <f t="shared" si="7"/>
        <v>0</v>
      </c>
      <c r="G229" s="106">
        <f t="shared" si="6"/>
        <v>0</v>
      </c>
      <c r="H229" s="81">
        <v>8.8999999999999996E-2</v>
      </c>
      <c r="I229" s="2619" t="s">
        <v>1146</v>
      </c>
    </row>
    <row r="230" spans="1:9" ht="16.5">
      <c r="A230" s="7" t="s">
        <v>1623</v>
      </c>
      <c r="B230" s="8" t="s">
        <v>6589</v>
      </c>
      <c r="C230" s="9" t="s">
        <v>3481</v>
      </c>
      <c r="D230" s="104"/>
      <c r="E230" s="104"/>
      <c r="F230" s="105">
        <f t="shared" si="7"/>
        <v>0</v>
      </c>
      <c r="G230" s="106">
        <f t="shared" si="6"/>
        <v>0</v>
      </c>
      <c r="H230" s="81">
        <v>0.1376</v>
      </c>
      <c r="I230" s="2619" t="s">
        <v>1146</v>
      </c>
    </row>
    <row r="231" spans="1:9" ht="16.5">
      <c r="A231" s="7" t="s">
        <v>1624</v>
      </c>
      <c r="B231" s="8" t="s">
        <v>6590</v>
      </c>
      <c r="C231" s="9" t="s">
        <v>3481</v>
      </c>
      <c r="D231" s="104"/>
      <c r="E231" s="104"/>
      <c r="F231" s="105">
        <f t="shared" si="7"/>
        <v>0</v>
      </c>
      <c r="G231" s="106">
        <f t="shared" si="6"/>
        <v>0</v>
      </c>
      <c r="H231" s="81">
        <v>0.15740000000000001</v>
      </c>
      <c r="I231" s="2619" t="s">
        <v>1146</v>
      </c>
    </row>
    <row r="232" spans="1:9" ht="16.5">
      <c r="A232" s="7" t="s">
        <v>1625</v>
      </c>
      <c r="B232" s="8" t="s">
        <v>6591</v>
      </c>
      <c r="C232" s="9" t="s">
        <v>3481</v>
      </c>
      <c r="D232" s="104"/>
      <c r="E232" s="104"/>
      <c r="F232" s="105">
        <f t="shared" si="7"/>
        <v>0</v>
      </c>
      <c r="G232" s="106">
        <f t="shared" si="6"/>
        <v>0</v>
      </c>
      <c r="H232" s="81">
        <v>0.25890000000000002</v>
      </c>
      <c r="I232" s="2619" t="s">
        <v>1146</v>
      </c>
    </row>
    <row r="233" spans="1:9" ht="16.5">
      <c r="A233" s="7" t="s">
        <v>1626</v>
      </c>
      <c r="B233" s="8" t="s">
        <v>6592</v>
      </c>
      <c r="C233" s="9" t="s">
        <v>3481</v>
      </c>
      <c r="D233" s="104"/>
      <c r="E233" s="104"/>
      <c r="F233" s="105">
        <f t="shared" si="7"/>
        <v>0</v>
      </c>
      <c r="G233" s="106">
        <f t="shared" si="6"/>
        <v>0</v>
      </c>
      <c r="H233" s="81">
        <v>0.27139999999999997</v>
      </c>
      <c r="I233" s="2619" t="s">
        <v>1146</v>
      </c>
    </row>
    <row r="234" spans="1:9" ht="16.5">
      <c r="A234" s="7" t="s">
        <v>1627</v>
      </c>
      <c r="B234" s="8" t="s">
        <v>6593</v>
      </c>
      <c r="C234" s="9" t="s">
        <v>3481</v>
      </c>
      <c r="D234" s="104"/>
      <c r="E234" s="104"/>
      <c r="F234" s="105">
        <f t="shared" si="7"/>
        <v>0</v>
      </c>
      <c r="G234" s="106">
        <f t="shared" si="6"/>
        <v>0</v>
      </c>
      <c r="H234" s="81">
        <v>0.13719999999999999</v>
      </c>
      <c r="I234" s="2619" t="s">
        <v>1146</v>
      </c>
    </row>
    <row r="235" spans="1:9" ht="16.5">
      <c r="A235" s="7" t="s">
        <v>1628</v>
      </c>
      <c r="B235" s="8" t="s">
        <v>6594</v>
      </c>
      <c r="C235" s="9" t="s">
        <v>3481</v>
      </c>
      <c r="D235" s="104"/>
      <c r="E235" s="104"/>
      <c r="F235" s="105">
        <f t="shared" si="7"/>
        <v>0</v>
      </c>
      <c r="G235" s="106">
        <f t="shared" si="6"/>
        <v>0</v>
      </c>
      <c r="H235" s="81">
        <v>0.58020000000000005</v>
      </c>
      <c r="I235" s="2619" t="s">
        <v>1146</v>
      </c>
    </row>
    <row r="236" spans="1:9" ht="16.5">
      <c r="A236" s="7" t="s">
        <v>1629</v>
      </c>
      <c r="B236" s="8" t="s">
        <v>6595</v>
      </c>
      <c r="C236" s="9" t="s">
        <v>3481</v>
      </c>
      <c r="D236" s="104"/>
      <c r="E236" s="104"/>
      <c r="F236" s="105">
        <f t="shared" si="7"/>
        <v>0</v>
      </c>
      <c r="G236" s="106">
        <f t="shared" si="6"/>
        <v>0</v>
      </c>
      <c r="H236" s="81">
        <v>-6.6E-3</v>
      </c>
      <c r="I236" s="2619" t="s">
        <v>1146</v>
      </c>
    </row>
    <row r="237" spans="1:9" ht="16.5">
      <c r="A237" s="7" t="s">
        <v>2628</v>
      </c>
      <c r="B237" s="8" t="s">
        <v>6596</v>
      </c>
      <c r="C237" s="9" t="s">
        <v>3481</v>
      </c>
      <c r="D237" s="104"/>
      <c r="E237" s="104"/>
      <c r="F237" s="105">
        <f t="shared" si="7"/>
        <v>0</v>
      </c>
      <c r="G237" s="106">
        <f t="shared" si="6"/>
        <v>0</v>
      </c>
      <c r="H237" s="81">
        <v>0.34820000000000001</v>
      </c>
      <c r="I237" s="2619" t="s">
        <v>1146</v>
      </c>
    </row>
    <row r="238" spans="1:9" ht="16.5">
      <c r="A238" s="7" t="s">
        <v>1630</v>
      </c>
      <c r="B238" s="8" t="s">
        <v>6597</v>
      </c>
      <c r="C238" s="9" t="s">
        <v>3481</v>
      </c>
      <c r="D238" s="104"/>
      <c r="E238" s="104"/>
      <c r="F238" s="105">
        <f t="shared" si="7"/>
        <v>0</v>
      </c>
      <c r="G238" s="106">
        <f t="shared" si="6"/>
        <v>0</v>
      </c>
      <c r="H238" s="81">
        <v>0.45550000000000002</v>
      </c>
      <c r="I238" s="2619" t="s">
        <v>1146</v>
      </c>
    </row>
    <row r="239" spans="1:9" ht="16.5">
      <c r="A239" s="7" t="s">
        <v>1631</v>
      </c>
      <c r="B239" s="8" t="s">
        <v>6598</v>
      </c>
      <c r="C239" s="9" t="s">
        <v>3481</v>
      </c>
      <c r="D239" s="104"/>
      <c r="E239" s="104"/>
      <c r="F239" s="105">
        <f t="shared" si="7"/>
        <v>0</v>
      </c>
      <c r="G239" s="106">
        <f t="shared" si="6"/>
        <v>0</v>
      </c>
      <c r="H239" s="81">
        <v>0.35449999999999998</v>
      </c>
      <c r="I239" s="2619" t="s">
        <v>1146</v>
      </c>
    </row>
    <row r="240" spans="1:9" ht="16.5">
      <c r="A240" s="7" t="s">
        <v>1632</v>
      </c>
      <c r="B240" s="8" t="s">
        <v>6599</v>
      </c>
      <c r="C240" s="9" t="s">
        <v>3481</v>
      </c>
      <c r="D240" s="104"/>
      <c r="E240" s="104"/>
      <c r="F240" s="105">
        <f t="shared" si="7"/>
        <v>0</v>
      </c>
      <c r="G240" s="106">
        <f t="shared" si="6"/>
        <v>0</v>
      </c>
      <c r="H240" s="81">
        <v>0.66200000000000003</v>
      </c>
      <c r="I240" s="2619" t="s">
        <v>1146</v>
      </c>
    </row>
    <row r="241" spans="1:9" ht="16.5">
      <c r="A241" s="7" t="s">
        <v>1633</v>
      </c>
      <c r="B241" s="8" t="s">
        <v>6600</v>
      </c>
      <c r="C241" s="9" t="s">
        <v>3481</v>
      </c>
      <c r="D241" s="104"/>
      <c r="E241" s="104"/>
      <c r="F241" s="105">
        <f t="shared" si="7"/>
        <v>0</v>
      </c>
      <c r="G241" s="106">
        <f t="shared" si="6"/>
        <v>0</v>
      </c>
      <c r="H241" s="81">
        <v>0.34260000000000002</v>
      </c>
      <c r="I241" s="2619" t="s">
        <v>1146</v>
      </c>
    </row>
    <row r="242" spans="1:9" ht="16.5">
      <c r="A242" s="7" t="s">
        <v>1634</v>
      </c>
      <c r="B242" s="8" t="s">
        <v>6601</v>
      </c>
      <c r="C242" s="9" t="s">
        <v>3481</v>
      </c>
      <c r="D242" s="104"/>
      <c r="E242" s="104"/>
      <c r="F242" s="105">
        <f t="shared" si="7"/>
        <v>0</v>
      </c>
      <c r="G242" s="106">
        <f t="shared" si="6"/>
        <v>0</v>
      </c>
      <c r="H242" s="81">
        <v>0.4224</v>
      </c>
      <c r="I242" s="2619" t="s">
        <v>1146</v>
      </c>
    </row>
    <row r="243" spans="1:9" ht="16.5">
      <c r="A243" s="7" t="s">
        <v>1635</v>
      </c>
      <c r="B243" s="8" t="s">
        <v>6602</v>
      </c>
      <c r="C243" s="9" t="s">
        <v>3481</v>
      </c>
      <c r="D243" s="104"/>
      <c r="E243" s="104"/>
      <c r="F243" s="105">
        <f t="shared" si="7"/>
        <v>0</v>
      </c>
      <c r="G243" s="106">
        <f t="shared" si="6"/>
        <v>0</v>
      </c>
      <c r="H243" s="81">
        <v>0.45960000000000001</v>
      </c>
      <c r="I243" s="2619" t="s">
        <v>1146</v>
      </c>
    </row>
    <row r="244" spans="1:9" ht="16.5">
      <c r="A244" s="7" t="s">
        <v>1636</v>
      </c>
      <c r="B244" s="8" t="s">
        <v>6603</v>
      </c>
      <c r="C244" s="9" t="s">
        <v>3481</v>
      </c>
      <c r="D244" s="104"/>
      <c r="E244" s="104"/>
      <c r="F244" s="105">
        <f t="shared" si="7"/>
        <v>0</v>
      </c>
      <c r="G244" s="106">
        <f t="shared" si="6"/>
        <v>0</v>
      </c>
      <c r="H244" s="81">
        <v>0.64149999999999996</v>
      </c>
      <c r="I244" s="2619" t="s">
        <v>1146</v>
      </c>
    </row>
    <row r="245" spans="1:9" ht="16.5">
      <c r="A245" s="7" t="s">
        <v>1637</v>
      </c>
      <c r="B245" s="8" t="s">
        <v>6604</v>
      </c>
      <c r="C245" s="9" t="s">
        <v>3481</v>
      </c>
      <c r="D245" s="104"/>
      <c r="E245" s="104"/>
      <c r="F245" s="105">
        <f t="shared" si="7"/>
        <v>0</v>
      </c>
      <c r="G245" s="106">
        <f t="shared" si="6"/>
        <v>0</v>
      </c>
      <c r="H245" s="81">
        <v>0.66510000000000002</v>
      </c>
      <c r="I245" s="2619" t="s">
        <v>1146</v>
      </c>
    </row>
    <row r="246" spans="1:9" ht="16.5">
      <c r="A246" s="7" t="s">
        <v>1638</v>
      </c>
      <c r="B246" s="8" t="s">
        <v>6605</v>
      </c>
      <c r="C246" s="9" t="s">
        <v>3481</v>
      </c>
      <c r="D246" s="104"/>
      <c r="E246" s="104"/>
      <c r="F246" s="105">
        <f t="shared" si="7"/>
        <v>0</v>
      </c>
      <c r="G246" s="106">
        <f t="shared" si="6"/>
        <v>0</v>
      </c>
      <c r="H246" s="81">
        <v>0.64829999999999999</v>
      </c>
      <c r="I246" s="2619" t="s">
        <v>1146</v>
      </c>
    </row>
    <row r="247" spans="1:9" ht="16.5">
      <c r="A247" s="7" t="s">
        <v>1639</v>
      </c>
      <c r="B247" s="8" t="s">
        <v>6606</v>
      </c>
      <c r="C247" s="9" t="s">
        <v>3481</v>
      </c>
      <c r="D247" s="104"/>
      <c r="E247" s="104"/>
      <c r="F247" s="105">
        <f t="shared" si="7"/>
        <v>0</v>
      </c>
      <c r="G247" s="106">
        <f t="shared" si="6"/>
        <v>0</v>
      </c>
      <c r="H247" s="81">
        <v>0.1933</v>
      </c>
      <c r="I247" s="2619" t="s">
        <v>1146</v>
      </c>
    </row>
    <row r="248" spans="1:9" ht="16.5">
      <c r="A248" s="7" t="s">
        <v>1640</v>
      </c>
      <c r="B248" s="8" t="s">
        <v>6607</v>
      </c>
      <c r="C248" s="9" t="s">
        <v>3481</v>
      </c>
      <c r="D248" s="104"/>
      <c r="E248" s="104"/>
      <c r="F248" s="105">
        <f t="shared" si="7"/>
        <v>0</v>
      </c>
      <c r="G248" s="106">
        <f t="shared" si="6"/>
        <v>0</v>
      </c>
      <c r="H248" s="81">
        <v>0.33350000000000002</v>
      </c>
      <c r="I248" s="2619" t="s">
        <v>1146</v>
      </c>
    </row>
    <row r="249" spans="1:9" ht="16.5">
      <c r="A249" s="7" t="s">
        <v>1641</v>
      </c>
      <c r="B249" s="8" t="s">
        <v>6608</v>
      </c>
      <c r="C249" s="9" t="s">
        <v>3481</v>
      </c>
      <c r="D249" s="104"/>
      <c r="E249" s="104"/>
      <c r="F249" s="105">
        <f t="shared" si="7"/>
        <v>0</v>
      </c>
      <c r="G249" s="106">
        <f t="shared" si="6"/>
        <v>0</v>
      </c>
      <c r="H249" s="81">
        <v>4.5199999999999997E-2</v>
      </c>
      <c r="I249" s="2619" t="s">
        <v>1146</v>
      </c>
    </row>
    <row r="250" spans="1:9" ht="16.5">
      <c r="A250" s="7" t="s">
        <v>1642</v>
      </c>
      <c r="B250" s="8" t="s">
        <v>6609</v>
      </c>
      <c r="C250" s="9" t="s">
        <v>3481</v>
      </c>
      <c r="D250" s="104"/>
      <c r="E250" s="104"/>
      <c r="F250" s="105">
        <f t="shared" si="7"/>
        <v>0</v>
      </c>
      <c r="G250" s="106">
        <f t="shared" si="6"/>
        <v>0</v>
      </c>
      <c r="H250" s="81">
        <v>0.1239</v>
      </c>
      <c r="I250" s="2619" t="s">
        <v>1146</v>
      </c>
    </row>
    <row r="251" spans="1:9" ht="16.5">
      <c r="A251" s="7" t="s">
        <v>1643</v>
      </c>
      <c r="B251" s="8" t="s">
        <v>6610</v>
      </c>
      <c r="C251" s="9" t="s">
        <v>3481</v>
      </c>
      <c r="D251" s="104"/>
      <c r="E251" s="104"/>
      <c r="F251" s="105">
        <f t="shared" si="7"/>
        <v>0</v>
      </c>
      <c r="G251" s="106">
        <f t="shared" si="6"/>
        <v>0</v>
      </c>
      <c r="H251" s="81">
        <v>0.42080000000000001</v>
      </c>
      <c r="I251" s="2619" t="s">
        <v>1146</v>
      </c>
    </row>
    <row r="252" spans="1:9" ht="16.5">
      <c r="A252" s="7" t="s">
        <v>1644</v>
      </c>
      <c r="B252" s="8" t="s">
        <v>6611</v>
      </c>
      <c r="C252" s="9" t="s">
        <v>3481</v>
      </c>
      <c r="D252" s="104"/>
      <c r="E252" s="104"/>
      <c r="F252" s="105">
        <f t="shared" si="7"/>
        <v>0</v>
      </c>
      <c r="G252" s="106">
        <f t="shared" si="6"/>
        <v>0</v>
      </c>
      <c r="H252" s="81">
        <v>0.2064</v>
      </c>
      <c r="I252" s="2619" t="s">
        <v>1146</v>
      </c>
    </row>
    <row r="253" spans="1:9" ht="16.5">
      <c r="A253" s="7" t="s">
        <v>1645</v>
      </c>
      <c r="B253" s="8" t="s">
        <v>6612</v>
      </c>
      <c r="C253" s="9" t="s">
        <v>3481</v>
      </c>
      <c r="D253" s="104"/>
      <c r="E253" s="104"/>
      <c r="F253" s="105">
        <f t="shared" si="7"/>
        <v>0</v>
      </c>
      <c r="G253" s="106">
        <f t="shared" si="6"/>
        <v>0</v>
      </c>
      <c r="H253" s="81">
        <v>0.58160000000000001</v>
      </c>
      <c r="I253" s="2619" t="s">
        <v>1146</v>
      </c>
    </row>
    <row r="254" spans="1:9" ht="16.5">
      <c r="A254" s="7" t="s">
        <v>1646</v>
      </c>
      <c r="B254" s="8" t="s">
        <v>6613</v>
      </c>
      <c r="C254" s="9" t="s">
        <v>3481</v>
      </c>
      <c r="D254" s="104"/>
      <c r="E254" s="104"/>
      <c r="F254" s="105">
        <f t="shared" si="7"/>
        <v>0</v>
      </c>
      <c r="G254" s="106">
        <f t="shared" si="6"/>
        <v>0</v>
      </c>
      <c r="H254" s="81">
        <v>0.2394</v>
      </c>
      <c r="I254" s="2619" t="s">
        <v>1146</v>
      </c>
    </row>
    <row r="255" spans="1:9" ht="16.5">
      <c r="A255" s="7" t="s">
        <v>1647</v>
      </c>
      <c r="B255" s="8" t="s">
        <v>6614</v>
      </c>
      <c r="C255" s="9" t="s">
        <v>3481</v>
      </c>
      <c r="D255" s="104"/>
      <c r="E255" s="104"/>
      <c r="F255" s="105">
        <f t="shared" si="7"/>
        <v>0</v>
      </c>
      <c r="G255" s="106">
        <f t="shared" si="6"/>
        <v>0</v>
      </c>
      <c r="H255" s="81">
        <v>0.53200000000000003</v>
      </c>
      <c r="I255" s="2619" t="s">
        <v>1146</v>
      </c>
    </row>
    <row r="256" spans="1:9" ht="16.5">
      <c r="A256" s="7" t="s">
        <v>1648</v>
      </c>
      <c r="B256" s="8" t="s">
        <v>6615</v>
      </c>
      <c r="C256" s="9" t="s">
        <v>3481</v>
      </c>
      <c r="D256" s="104"/>
      <c r="E256" s="104"/>
      <c r="F256" s="105">
        <f t="shared" si="7"/>
        <v>0</v>
      </c>
      <c r="G256" s="106">
        <f t="shared" si="6"/>
        <v>0</v>
      </c>
      <c r="H256" s="81">
        <v>0.39700000000000002</v>
      </c>
      <c r="I256" s="2619" t="s">
        <v>1146</v>
      </c>
    </row>
    <row r="257" spans="1:9" ht="16.5">
      <c r="A257" s="7" t="s">
        <v>1649</v>
      </c>
      <c r="B257" s="8" t="s">
        <v>6616</v>
      </c>
      <c r="C257" s="9" t="s">
        <v>3481</v>
      </c>
      <c r="D257" s="104"/>
      <c r="E257" s="104"/>
      <c r="F257" s="105">
        <f t="shared" si="7"/>
        <v>0</v>
      </c>
      <c r="G257" s="106">
        <f t="shared" si="6"/>
        <v>0</v>
      </c>
      <c r="H257" s="81">
        <v>0.44940000000000002</v>
      </c>
      <c r="I257" s="2619" t="s">
        <v>1146</v>
      </c>
    </row>
    <row r="258" spans="1:9" ht="16.5">
      <c r="A258" s="7" t="s">
        <v>1650</v>
      </c>
      <c r="B258" s="8" t="s">
        <v>6617</v>
      </c>
      <c r="C258" s="9" t="s">
        <v>3481</v>
      </c>
      <c r="D258" s="104"/>
      <c r="E258" s="104"/>
      <c r="F258" s="105">
        <f t="shared" si="7"/>
        <v>0</v>
      </c>
      <c r="G258" s="106">
        <f t="shared" si="6"/>
        <v>0</v>
      </c>
      <c r="H258" s="81">
        <v>0.49220000000000003</v>
      </c>
      <c r="I258" s="2619" t="s">
        <v>1146</v>
      </c>
    </row>
    <row r="259" spans="1:9" ht="16.5">
      <c r="A259" s="7" t="s">
        <v>1651</v>
      </c>
      <c r="B259" s="8" t="s">
        <v>6618</v>
      </c>
      <c r="C259" s="9" t="s">
        <v>3481</v>
      </c>
      <c r="D259" s="104"/>
      <c r="E259" s="104"/>
      <c r="F259" s="105">
        <f t="shared" si="7"/>
        <v>0</v>
      </c>
      <c r="G259" s="106">
        <f t="shared" si="6"/>
        <v>0</v>
      </c>
      <c r="H259" s="81">
        <v>0.47320000000000001</v>
      </c>
      <c r="I259" s="2619" t="s">
        <v>1146</v>
      </c>
    </row>
    <row r="260" spans="1:9" ht="16.5">
      <c r="A260" s="7" t="s">
        <v>1652</v>
      </c>
      <c r="B260" s="8" t="s">
        <v>6619</v>
      </c>
      <c r="C260" s="9" t="s">
        <v>3481</v>
      </c>
      <c r="D260" s="104"/>
      <c r="E260" s="104"/>
      <c r="F260" s="105">
        <f t="shared" si="7"/>
        <v>0</v>
      </c>
      <c r="G260" s="106">
        <f t="shared" ref="G260:G323" si="8">IF($F$1265=0,0,F260/$F$1265)</f>
        <v>0</v>
      </c>
      <c r="H260" s="81">
        <v>8.7099999999999997E-2</v>
      </c>
      <c r="I260" s="2619" t="s">
        <v>1146</v>
      </c>
    </row>
    <row r="261" spans="1:9" ht="16.5">
      <c r="A261" s="7" t="s">
        <v>1653</v>
      </c>
      <c r="B261" s="8" t="s">
        <v>6620</v>
      </c>
      <c r="C261" s="9" t="s">
        <v>3481</v>
      </c>
      <c r="D261" s="104"/>
      <c r="E261" s="104"/>
      <c r="F261" s="105">
        <f t="shared" ref="F261:F324" si="9">D261*E261</f>
        <v>0</v>
      </c>
      <c r="G261" s="106">
        <f t="shared" si="8"/>
        <v>0</v>
      </c>
      <c r="H261" s="81">
        <v>0.49580000000000002</v>
      </c>
      <c r="I261" s="2619" t="s">
        <v>1146</v>
      </c>
    </row>
    <row r="262" spans="1:9" ht="16.5">
      <c r="A262" s="7" t="s">
        <v>1654</v>
      </c>
      <c r="B262" s="8" t="s">
        <v>6621</v>
      </c>
      <c r="C262" s="9" t="s">
        <v>3481</v>
      </c>
      <c r="D262" s="104"/>
      <c r="E262" s="104"/>
      <c r="F262" s="105">
        <f t="shared" si="9"/>
        <v>0</v>
      </c>
      <c r="G262" s="106">
        <f t="shared" si="8"/>
        <v>0</v>
      </c>
      <c r="H262" s="81">
        <v>0.18729999999999999</v>
      </c>
      <c r="I262" s="2619" t="s">
        <v>1146</v>
      </c>
    </row>
    <row r="263" spans="1:9" ht="16.5">
      <c r="A263" s="7" t="s">
        <v>1655</v>
      </c>
      <c r="B263" s="8" t="s">
        <v>6622</v>
      </c>
      <c r="C263" s="9" t="s">
        <v>3481</v>
      </c>
      <c r="D263" s="104"/>
      <c r="E263" s="104"/>
      <c r="F263" s="105">
        <f t="shared" si="9"/>
        <v>0</v>
      </c>
      <c r="G263" s="106">
        <f t="shared" si="8"/>
        <v>0</v>
      </c>
      <c r="H263" s="81">
        <v>0.60370000000000001</v>
      </c>
      <c r="I263" s="2619" t="s">
        <v>1146</v>
      </c>
    </row>
    <row r="264" spans="1:9" ht="16.5">
      <c r="A264" s="7" t="s">
        <v>1656</v>
      </c>
      <c r="B264" s="8" t="s">
        <v>6623</v>
      </c>
      <c r="C264" s="9" t="s">
        <v>3481</v>
      </c>
      <c r="D264" s="104"/>
      <c r="E264" s="104"/>
      <c r="F264" s="105">
        <f t="shared" si="9"/>
        <v>0</v>
      </c>
      <c r="G264" s="106">
        <f t="shared" si="8"/>
        <v>0</v>
      </c>
      <c r="H264" s="81">
        <v>0.31969999999999998</v>
      </c>
      <c r="I264" s="2619" t="s">
        <v>1146</v>
      </c>
    </row>
    <row r="265" spans="1:9" ht="16.5">
      <c r="A265" s="7" t="s">
        <v>1657</v>
      </c>
      <c r="B265" s="8" t="s">
        <v>6624</v>
      </c>
      <c r="C265" s="9" t="s">
        <v>3481</v>
      </c>
      <c r="D265" s="104"/>
      <c r="E265" s="104"/>
      <c r="F265" s="105">
        <f t="shared" si="9"/>
        <v>0</v>
      </c>
      <c r="G265" s="106">
        <f t="shared" si="8"/>
        <v>0</v>
      </c>
      <c r="H265" s="81">
        <v>0.37209999999999999</v>
      </c>
      <c r="I265" s="2619" t="s">
        <v>1146</v>
      </c>
    </row>
    <row r="266" spans="1:9" ht="16.5">
      <c r="A266" s="7" t="s">
        <v>1658</v>
      </c>
      <c r="B266" s="8" t="s">
        <v>6625</v>
      </c>
      <c r="C266" s="9" t="s">
        <v>3481</v>
      </c>
      <c r="D266" s="104"/>
      <c r="E266" s="104"/>
      <c r="F266" s="105">
        <f t="shared" si="9"/>
        <v>0</v>
      </c>
      <c r="G266" s="106">
        <f t="shared" si="8"/>
        <v>0</v>
      </c>
      <c r="H266" s="81">
        <v>0.28620000000000001</v>
      </c>
      <c r="I266" s="2619" t="s">
        <v>1146</v>
      </c>
    </row>
    <row r="267" spans="1:9" ht="16.5">
      <c r="A267" s="7" t="s">
        <v>1659</v>
      </c>
      <c r="B267" s="8" t="s">
        <v>6626</v>
      </c>
      <c r="C267" s="9" t="s">
        <v>3481</v>
      </c>
      <c r="D267" s="104"/>
      <c r="E267" s="104"/>
      <c r="F267" s="105">
        <f t="shared" si="9"/>
        <v>0</v>
      </c>
      <c r="G267" s="106">
        <f t="shared" si="8"/>
        <v>0</v>
      </c>
      <c r="H267" s="81">
        <v>0.3639</v>
      </c>
      <c r="I267" s="2619" t="s">
        <v>1146</v>
      </c>
    </row>
    <row r="268" spans="1:9" ht="16.5">
      <c r="A268" s="7" t="s">
        <v>1660</v>
      </c>
      <c r="B268" s="8" t="s">
        <v>6627</v>
      </c>
      <c r="C268" s="9" t="s">
        <v>3481</v>
      </c>
      <c r="D268" s="104"/>
      <c r="E268" s="104"/>
      <c r="F268" s="105">
        <f t="shared" si="9"/>
        <v>0</v>
      </c>
      <c r="G268" s="106">
        <f t="shared" si="8"/>
        <v>0</v>
      </c>
      <c r="H268" s="81">
        <v>0.4199</v>
      </c>
      <c r="I268" s="2619" t="s">
        <v>1146</v>
      </c>
    </row>
    <row r="269" spans="1:9" ht="16.5">
      <c r="A269" s="7" t="s">
        <v>1661</v>
      </c>
      <c r="B269" s="8" t="s">
        <v>6628</v>
      </c>
      <c r="C269" s="9" t="s">
        <v>3481</v>
      </c>
      <c r="D269" s="104"/>
      <c r="E269" s="104"/>
      <c r="F269" s="105">
        <f t="shared" si="9"/>
        <v>0</v>
      </c>
      <c r="G269" s="106">
        <f t="shared" si="8"/>
        <v>0</v>
      </c>
      <c r="H269" s="81">
        <v>0.37180000000000002</v>
      </c>
      <c r="I269" s="2619" t="s">
        <v>1146</v>
      </c>
    </row>
    <row r="270" spans="1:9" ht="16.5">
      <c r="A270" s="7" t="s">
        <v>1662</v>
      </c>
      <c r="B270" s="8" t="s">
        <v>6629</v>
      </c>
      <c r="C270" s="9" t="s">
        <v>3481</v>
      </c>
      <c r="D270" s="104"/>
      <c r="E270" s="104"/>
      <c r="F270" s="105">
        <f t="shared" si="9"/>
        <v>0</v>
      </c>
      <c r="G270" s="106">
        <f t="shared" si="8"/>
        <v>0</v>
      </c>
      <c r="H270" s="81">
        <v>0.48480000000000001</v>
      </c>
      <c r="I270" s="2619" t="s">
        <v>1146</v>
      </c>
    </row>
    <row r="271" spans="1:9" ht="16.5">
      <c r="A271" s="7" t="s">
        <v>1663</v>
      </c>
      <c r="B271" s="8" t="s">
        <v>6630</v>
      </c>
      <c r="C271" s="9" t="s">
        <v>3481</v>
      </c>
      <c r="D271" s="104"/>
      <c r="E271" s="104"/>
      <c r="F271" s="105">
        <f t="shared" si="9"/>
        <v>0</v>
      </c>
      <c r="G271" s="106">
        <f t="shared" si="8"/>
        <v>0</v>
      </c>
      <c r="H271" s="81">
        <v>0.1731</v>
      </c>
      <c r="I271" s="2619" t="s">
        <v>1146</v>
      </c>
    </row>
    <row r="272" spans="1:9" ht="16.5">
      <c r="A272" s="7" t="s">
        <v>1664</v>
      </c>
      <c r="B272" s="8" t="s">
        <v>6631</v>
      </c>
      <c r="C272" s="9" t="s">
        <v>3481</v>
      </c>
      <c r="D272" s="104"/>
      <c r="E272" s="104"/>
      <c r="F272" s="105">
        <f t="shared" si="9"/>
        <v>0</v>
      </c>
      <c r="G272" s="106">
        <f t="shared" si="8"/>
        <v>0</v>
      </c>
      <c r="H272" s="81">
        <v>0.41899999999999998</v>
      </c>
      <c r="I272" s="2619" t="s">
        <v>1146</v>
      </c>
    </row>
    <row r="273" spans="1:9" ht="16.5">
      <c r="A273" s="7" t="s">
        <v>1665</v>
      </c>
      <c r="B273" s="8" t="s">
        <v>6632</v>
      </c>
      <c r="C273" s="9" t="s">
        <v>3481</v>
      </c>
      <c r="D273" s="104"/>
      <c r="E273" s="104"/>
      <c r="F273" s="105">
        <f t="shared" si="9"/>
        <v>0</v>
      </c>
      <c r="G273" s="106">
        <f t="shared" si="8"/>
        <v>0</v>
      </c>
      <c r="H273" s="81">
        <v>0.35289999999999999</v>
      </c>
      <c r="I273" s="2619" t="s">
        <v>1146</v>
      </c>
    </row>
    <row r="274" spans="1:9" ht="16.5">
      <c r="A274" s="7" t="s">
        <v>1666</v>
      </c>
      <c r="B274" s="8" t="s">
        <v>6633</v>
      </c>
      <c r="C274" s="9" t="s">
        <v>3481</v>
      </c>
      <c r="D274" s="104"/>
      <c r="E274" s="104"/>
      <c r="F274" s="105">
        <f t="shared" si="9"/>
        <v>0</v>
      </c>
      <c r="G274" s="106">
        <f t="shared" si="8"/>
        <v>0</v>
      </c>
      <c r="H274" s="81">
        <v>0.15440000000000001</v>
      </c>
      <c r="I274" s="2619" t="s">
        <v>1146</v>
      </c>
    </row>
    <row r="275" spans="1:9" ht="16.5">
      <c r="A275" s="7" t="s">
        <v>1667</v>
      </c>
      <c r="B275" s="8" t="s">
        <v>6634</v>
      </c>
      <c r="C275" s="9" t="s">
        <v>3481</v>
      </c>
      <c r="D275" s="104"/>
      <c r="E275" s="104"/>
      <c r="F275" s="105">
        <f t="shared" si="9"/>
        <v>0</v>
      </c>
      <c r="G275" s="106">
        <f t="shared" si="8"/>
        <v>0</v>
      </c>
      <c r="H275" s="81">
        <v>0.44469999999999998</v>
      </c>
      <c r="I275" s="2619" t="s">
        <v>1146</v>
      </c>
    </row>
    <row r="276" spans="1:9" ht="16.5">
      <c r="A276" s="7" t="s">
        <v>1668</v>
      </c>
      <c r="B276" s="8" t="s">
        <v>6635</v>
      </c>
      <c r="C276" s="9" t="s">
        <v>3481</v>
      </c>
      <c r="D276" s="104"/>
      <c r="E276" s="104"/>
      <c r="F276" s="105">
        <f t="shared" si="9"/>
        <v>0</v>
      </c>
      <c r="G276" s="106">
        <f t="shared" si="8"/>
        <v>0</v>
      </c>
      <c r="H276" s="81">
        <v>0.28799999999999998</v>
      </c>
      <c r="I276" s="2619" t="s">
        <v>1146</v>
      </c>
    </row>
    <row r="277" spans="1:9" ht="16.5">
      <c r="A277" s="7" t="s">
        <v>1669</v>
      </c>
      <c r="B277" s="8" t="s">
        <v>6636</v>
      </c>
      <c r="C277" s="9" t="s">
        <v>3481</v>
      </c>
      <c r="D277" s="104"/>
      <c r="E277" s="104"/>
      <c r="F277" s="105">
        <f t="shared" si="9"/>
        <v>0</v>
      </c>
      <c r="G277" s="106">
        <f t="shared" si="8"/>
        <v>0</v>
      </c>
      <c r="H277" s="81">
        <v>0.44330000000000003</v>
      </c>
      <c r="I277" s="2619" t="s">
        <v>1146</v>
      </c>
    </row>
    <row r="278" spans="1:9" ht="16.5">
      <c r="A278" s="7" t="s">
        <v>1670</v>
      </c>
      <c r="B278" s="8" t="s">
        <v>6637</v>
      </c>
      <c r="C278" s="9" t="s">
        <v>3481</v>
      </c>
      <c r="D278" s="104"/>
      <c r="E278" s="104"/>
      <c r="F278" s="105">
        <f t="shared" si="9"/>
        <v>0</v>
      </c>
      <c r="G278" s="106">
        <f t="shared" si="8"/>
        <v>0</v>
      </c>
      <c r="H278" s="81">
        <v>0.4325</v>
      </c>
      <c r="I278" s="2619" t="s">
        <v>1146</v>
      </c>
    </row>
    <row r="279" spans="1:9" ht="16.5">
      <c r="A279" s="7" t="s">
        <v>1671</v>
      </c>
      <c r="B279" s="8" t="s">
        <v>6638</v>
      </c>
      <c r="C279" s="9" t="s">
        <v>3481</v>
      </c>
      <c r="D279" s="104"/>
      <c r="E279" s="104"/>
      <c r="F279" s="105">
        <f t="shared" si="9"/>
        <v>0</v>
      </c>
      <c r="G279" s="106">
        <f t="shared" si="8"/>
        <v>0</v>
      </c>
      <c r="H279" s="81">
        <v>0.3387</v>
      </c>
      <c r="I279" s="2619" t="s">
        <v>1146</v>
      </c>
    </row>
    <row r="280" spans="1:9" ht="16.5">
      <c r="A280" s="7" t="s">
        <v>1672</v>
      </c>
      <c r="B280" s="8" t="s">
        <v>6639</v>
      </c>
      <c r="C280" s="9" t="s">
        <v>3481</v>
      </c>
      <c r="D280" s="104"/>
      <c r="E280" s="104"/>
      <c r="F280" s="105">
        <f t="shared" si="9"/>
        <v>0</v>
      </c>
      <c r="G280" s="106">
        <f t="shared" si="8"/>
        <v>0</v>
      </c>
      <c r="H280" s="81">
        <v>0.36919999999999997</v>
      </c>
      <c r="I280" s="2619" t="s">
        <v>1146</v>
      </c>
    </row>
    <row r="281" spans="1:9" ht="16.5">
      <c r="A281" s="7" t="s">
        <v>1673</v>
      </c>
      <c r="B281" s="8" t="s">
        <v>6640</v>
      </c>
      <c r="C281" s="9" t="s">
        <v>3481</v>
      </c>
      <c r="D281" s="104"/>
      <c r="E281" s="104"/>
      <c r="F281" s="105">
        <f t="shared" si="9"/>
        <v>0</v>
      </c>
      <c r="G281" s="106">
        <f t="shared" si="8"/>
        <v>0</v>
      </c>
      <c r="H281" s="81">
        <v>0.3841</v>
      </c>
      <c r="I281" s="2619" t="s">
        <v>1146</v>
      </c>
    </row>
    <row r="282" spans="1:9" ht="16.5">
      <c r="A282" s="7" t="s">
        <v>1674</v>
      </c>
      <c r="B282" s="8" t="s">
        <v>6641</v>
      </c>
      <c r="C282" s="9" t="s">
        <v>3481</v>
      </c>
      <c r="D282" s="104"/>
      <c r="E282" s="104"/>
      <c r="F282" s="105">
        <f t="shared" si="9"/>
        <v>0</v>
      </c>
      <c r="G282" s="106">
        <f t="shared" si="8"/>
        <v>0</v>
      </c>
      <c r="H282" s="81">
        <v>0.25740000000000002</v>
      </c>
      <c r="I282" s="2619" t="s">
        <v>1146</v>
      </c>
    </row>
    <row r="283" spans="1:9" ht="16.5">
      <c r="A283" s="7" t="s">
        <v>1675</v>
      </c>
      <c r="B283" s="8" t="s">
        <v>6642</v>
      </c>
      <c r="C283" s="9" t="s">
        <v>3481</v>
      </c>
      <c r="D283" s="104"/>
      <c r="E283" s="104"/>
      <c r="F283" s="105">
        <f t="shared" si="9"/>
        <v>0</v>
      </c>
      <c r="G283" s="106">
        <f t="shared" si="8"/>
        <v>0</v>
      </c>
      <c r="H283" s="81">
        <v>0.45229999999999998</v>
      </c>
      <c r="I283" s="2619" t="s">
        <v>1146</v>
      </c>
    </row>
    <row r="284" spans="1:9" ht="16.5">
      <c r="A284" s="7" t="s">
        <v>1676</v>
      </c>
      <c r="B284" s="8" t="s">
        <v>6643</v>
      </c>
      <c r="C284" s="9" t="s">
        <v>3481</v>
      </c>
      <c r="D284" s="104"/>
      <c r="E284" s="104"/>
      <c r="F284" s="105">
        <f t="shared" si="9"/>
        <v>0</v>
      </c>
      <c r="G284" s="106">
        <f t="shared" si="8"/>
        <v>0</v>
      </c>
      <c r="H284" s="81">
        <v>1.1329</v>
      </c>
      <c r="I284" s="2619" t="s">
        <v>1146</v>
      </c>
    </row>
    <row r="285" spans="1:9" ht="16.5">
      <c r="A285" s="7" t="s">
        <v>1677</v>
      </c>
      <c r="B285" s="8" t="s">
        <v>6644</v>
      </c>
      <c r="C285" s="9" t="s">
        <v>3481</v>
      </c>
      <c r="D285" s="104"/>
      <c r="E285" s="104"/>
      <c r="F285" s="105">
        <f t="shared" si="9"/>
        <v>0</v>
      </c>
      <c r="G285" s="106">
        <f t="shared" si="8"/>
        <v>0</v>
      </c>
      <c r="H285" s="81">
        <v>1.0585</v>
      </c>
      <c r="I285" s="2619" t="s">
        <v>1146</v>
      </c>
    </row>
    <row r="286" spans="1:9" ht="16.5">
      <c r="A286" s="7" t="s">
        <v>1678</v>
      </c>
      <c r="B286" s="8" t="s">
        <v>6645</v>
      </c>
      <c r="C286" s="9" t="s">
        <v>3481</v>
      </c>
      <c r="D286" s="104"/>
      <c r="E286" s="104"/>
      <c r="F286" s="105">
        <f t="shared" si="9"/>
        <v>0</v>
      </c>
      <c r="G286" s="106">
        <f t="shared" si="8"/>
        <v>0</v>
      </c>
      <c r="H286" s="81">
        <v>0.37</v>
      </c>
      <c r="I286" s="2619" t="s">
        <v>1146</v>
      </c>
    </row>
    <row r="287" spans="1:9" ht="16.5">
      <c r="A287" s="7" t="s">
        <v>1679</v>
      </c>
      <c r="B287" s="8" t="s">
        <v>6646</v>
      </c>
      <c r="C287" s="9" t="s">
        <v>3481</v>
      </c>
      <c r="D287" s="104"/>
      <c r="E287" s="104"/>
      <c r="F287" s="105">
        <f t="shared" si="9"/>
        <v>0</v>
      </c>
      <c r="G287" s="106">
        <f t="shared" si="8"/>
        <v>0</v>
      </c>
      <c r="H287" s="81">
        <v>0.2671</v>
      </c>
      <c r="I287" s="2619" t="s">
        <v>1146</v>
      </c>
    </row>
    <row r="288" spans="1:9" ht="16.5">
      <c r="A288" s="7" t="s">
        <v>1680</v>
      </c>
      <c r="B288" s="8" t="s">
        <v>6647</v>
      </c>
      <c r="C288" s="9" t="s">
        <v>3481</v>
      </c>
      <c r="D288" s="104"/>
      <c r="E288" s="104"/>
      <c r="F288" s="105">
        <f t="shared" si="9"/>
        <v>0</v>
      </c>
      <c r="G288" s="106">
        <f t="shared" si="8"/>
        <v>0</v>
      </c>
      <c r="H288" s="81">
        <v>0.32340000000000002</v>
      </c>
      <c r="I288" s="2619" t="s">
        <v>1146</v>
      </c>
    </row>
    <row r="289" spans="1:9" ht="16.5">
      <c r="A289" s="7" t="s">
        <v>1681</v>
      </c>
      <c r="B289" s="8" t="s">
        <v>6648</v>
      </c>
      <c r="C289" s="9" t="s">
        <v>3481</v>
      </c>
      <c r="D289" s="104"/>
      <c r="E289" s="104"/>
      <c r="F289" s="105">
        <f t="shared" si="9"/>
        <v>0</v>
      </c>
      <c r="G289" s="106">
        <f t="shared" si="8"/>
        <v>0</v>
      </c>
      <c r="H289" s="81">
        <v>0.23949999999999999</v>
      </c>
      <c r="I289" s="2619" t="s">
        <v>1146</v>
      </c>
    </row>
    <row r="290" spans="1:9" ht="16.5">
      <c r="A290" s="7" t="s">
        <v>1682</v>
      </c>
      <c r="B290" s="8" t="s">
        <v>6649</v>
      </c>
      <c r="C290" s="9" t="s">
        <v>3481</v>
      </c>
      <c r="D290" s="104"/>
      <c r="E290" s="104"/>
      <c r="F290" s="105">
        <f t="shared" si="9"/>
        <v>0</v>
      </c>
      <c r="G290" s="106">
        <f t="shared" si="8"/>
        <v>0</v>
      </c>
      <c r="H290" s="81">
        <v>0.3987</v>
      </c>
      <c r="I290" s="2619" t="s">
        <v>1146</v>
      </c>
    </row>
    <row r="291" spans="1:9" ht="16.5">
      <c r="A291" s="7" t="s">
        <v>1683</v>
      </c>
      <c r="B291" s="8" t="s">
        <v>6650</v>
      </c>
      <c r="C291" s="9" t="s">
        <v>3481</v>
      </c>
      <c r="D291" s="104"/>
      <c r="E291" s="104"/>
      <c r="F291" s="105">
        <f t="shared" si="9"/>
        <v>0</v>
      </c>
      <c r="G291" s="106">
        <f t="shared" si="8"/>
        <v>0</v>
      </c>
      <c r="H291" s="81">
        <v>0.35260000000000002</v>
      </c>
      <c r="I291" s="2619" t="s">
        <v>1146</v>
      </c>
    </row>
    <row r="292" spans="1:9" ht="16.5">
      <c r="A292" s="7" t="s">
        <v>1684</v>
      </c>
      <c r="B292" s="8" t="s">
        <v>6651</v>
      </c>
      <c r="C292" s="9" t="s">
        <v>3481</v>
      </c>
      <c r="D292" s="104"/>
      <c r="E292" s="104"/>
      <c r="F292" s="105">
        <f t="shared" si="9"/>
        <v>0</v>
      </c>
      <c r="G292" s="106">
        <f t="shared" si="8"/>
        <v>0</v>
      </c>
      <c r="H292" s="81">
        <v>0.50180000000000002</v>
      </c>
      <c r="I292" s="2619" t="s">
        <v>1146</v>
      </c>
    </row>
    <row r="293" spans="1:9" ht="16.5">
      <c r="A293" s="7" t="s">
        <v>1685</v>
      </c>
      <c r="B293" s="8" t="s">
        <v>6652</v>
      </c>
      <c r="C293" s="9" t="s">
        <v>3481</v>
      </c>
      <c r="D293" s="104"/>
      <c r="E293" s="104"/>
      <c r="F293" s="105">
        <f t="shared" si="9"/>
        <v>0</v>
      </c>
      <c r="G293" s="106">
        <f t="shared" si="8"/>
        <v>0</v>
      </c>
      <c r="H293" s="81">
        <v>0.36080000000000001</v>
      </c>
      <c r="I293" s="2619" t="s">
        <v>1146</v>
      </c>
    </row>
    <row r="294" spans="1:9" ht="16.5">
      <c r="A294" s="7" t="s">
        <v>1686</v>
      </c>
      <c r="B294" s="8" t="s">
        <v>6653</v>
      </c>
      <c r="C294" s="9" t="s">
        <v>3481</v>
      </c>
      <c r="D294" s="104"/>
      <c r="E294" s="104"/>
      <c r="F294" s="105">
        <f t="shared" si="9"/>
        <v>0</v>
      </c>
      <c r="G294" s="106">
        <f t="shared" si="8"/>
        <v>0</v>
      </c>
      <c r="H294" s="81">
        <v>0.22090000000000001</v>
      </c>
      <c r="I294" s="2619" t="s">
        <v>1146</v>
      </c>
    </row>
    <row r="295" spans="1:9" ht="16.5">
      <c r="A295" s="7" t="s">
        <v>1687</v>
      </c>
      <c r="B295" s="8" t="s">
        <v>6654</v>
      </c>
      <c r="C295" s="9" t="s">
        <v>3481</v>
      </c>
      <c r="D295" s="104"/>
      <c r="E295" s="104"/>
      <c r="F295" s="105">
        <f t="shared" si="9"/>
        <v>0</v>
      </c>
      <c r="G295" s="106">
        <f t="shared" si="8"/>
        <v>0</v>
      </c>
      <c r="H295" s="81">
        <v>0.4113</v>
      </c>
      <c r="I295" s="2619" t="s">
        <v>1146</v>
      </c>
    </row>
    <row r="296" spans="1:9" ht="16.5">
      <c r="A296" s="7" t="s">
        <v>1688</v>
      </c>
      <c r="B296" s="8" t="s">
        <v>6655</v>
      </c>
      <c r="C296" s="9" t="s">
        <v>3481</v>
      </c>
      <c r="D296" s="104"/>
      <c r="E296" s="104"/>
      <c r="F296" s="105">
        <f t="shared" si="9"/>
        <v>0</v>
      </c>
      <c r="G296" s="106">
        <f t="shared" si="8"/>
        <v>0</v>
      </c>
      <c r="H296" s="81">
        <v>0.15659999999999999</v>
      </c>
      <c r="I296" s="2619" t="s">
        <v>1146</v>
      </c>
    </row>
    <row r="297" spans="1:9" ht="16.5">
      <c r="A297" s="7" t="s">
        <v>1689</v>
      </c>
      <c r="B297" s="8" t="s">
        <v>6656</v>
      </c>
      <c r="C297" s="9" t="s">
        <v>3481</v>
      </c>
      <c r="D297" s="104"/>
      <c r="E297" s="104"/>
      <c r="F297" s="105">
        <f t="shared" si="9"/>
        <v>0</v>
      </c>
      <c r="G297" s="106">
        <f t="shared" si="8"/>
        <v>0</v>
      </c>
      <c r="H297" s="81">
        <v>0.35610000000000003</v>
      </c>
      <c r="I297" s="2619" t="s">
        <v>1146</v>
      </c>
    </row>
    <row r="298" spans="1:9" ht="16.5">
      <c r="A298" s="7" t="s">
        <v>1690</v>
      </c>
      <c r="B298" s="8" t="s">
        <v>6657</v>
      </c>
      <c r="C298" s="9" t="s">
        <v>3481</v>
      </c>
      <c r="D298" s="104"/>
      <c r="E298" s="104"/>
      <c r="F298" s="105">
        <f t="shared" si="9"/>
        <v>0</v>
      </c>
      <c r="G298" s="106">
        <f t="shared" si="8"/>
        <v>0</v>
      </c>
      <c r="H298" s="81">
        <v>0.24709999999999999</v>
      </c>
      <c r="I298" s="2619" t="s">
        <v>1146</v>
      </c>
    </row>
    <row r="299" spans="1:9" ht="16.5">
      <c r="A299" s="7" t="s">
        <v>1691</v>
      </c>
      <c r="B299" s="8" t="s">
        <v>6658</v>
      </c>
      <c r="C299" s="9" t="s">
        <v>3481</v>
      </c>
      <c r="D299" s="104"/>
      <c r="E299" s="104"/>
      <c r="F299" s="105">
        <f t="shared" si="9"/>
        <v>0</v>
      </c>
      <c r="G299" s="106">
        <f t="shared" si="8"/>
        <v>0</v>
      </c>
      <c r="H299" s="81">
        <v>1.1714</v>
      </c>
      <c r="I299" s="2619" t="s">
        <v>1146</v>
      </c>
    </row>
    <row r="300" spans="1:9" ht="16.5">
      <c r="A300" s="7" t="s">
        <v>1692</v>
      </c>
      <c r="B300" s="8" t="s">
        <v>6659</v>
      </c>
      <c r="C300" s="9" t="s">
        <v>3481</v>
      </c>
      <c r="D300" s="104"/>
      <c r="E300" s="104"/>
      <c r="F300" s="105">
        <f t="shared" si="9"/>
        <v>0</v>
      </c>
      <c r="G300" s="106">
        <f t="shared" si="8"/>
        <v>0</v>
      </c>
      <c r="H300" s="81">
        <v>1.0071000000000001</v>
      </c>
      <c r="I300" s="2619" t="s">
        <v>1146</v>
      </c>
    </row>
    <row r="301" spans="1:9" ht="16.5">
      <c r="A301" s="7" t="s">
        <v>1693</v>
      </c>
      <c r="B301" s="8" t="s">
        <v>6660</v>
      </c>
      <c r="C301" s="9" t="s">
        <v>3481</v>
      </c>
      <c r="D301" s="104"/>
      <c r="E301" s="104"/>
      <c r="F301" s="105">
        <f t="shared" si="9"/>
        <v>0</v>
      </c>
      <c r="G301" s="106">
        <f t="shared" si="8"/>
        <v>0</v>
      </c>
      <c r="H301" s="81">
        <v>1.0432999999999999</v>
      </c>
      <c r="I301" s="2619" t="s">
        <v>1146</v>
      </c>
    </row>
    <row r="302" spans="1:9" ht="16.5">
      <c r="A302" s="7" t="s">
        <v>1694</v>
      </c>
      <c r="B302" s="8" t="s">
        <v>6661</v>
      </c>
      <c r="C302" s="9" t="s">
        <v>3481</v>
      </c>
      <c r="D302" s="104"/>
      <c r="E302" s="104"/>
      <c r="F302" s="105">
        <f t="shared" si="9"/>
        <v>0</v>
      </c>
      <c r="G302" s="106">
        <f t="shared" si="8"/>
        <v>0</v>
      </c>
      <c r="H302" s="81">
        <v>1.3089</v>
      </c>
      <c r="I302" s="2619" t="s">
        <v>1146</v>
      </c>
    </row>
    <row r="303" spans="1:9" ht="16.5">
      <c r="A303" s="7" t="s">
        <v>1695</v>
      </c>
      <c r="B303" s="8" t="s">
        <v>6662</v>
      </c>
      <c r="C303" s="9" t="s">
        <v>3481</v>
      </c>
      <c r="D303" s="104"/>
      <c r="E303" s="104"/>
      <c r="F303" s="105">
        <f t="shared" si="9"/>
        <v>0</v>
      </c>
      <c r="G303" s="106">
        <f t="shared" si="8"/>
        <v>0</v>
      </c>
      <c r="H303" s="81">
        <v>0.38850000000000001</v>
      </c>
      <c r="I303" s="2619" t="s">
        <v>1146</v>
      </c>
    </row>
    <row r="304" spans="1:9" ht="16.5">
      <c r="A304" s="7" t="s">
        <v>3388</v>
      </c>
      <c r="B304" s="8" t="s">
        <v>6663</v>
      </c>
      <c r="C304" s="9" t="s">
        <v>3481</v>
      </c>
      <c r="D304" s="104"/>
      <c r="E304" s="104"/>
      <c r="F304" s="105">
        <f t="shared" si="9"/>
        <v>0</v>
      </c>
      <c r="G304" s="106">
        <f t="shared" si="8"/>
        <v>0</v>
      </c>
      <c r="H304" s="81">
        <v>5.7500000000000002E-2</v>
      </c>
      <c r="I304" s="2619" t="s">
        <v>1146</v>
      </c>
    </row>
    <row r="305" spans="1:9" ht="16.5">
      <c r="A305" s="7" t="s">
        <v>1696</v>
      </c>
      <c r="B305" s="8" t="s">
        <v>6664</v>
      </c>
      <c r="C305" s="9" t="s">
        <v>3481</v>
      </c>
      <c r="D305" s="104"/>
      <c r="E305" s="104"/>
      <c r="F305" s="105">
        <f t="shared" si="9"/>
        <v>0</v>
      </c>
      <c r="G305" s="106">
        <f t="shared" si="8"/>
        <v>0</v>
      </c>
      <c r="H305" s="81">
        <v>0.40089999999999998</v>
      </c>
      <c r="I305" s="2619" t="s">
        <v>1146</v>
      </c>
    </row>
    <row r="306" spans="1:9" ht="16.5">
      <c r="A306" s="7" t="s">
        <v>1697</v>
      </c>
      <c r="B306" s="8" t="s">
        <v>6665</v>
      </c>
      <c r="C306" s="9" t="s">
        <v>3481</v>
      </c>
      <c r="D306" s="104"/>
      <c r="E306" s="104"/>
      <c r="F306" s="105">
        <f t="shared" si="9"/>
        <v>0</v>
      </c>
      <c r="G306" s="106">
        <f t="shared" si="8"/>
        <v>0</v>
      </c>
      <c r="H306" s="81">
        <v>1.0875999999999999</v>
      </c>
      <c r="I306" s="2619" t="s">
        <v>1146</v>
      </c>
    </row>
    <row r="307" spans="1:9" ht="16.5">
      <c r="A307" s="7" t="s">
        <v>1698</v>
      </c>
      <c r="B307" s="8" t="s">
        <v>6666</v>
      </c>
      <c r="C307" s="9" t="s">
        <v>3481</v>
      </c>
      <c r="D307" s="104"/>
      <c r="E307" s="104"/>
      <c r="F307" s="105">
        <f t="shared" si="9"/>
        <v>0</v>
      </c>
      <c r="G307" s="106">
        <f t="shared" si="8"/>
        <v>0</v>
      </c>
      <c r="H307" s="81">
        <v>0.80300000000000005</v>
      </c>
      <c r="I307" s="2619" t="s">
        <v>1146</v>
      </c>
    </row>
    <row r="308" spans="1:9" ht="16.5">
      <c r="A308" s="7" t="s">
        <v>1699</v>
      </c>
      <c r="B308" s="8" t="s">
        <v>6667</v>
      </c>
      <c r="C308" s="9" t="s">
        <v>3481</v>
      </c>
      <c r="D308" s="104"/>
      <c r="E308" s="104"/>
      <c r="F308" s="105">
        <f t="shared" si="9"/>
        <v>0</v>
      </c>
      <c r="G308" s="106">
        <f t="shared" si="8"/>
        <v>0</v>
      </c>
      <c r="H308" s="81">
        <v>0.63900000000000001</v>
      </c>
      <c r="I308" s="2619" t="s">
        <v>1146</v>
      </c>
    </row>
    <row r="309" spans="1:9" ht="16.5">
      <c r="A309" s="7" t="s">
        <v>1700</v>
      </c>
      <c r="B309" s="8" t="s">
        <v>6668</v>
      </c>
      <c r="C309" s="9" t="s">
        <v>3481</v>
      </c>
      <c r="D309" s="104"/>
      <c r="E309" s="104"/>
      <c r="F309" s="105">
        <f t="shared" si="9"/>
        <v>0</v>
      </c>
      <c r="G309" s="106">
        <f t="shared" si="8"/>
        <v>0</v>
      </c>
      <c r="H309" s="81">
        <v>0.80620000000000003</v>
      </c>
      <c r="I309" s="2619" t="s">
        <v>1146</v>
      </c>
    </row>
    <row r="310" spans="1:9" ht="16.5">
      <c r="A310" s="7" t="s">
        <v>1701</v>
      </c>
      <c r="B310" s="8" t="s">
        <v>6669</v>
      </c>
      <c r="C310" s="9" t="s">
        <v>3481</v>
      </c>
      <c r="D310" s="104"/>
      <c r="E310" s="104"/>
      <c r="F310" s="105">
        <f t="shared" si="9"/>
        <v>0</v>
      </c>
      <c r="G310" s="106">
        <f t="shared" si="8"/>
        <v>0</v>
      </c>
      <c r="H310" s="81">
        <v>0.45989999999999998</v>
      </c>
      <c r="I310" s="2619" t="s">
        <v>1146</v>
      </c>
    </row>
    <row r="311" spans="1:9" ht="16.5">
      <c r="A311" s="7" t="s">
        <v>2585</v>
      </c>
      <c r="B311" s="8" t="s">
        <v>6670</v>
      </c>
      <c r="C311" s="9" t="s">
        <v>3481</v>
      </c>
      <c r="D311" s="104"/>
      <c r="E311" s="104"/>
      <c r="F311" s="105">
        <f t="shared" si="9"/>
        <v>0</v>
      </c>
      <c r="G311" s="106">
        <f t="shared" si="8"/>
        <v>0</v>
      </c>
      <c r="H311" s="81">
        <v>0.54310000000000003</v>
      </c>
      <c r="I311" s="2619" t="s">
        <v>1146</v>
      </c>
    </row>
    <row r="312" spans="1:9" ht="16.5">
      <c r="A312" s="7" t="s">
        <v>1702</v>
      </c>
      <c r="B312" s="8" t="s">
        <v>6671</v>
      </c>
      <c r="C312" s="9" t="s">
        <v>3481</v>
      </c>
      <c r="D312" s="104"/>
      <c r="E312" s="104"/>
      <c r="F312" s="105">
        <f t="shared" si="9"/>
        <v>0</v>
      </c>
      <c r="G312" s="106">
        <f t="shared" si="8"/>
        <v>0</v>
      </c>
      <c r="H312" s="81">
        <v>0.89419999999999999</v>
      </c>
      <c r="I312" s="2619" t="s">
        <v>1146</v>
      </c>
    </row>
    <row r="313" spans="1:9" ht="16.5">
      <c r="A313" s="7" t="s">
        <v>2586</v>
      </c>
      <c r="B313" s="8" t="s">
        <v>6672</v>
      </c>
      <c r="C313" s="9" t="s">
        <v>3481</v>
      </c>
      <c r="D313" s="104"/>
      <c r="E313" s="104"/>
      <c r="F313" s="105">
        <f t="shared" si="9"/>
        <v>0</v>
      </c>
      <c r="G313" s="106">
        <f t="shared" si="8"/>
        <v>0</v>
      </c>
      <c r="H313" s="81">
        <v>0.55100000000000005</v>
      </c>
      <c r="I313" s="2619" t="s">
        <v>1146</v>
      </c>
    </row>
    <row r="314" spans="1:9" ht="16.5">
      <c r="A314" s="7" t="s">
        <v>3389</v>
      </c>
      <c r="B314" s="8" t="s">
        <v>4999</v>
      </c>
      <c r="C314" s="9" t="s">
        <v>3481</v>
      </c>
      <c r="D314" s="104"/>
      <c r="E314" s="104"/>
      <c r="F314" s="105">
        <f t="shared" si="9"/>
        <v>0</v>
      </c>
      <c r="G314" s="106">
        <f t="shared" si="8"/>
        <v>0</v>
      </c>
      <c r="H314" s="81">
        <v>0.3483</v>
      </c>
      <c r="I314" s="2619" t="s">
        <v>1146</v>
      </c>
    </row>
    <row r="315" spans="1:9" ht="16.5">
      <c r="A315" s="7" t="s">
        <v>1703</v>
      </c>
      <c r="B315" s="8" t="s">
        <v>6673</v>
      </c>
      <c r="C315" s="9" t="s">
        <v>3481</v>
      </c>
      <c r="D315" s="104"/>
      <c r="E315" s="104"/>
      <c r="F315" s="105">
        <f t="shared" si="9"/>
        <v>0</v>
      </c>
      <c r="G315" s="106">
        <f t="shared" si="8"/>
        <v>0</v>
      </c>
      <c r="H315" s="81">
        <v>1.5998000000000001</v>
      </c>
      <c r="I315" s="2619" t="s">
        <v>1146</v>
      </c>
    </row>
    <row r="316" spans="1:9" ht="16.5">
      <c r="A316" s="7" t="s">
        <v>1704</v>
      </c>
      <c r="B316" s="8" t="s">
        <v>6674</v>
      </c>
      <c r="C316" s="9" t="s">
        <v>3481</v>
      </c>
      <c r="D316" s="104"/>
      <c r="E316" s="104"/>
      <c r="F316" s="105">
        <f t="shared" si="9"/>
        <v>0</v>
      </c>
      <c r="G316" s="106">
        <f t="shared" si="8"/>
        <v>0</v>
      </c>
      <c r="H316" s="81">
        <v>0.73760000000000003</v>
      </c>
      <c r="I316" s="2619" t="s">
        <v>1146</v>
      </c>
    </row>
    <row r="317" spans="1:9" ht="16.5">
      <c r="A317" s="7" t="s">
        <v>1705</v>
      </c>
      <c r="B317" s="8" t="s">
        <v>6675</v>
      </c>
      <c r="C317" s="9" t="s">
        <v>3481</v>
      </c>
      <c r="D317" s="104"/>
      <c r="E317" s="104"/>
      <c r="F317" s="105">
        <f t="shared" si="9"/>
        <v>0</v>
      </c>
      <c r="G317" s="106">
        <f t="shared" si="8"/>
        <v>0</v>
      </c>
      <c r="H317" s="81">
        <v>1.1229</v>
      </c>
      <c r="I317" s="2619" t="s">
        <v>1146</v>
      </c>
    </row>
    <row r="318" spans="1:9" ht="16.5">
      <c r="A318" s="7" t="s">
        <v>1706</v>
      </c>
      <c r="B318" s="8" t="s">
        <v>6676</v>
      </c>
      <c r="C318" s="9" t="s">
        <v>3481</v>
      </c>
      <c r="D318" s="104"/>
      <c r="E318" s="104"/>
      <c r="F318" s="105">
        <f t="shared" si="9"/>
        <v>0</v>
      </c>
      <c r="G318" s="106">
        <f t="shared" si="8"/>
        <v>0</v>
      </c>
      <c r="H318" s="81">
        <v>0.70889999999999997</v>
      </c>
      <c r="I318" s="2619" t="s">
        <v>1146</v>
      </c>
    </row>
    <row r="319" spans="1:9" ht="16.5">
      <c r="A319" s="7" t="s">
        <v>1707</v>
      </c>
      <c r="B319" s="8" t="s">
        <v>6677</v>
      </c>
      <c r="C319" s="9" t="s">
        <v>3481</v>
      </c>
      <c r="D319" s="104"/>
      <c r="E319" s="104"/>
      <c r="F319" s="105">
        <f t="shared" si="9"/>
        <v>0</v>
      </c>
      <c r="G319" s="106">
        <f t="shared" si="8"/>
        <v>0</v>
      </c>
      <c r="H319" s="81">
        <v>1.1595</v>
      </c>
      <c r="I319" s="2619" t="s">
        <v>1146</v>
      </c>
    </row>
    <row r="320" spans="1:9" ht="16.5">
      <c r="A320" s="7" t="s">
        <v>1708</v>
      </c>
      <c r="B320" s="8" t="s">
        <v>6678</v>
      </c>
      <c r="C320" s="9" t="s">
        <v>3481</v>
      </c>
      <c r="D320" s="104"/>
      <c r="E320" s="104"/>
      <c r="F320" s="105">
        <f t="shared" si="9"/>
        <v>0</v>
      </c>
      <c r="G320" s="106">
        <f t="shared" si="8"/>
        <v>0</v>
      </c>
      <c r="H320" s="81">
        <v>0.71679999999999999</v>
      </c>
      <c r="I320" s="2619" t="s">
        <v>1146</v>
      </c>
    </row>
    <row r="321" spans="1:9" ht="16.5">
      <c r="A321" s="7" t="s">
        <v>1709</v>
      </c>
      <c r="B321" s="8" t="s">
        <v>6679</v>
      </c>
      <c r="C321" s="9" t="s">
        <v>3481</v>
      </c>
      <c r="D321" s="104"/>
      <c r="E321" s="104"/>
      <c r="F321" s="105">
        <f t="shared" si="9"/>
        <v>0</v>
      </c>
      <c r="G321" s="106">
        <f t="shared" si="8"/>
        <v>0</v>
      </c>
      <c r="H321" s="81">
        <v>0.72589999999999999</v>
      </c>
      <c r="I321" s="2619" t="s">
        <v>1146</v>
      </c>
    </row>
    <row r="322" spans="1:9" ht="16.5">
      <c r="A322" s="7" t="s">
        <v>1710</v>
      </c>
      <c r="B322" s="8" t="s">
        <v>6680</v>
      </c>
      <c r="C322" s="9" t="s">
        <v>3481</v>
      </c>
      <c r="D322" s="104"/>
      <c r="E322" s="104"/>
      <c r="F322" s="105">
        <f t="shared" si="9"/>
        <v>0</v>
      </c>
      <c r="G322" s="106">
        <f t="shared" si="8"/>
        <v>0</v>
      </c>
      <c r="H322" s="81">
        <v>0.90690000000000004</v>
      </c>
      <c r="I322" s="2619" t="s">
        <v>1146</v>
      </c>
    </row>
    <row r="323" spans="1:9" ht="16.5">
      <c r="A323" s="7" t="s">
        <v>1711</v>
      </c>
      <c r="B323" s="8" t="s">
        <v>6681</v>
      </c>
      <c r="C323" s="9" t="s">
        <v>3481</v>
      </c>
      <c r="D323" s="104"/>
      <c r="E323" s="104"/>
      <c r="F323" s="105">
        <f t="shared" si="9"/>
        <v>0</v>
      </c>
      <c r="G323" s="106">
        <f t="shared" si="8"/>
        <v>0</v>
      </c>
      <c r="H323" s="81">
        <v>0.62990000000000002</v>
      </c>
      <c r="I323" s="2619" t="s">
        <v>1146</v>
      </c>
    </row>
    <row r="324" spans="1:9" ht="16.5">
      <c r="A324" s="7" t="s">
        <v>1712</v>
      </c>
      <c r="B324" s="8" t="s">
        <v>6682</v>
      </c>
      <c r="C324" s="9" t="s">
        <v>3481</v>
      </c>
      <c r="D324" s="104"/>
      <c r="E324" s="104"/>
      <c r="F324" s="105">
        <f t="shared" si="9"/>
        <v>0</v>
      </c>
      <c r="G324" s="106">
        <f t="shared" ref="G324:G387" si="10">IF($F$1265=0,0,F324/$F$1265)</f>
        <v>0</v>
      </c>
      <c r="H324" s="81">
        <v>0.4758</v>
      </c>
      <c r="I324" s="2619" t="s">
        <v>1146</v>
      </c>
    </row>
    <row r="325" spans="1:9" ht="16.5">
      <c r="A325" s="7" t="s">
        <v>1713</v>
      </c>
      <c r="B325" s="8" t="s">
        <v>6683</v>
      </c>
      <c r="C325" s="9" t="s">
        <v>3481</v>
      </c>
      <c r="D325" s="104"/>
      <c r="E325" s="104"/>
      <c r="F325" s="105">
        <f t="shared" ref="F325:F388" si="11">D325*E325</f>
        <v>0</v>
      </c>
      <c r="G325" s="106">
        <f t="shared" si="10"/>
        <v>0</v>
      </c>
      <c r="H325" s="81">
        <v>-0.29389999999999999</v>
      </c>
      <c r="I325" s="2619" t="s">
        <v>1146</v>
      </c>
    </row>
    <row r="326" spans="1:9" ht="16.5">
      <c r="A326" s="7" t="s">
        <v>1714</v>
      </c>
      <c r="B326" s="8" t="s">
        <v>6684</v>
      </c>
      <c r="C326" s="9" t="s">
        <v>3481</v>
      </c>
      <c r="D326" s="104"/>
      <c r="E326" s="104"/>
      <c r="F326" s="105">
        <f t="shared" si="11"/>
        <v>0</v>
      </c>
      <c r="G326" s="106">
        <f t="shared" si="10"/>
        <v>0</v>
      </c>
      <c r="H326" s="81">
        <v>1.0178</v>
      </c>
      <c r="I326" s="2619" t="s">
        <v>1146</v>
      </c>
    </row>
    <row r="327" spans="1:9" ht="16.5">
      <c r="A327" s="7" t="s">
        <v>1715</v>
      </c>
      <c r="B327" s="8" t="s">
        <v>6685</v>
      </c>
      <c r="C327" s="9" t="s">
        <v>3481</v>
      </c>
      <c r="D327" s="104"/>
      <c r="E327" s="104"/>
      <c r="F327" s="105">
        <f t="shared" si="11"/>
        <v>0</v>
      </c>
      <c r="G327" s="106">
        <f t="shared" si="10"/>
        <v>0</v>
      </c>
      <c r="H327" s="81">
        <v>0.79510000000000003</v>
      </c>
      <c r="I327" s="2619" t="s">
        <v>1146</v>
      </c>
    </row>
    <row r="328" spans="1:9" ht="16.5">
      <c r="A328" s="7" t="s">
        <v>1716</v>
      </c>
      <c r="B328" s="8" t="s">
        <v>6686</v>
      </c>
      <c r="C328" s="9" t="s">
        <v>3481</v>
      </c>
      <c r="D328" s="104"/>
      <c r="E328" s="104"/>
      <c r="F328" s="105">
        <f t="shared" si="11"/>
        <v>0</v>
      </c>
      <c r="G328" s="106">
        <f t="shared" si="10"/>
        <v>0</v>
      </c>
      <c r="H328" s="81">
        <v>1.0103</v>
      </c>
      <c r="I328" s="2619" t="s">
        <v>1146</v>
      </c>
    </row>
    <row r="329" spans="1:9" ht="16.5">
      <c r="A329" s="7" t="s">
        <v>1717</v>
      </c>
      <c r="B329" s="8" t="s">
        <v>6687</v>
      </c>
      <c r="C329" s="9" t="s">
        <v>3481</v>
      </c>
      <c r="D329" s="104"/>
      <c r="E329" s="104"/>
      <c r="F329" s="105">
        <f t="shared" si="11"/>
        <v>0</v>
      </c>
      <c r="G329" s="106">
        <f t="shared" si="10"/>
        <v>0</v>
      </c>
      <c r="H329" s="81">
        <v>0.63029999999999997</v>
      </c>
      <c r="I329" s="2619" t="s">
        <v>1146</v>
      </c>
    </row>
    <row r="330" spans="1:9" ht="16.5">
      <c r="A330" s="7" t="s">
        <v>1718</v>
      </c>
      <c r="B330" s="8" t="s">
        <v>6688</v>
      </c>
      <c r="C330" s="9" t="s">
        <v>3481</v>
      </c>
      <c r="D330" s="104"/>
      <c r="E330" s="104"/>
      <c r="F330" s="105">
        <f t="shared" si="11"/>
        <v>0</v>
      </c>
      <c r="G330" s="106">
        <f t="shared" si="10"/>
        <v>0</v>
      </c>
      <c r="H330" s="81">
        <v>1.0994999999999999</v>
      </c>
      <c r="I330" s="2619" t="s">
        <v>1146</v>
      </c>
    </row>
    <row r="331" spans="1:9" ht="16.5">
      <c r="A331" s="7" t="s">
        <v>1719</v>
      </c>
      <c r="B331" s="8" t="s">
        <v>6689</v>
      </c>
      <c r="C331" s="9" t="s">
        <v>3481</v>
      </c>
      <c r="D331" s="104"/>
      <c r="E331" s="104"/>
      <c r="F331" s="105">
        <f t="shared" si="11"/>
        <v>0</v>
      </c>
      <c r="G331" s="106">
        <f t="shared" si="10"/>
        <v>0</v>
      </c>
      <c r="H331" s="81">
        <v>1.5979000000000001</v>
      </c>
      <c r="I331" s="2619" t="s">
        <v>1146</v>
      </c>
    </row>
    <row r="332" spans="1:9" ht="16.5">
      <c r="A332" s="7" t="s">
        <v>1720</v>
      </c>
      <c r="B332" s="8" t="s">
        <v>6690</v>
      </c>
      <c r="C332" s="9" t="s">
        <v>3481</v>
      </c>
      <c r="D332" s="104"/>
      <c r="E332" s="104"/>
      <c r="F332" s="105">
        <f t="shared" si="11"/>
        <v>0</v>
      </c>
      <c r="G332" s="106">
        <f t="shared" si="10"/>
        <v>0</v>
      </c>
      <c r="H332" s="81">
        <v>0.41260000000000002</v>
      </c>
      <c r="I332" s="2619" t="s">
        <v>1146</v>
      </c>
    </row>
    <row r="333" spans="1:9" ht="16.5">
      <c r="A333" s="7" t="s">
        <v>1721</v>
      </c>
      <c r="B333" s="8" t="s">
        <v>6691</v>
      </c>
      <c r="C333" s="9" t="s">
        <v>3481</v>
      </c>
      <c r="D333" s="104"/>
      <c r="E333" s="104"/>
      <c r="F333" s="105">
        <f t="shared" si="11"/>
        <v>0</v>
      </c>
      <c r="G333" s="106">
        <f t="shared" si="10"/>
        <v>0</v>
      </c>
      <c r="H333" s="81">
        <v>0.70979999999999999</v>
      </c>
      <c r="I333" s="2619" t="s">
        <v>1146</v>
      </c>
    </row>
    <row r="334" spans="1:9" ht="16.5">
      <c r="A334" s="7" t="s">
        <v>1722</v>
      </c>
      <c r="B334" s="8" t="s">
        <v>6692</v>
      </c>
      <c r="C334" s="9" t="s">
        <v>3481</v>
      </c>
      <c r="D334" s="104"/>
      <c r="E334" s="104"/>
      <c r="F334" s="105">
        <f t="shared" si="11"/>
        <v>0</v>
      </c>
      <c r="G334" s="106">
        <f t="shared" si="10"/>
        <v>0</v>
      </c>
      <c r="H334" s="81">
        <v>0.84799999999999998</v>
      </c>
      <c r="I334" s="2619" t="s">
        <v>1146</v>
      </c>
    </row>
    <row r="335" spans="1:9" ht="16.5">
      <c r="A335" s="7" t="s">
        <v>1723</v>
      </c>
      <c r="B335" s="8" t="s">
        <v>6693</v>
      </c>
      <c r="C335" s="9" t="s">
        <v>3481</v>
      </c>
      <c r="D335" s="104"/>
      <c r="E335" s="104"/>
      <c r="F335" s="105">
        <f t="shared" si="11"/>
        <v>0</v>
      </c>
      <c r="G335" s="106">
        <f t="shared" si="10"/>
        <v>0</v>
      </c>
      <c r="H335" s="81">
        <v>1.1798999999999999</v>
      </c>
      <c r="I335" s="2619" t="s">
        <v>1146</v>
      </c>
    </row>
    <row r="336" spans="1:9" ht="16.5">
      <c r="A336" s="7" t="s">
        <v>1724</v>
      </c>
      <c r="B336" s="8" t="s">
        <v>6694</v>
      </c>
      <c r="C336" s="9" t="s">
        <v>3481</v>
      </c>
      <c r="D336" s="104"/>
      <c r="E336" s="104"/>
      <c r="F336" s="105">
        <f t="shared" si="11"/>
        <v>0</v>
      </c>
      <c r="G336" s="106">
        <f t="shared" si="10"/>
        <v>0</v>
      </c>
      <c r="H336" s="81">
        <v>0.78839999999999999</v>
      </c>
      <c r="I336" s="2619" t="s">
        <v>1146</v>
      </c>
    </row>
    <row r="337" spans="1:9" ht="16.5">
      <c r="A337" s="7" t="s">
        <v>1725</v>
      </c>
      <c r="B337" s="8" t="s">
        <v>6695</v>
      </c>
      <c r="C337" s="9" t="s">
        <v>3481</v>
      </c>
      <c r="D337" s="104"/>
      <c r="E337" s="104"/>
      <c r="F337" s="105">
        <f t="shared" si="11"/>
        <v>0</v>
      </c>
      <c r="G337" s="106">
        <f t="shared" si="10"/>
        <v>0</v>
      </c>
      <c r="H337" s="81">
        <v>0.86460000000000004</v>
      </c>
      <c r="I337" s="2619" t="s">
        <v>1146</v>
      </c>
    </row>
    <row r="338" spans="1:9" ht="16.5">
      <c r="A338" s="7" t="s">
        <v>1726</v>
      </c>
      <c r="B338" s="8" t="s">
        <v>6696</v>
      </c>
      <c r="C338" s="9" t="s">
        <v>3481</v>
      </c>
      <c r="D338" s="104"/>
      <c r="E338" s="104"/>
      <c r="F338" s="105">
        <f t="shared" si="11"/>
        <v>0</v>
      </c>
      <c r="G338" s="106">
        <f t="shared" si="10"/>
        <v>0</v>
      </c>
      <c r="H338" s="81">
        <v>1.5562</v>
      </c>
      <c r="I338" s="2619" t="s">
        <v>1146</v>
      </c>
    </row>
    <row r="339" spans="1:9" ht="16.5">
      <c r="A339" s="7" t="s">
        <v>1727</v>
      </c>
      <c r="B339" s="8" t="s">
        <v>6697</v>
      </c>
      <c r="C339" s="9" t="s">
        <v>3481</v>
      </c>
      <c r="D339" s="104"/>
      <c r="E339" s="104"/>
      <c r="F339" s="105">
        <f t="shared" si="11"/>
        <v>0</v>
      </c>
      <c r="G339" s="106">
        <f t="shared" si="10"/>
        <v>0</v>
      </c>
      <c r="H339" s="81">
        <v>1.6435</v>
      </c>
      <c r="I339" s="2619" t="s">
        <v>1146</v>
      </c>
    </row>
    <row r="340" spans="1:9" ht="16.5">
      <c r="A340" s="7" t="s">
        <v>1728</v>
      </c>
      <c r="B340" s="8" t="s">
        <v>6698</v>
      </c>
      <c r="C340" s="9" t="s">
        <v>3481</v>
      </c>
      <c r="D340" s="104"/>
      <c r="E340" s="104"/>
      <c r="F340" s="105">
        <f t="shared" si="11"/>
        <v>0</v>
      </c>
      <c r="G340" s="106">
        <f t="shared" si="10"/>
        <v>0</v>
      </c>
      <c r="H340" s="81">
        <v>0.46300000000000002</v>
      </c>
      <c r="I340" s="2619" t="s">
        <v>1146</v>
      </c>
    </row>
    <row r="341" spans="1:9" ht="16.5">
      <c r="A341" s="7" t="s">
        <v>1729</v>
      </c>
      <c r="B341" s="8" t="s">
        <v>6699</v>
      </c>
      <c r="C341" s="9" t="s">
        <v>3481</v>
      </c>
      <c r="D341" s="104"/>
      <c r="E341" s="104"/>
      <c r="F341" s="105">
        <f t="shared" si="11"/>
        <v>0</v>
      </c>
      <c r="G341" s="106">
        <f t="shared" si="10"/>
        <v>0</v>
      </c>
      <c r="H341" s="81">
        <v>0.31119999999999998</v>
      </c>
      <c r="I341" s="2619" t="s">
        <v>1146</v>
      </c>
    </row>
    <row r="342" spans="1:9" ht="16.5">
      <c r="A342" s="7" t="s">
        <v>1730</v>
      </c>
      <c r="B342" s="8" t="s">
        <v>6700</v>
      </c>
      <c r="C342" s="9" t="s">
        <v>3481</v>
      </c>
      <c r="D342" s="104"/>
      <c r="E342" s="104"/>
      <c r="F342" s="105">
        <f t="shared" si="11"/>
        <v>0</v>
      </c>
      <c r="G342" s="106">
        <f t="shared" si="10"/>
        <v>0</v>
      </c>
      <c r="H342" s="81">
        <v>0.60060000000000002</v>
      </c>
      <c r="I342" s="2619" t="s">
        <v>1146</v>
      </c>
    </row>
    <row r="343" spans="1:9" ht="16.5">
      <c r="A343" s="7" t="s">
        <v>1731</v>
      </c>
      <c r="B343" s="8" t="s">
        <v>6701</v>
      </c>
      <c r="C343" s="9" t="s">
        <v>3481</v>
      </c>
      <c r="D343" s="104"/>
      <c r="E343" s="104"/>
      <c r="F343" s="105">
        <f t="shared" si="11"/>
        <v>0</v>
      </c>
      <c r="G343" s="106">
        <f t="shared" si="10"/>
        <v>0</v>
      </c>
      <c r="H343" s="81">
        <v>1.2033</v>
      </c>
      <c r="I343" s="2619" t="s">
        <v>1146</v>
      </c>
    </row>
    <row r="344" spans="1:9" ht="16.5">
      <c r="A344" s="7" t="s">
        <v>1732</v>
      </c>
      <c r="B344" s="8" t="s">
        <v>6702</v>
      </c>
      <c r="C344" s="9" t="s">
        <v>3481</v>
      </c>
      <c r="D344" s="104"/>
      <c r="E344" s="104"/>
      <c r="F344" s="105">
        <f t="shared" si="11"/>
        <v>0</v>
      </c>
      <c r="G344" s="106">
        <f t="shared" si="10"/>
        <v>0</v>
      </c>
      <c r="H344" s="81">
        <v>0.97619999999999996</v>
      </c>
      <c r="I344" s="2619" t="s">
        <v>1146</v>
      </c>
    </row>
    <row r="345" spans="1:9" ht="16.5">
      <c r="A345" s="7" t="s">
        <v>1733</v>
      </c>
      <c r="B345" s="8" t="s">
        <v>6703</v>
      </c>
      <c r="C345" s="9" t="s">
        <v>3481</v>
      </c>
      <c r="D345" s="104"/>
      <c r="E345" s="104"/>
      <c r="F345" s="105">
        <f t="shared" si="11"/>
        <v>0</v>
      </c>
      <c r="G345" s="106">
        <f t="shared" si="10"/>
        <v>0</v>
      </c>
      <c r="H345" s="81">
        <v>0.84350000000000003</v>
      </c>
      <c r="I345" s="2619" t="s">
        <v>1146</v>
      </c>
    </row>
    <row r="346" spans="1:9" ht="16.5">
      <c r="A346" s="7" t="s">
        <v>1734</v>
      </c>
      <c r="B346" s="8" t="s">
        <v>6704</v>
      </c>
      <c r="C346" s="9" t="s">
        <v>3481</v>
      </c>
      <c r="D346" s="104"/>
      <c r="E346" s="104"/>
      <c r="F346" s="105">
        <f t="shared" si="11"/>
        <v>0</v>
      </c>
      <c r="G346" s="106">
        <f t="shared" si="10"/>
        <v>0</v>
      </c>
      <c r="H346" s="81">
        <v>0.90659999999999996</v>
      </c>
      <c r="I346" s="2619" t="s">
        <v>1146</v>
      </c>
    </row>
    <row r="347" spans="1:9" ht="16.5">
      <c r="A347" s="7" t="s">
        <v>1735</v>
      </c>
      <c r="B347" s="8" t="s">
        <v>6705</v>
      </c>
      <c r="C347" s="9" t="s">
        <v>3481</v>
      </c>
      <c r="D347" s="104"/>
      <c r="E347" s="104"/>
      <c r="F347" s="105">
        <f t="shared" si="11"/>
        <v>0</v>
      </c>
      <c r="G347" s="106">
        <f t="shared" si="10"/>
        <v>0</v>
      </c>
      <c r="H347" s="81">
        <v>0.74260000000000004</v>
      </c>
      <c r="I347" s="2619" t="s">
        <v>1146</v>
      </c>
    </row>
    <row r="348" spans="1:9" ht="16.5">
      <c r="A348" s="7" t="s">
        <v>1736</v>
      </c>
      <c r="B348" s="8" t="s">
        <v>6706</v>
      </c>
      <c r="C348" s="9" t="s">
        <v>3481</v>
      </c>
      <c r="D348" s="104"/>
      <c r="E348" s="104"/>
      <c r="F348" s="105">
        <f t="shared" si="11"/>
        <v>0</v>
      </c>
      <c r="G348" s="106">
        <f t="shared" si="10"/>
        <v>0</v>
      </c>
      <c r="H348" s="81">
        <v>1.6477999999999999</v>
      </c>
      <c r="I348" s="2619" t="s">
        <v>1146</v>
      </c>
    </row>
    <row r="349" spans="1:9" ht="16.5">
      <c r="A349" s="7" t="s">
        <v>1737</v>
      </c>
      <c r="B349" s="8" t="s">
        <v>6707</v>
      </c>
      <c r="C349" s="9" t="s">
        <v>3481</v>
      </c>
      <c r="D349" s="104"/>
      <c r="E349" s="104"/>
      <c r="F349" s="105">
        <f t="shared" si="11"/>
        <v>0</v>
      </c>
      <c r="G349" s="106">
        <f t="shared" si="10"/>
        <v>0</v>
      </c>
      <c r="H349" s="81">
        <v>0.76259999999999994</v>
      </c>
      <c r="I349" s="2619" t="s">
        <v>1146</v>
      </c>
    </row>
    <row r="350" spans="1:9" ht="16.5">
      <c r="A350" s="7" t="s">
        <v>1738</v>
      </c>
      <c r="B350" s="8" t="s">
        <v>6708</v>
      </c>
      <c r="C350" s="9" t="s">
        <v>3481</v>
      </c>
      <c r="D350" s="104"/>
      <c r="E350" s="104"/>
      <c r="F350" s="105">
        <f t="shared" si="11"/>
        <v>0</v>
      </c>
      <c r="G350" s="106">
        <f t="shared" si="10"/>
        <v>0</v>
      </c>
      <c r="H350" s="81">
        <v>0.14899999999999999</v>
      </c>
      <c r="I350" s="2619" t="s">
        <v>1146</v>
      </c>
    </row>
    <row r="351" spans="1:9" ht="16.5">
      <c r="A351" s="7" t="s">
        <v>1739</v>
      </c>
      <c r="B351" s="8" t="s">
        <v>6709</v>
      </c>
      <c r="C351" s="9" t="s">
        <v>3481</v>
      </c>
      <c r="D351" s="104"/>
      <c r="E351" s="104"/>
      <c r="F351" s="105">
        <f t="shared" si="11"/>
        <v>0</v>
      </c>
      <c r="G351" s="106">
        <f t="shared" si="10"/>
        <v>0</v>
      </c>
      <c r="H351" s="81">
        <v>1.0823</v>
      </c>
      <c r="I351" s="2619" t="s">
        <v>1146</v>
      </c>
    </row>
    <row r="352" spans="1:9" ht="16.5">
      <c r="A352" s="7" t="s">
        <v>1740</v>
      </c>
      <c r="B352" s="8" t="s">
        <v>6710</v>
      </c>
      <c r="C352" s="9" t="s">
        <v>3481</v>
      </c>
      <c r="D352" s="104"/>
      <c r="E352" s="104"/>
      <c r="F352" s="105">
        <f t="shared" si="11"/>
        <v>0</v>
      </c>
      <c r="G352" s="106">
        <f t="shared" si="10"/>
        <v>0</v>
      </c>
      <c r="H352" s="81">
        <v>1.3886000000000001</v>
      </c>
      <c r="I352" s="2619" t="s">
        <v>1146</v>
      </c>
    </row>
    <row r="353" spans="1:9" ht="16.5">
      <c r="A353" s="7" t="s">
        <v>1741</v>
      </c>
      <c r="B353" s="8" t="s">
        <v>6711</v>
      </c>
      <c r="C353" s="9" t="s">
        <v>3481</v>
      </c>
      <c r="D353" s="104"/>
      <c r="E353" s="104"/>
      <c r="F353" s="105">
        <f t="shared" si="11"/>
        <v>0</v>
      </c>
      <c r="G353" s="106">
        <f t="shared" si="10"/>
        <v>0</v>
      </c>
      <c r="H353" s="81">
        <v>0.52569999999999995</v>
      </c>
      <c r="I353" s="2619" t="s">
        <v>1146</v>
      </c>
    </row>
    <row r="354" spans="1:9" ht="16.5">
      <c r="A354" s="7" t="s">
        <v>1742</v>
      </c>
      <c r="B354" s="8" t="s">
        <v>6712</v>
      </c>
      <c r="C354" s="9" t="s">
        <v>3481</v>
      </c>
      <c r="D354" s="104"/>
      <c r="E354" s="104"/>
      <c r="F354" s="105">
        <f t="shared" si="11"/>
        <v>0</v>
      </c>
      <c r="G354" s="106">
        <f t="shared" si="10"/>
        <v>0</v>
      </c>
      <c r="H354" s="81">
        <v>0.98809999999999998</v>
      </c>
      <c r="I354" s="2619" t="s">
        <v>1146</v>
      </c>
    </row>
    <row r="355" spans="1:9" ht="16.5">
      <c r="A355" s="7" t="s">
        <v>1743</v>
      </c>
      <c r="B355" s="8" t="s">
        <v>6713</v>
      </c>
      <c r="C355" s="9" t="s">
        <v>3481</v>
      </c>
      <c r="D355" s="104"/>
      <c r="E355" s="104"/>
      <c r="F355" s="105">
        <f t="shared" si="11"/>
        <v>0</v>
      </c>
      <c r="G355" s="106">
        <f t="shared" si="10"/>
        <v>0</v>
      </c>
      <c r="H355" s="81">
        <v>0.77290000000000003</v>
      </c>
      <c r="I355" s="2619" t="s">
        <v>1146</v>
      </c>
    </row>
    <row r="356" spans="1:9" ht="16.5">
      <c r="A356" s="7" t="s">
        <v>1744</v>
      </c>
      <c r="B356" s="8" t="s">
        <v>6714</v>
      </c>
      <c r="C356" s="9" t="s">
        <v>3481</v>
      </c>
      <c r="D356" s="104"/>
      <c r="E356" s="104"/>
      <c r="F356" s="105">
        <f t="shared" si="11"/>
        <v>0</v>
      </c>
      <c r="G356" s="106">
        <f t="shared" si="10"/>
        <v>0</v>
      </c>
      <c r="H356" s="81">
        <v>0.56850000000000001</v>
      </c>
      <c r="I356" s="2619" t="s">
        <v>1146</v>
      </c>
    </row>
    <row r="357" spans="1:9" ht="16.5">
      <c r="A357" s="7" t="s">
        <v>1745</v>
      </c>
      <c r="B357" s="8" t="s">
        <v>6715</v>
      </c>
      <c r="C357" s="9" t="s">
        <v>3481</v>
      </c>
      <c r="D357" s="104"/>
      <c r="E357" s="104"/>
      <c r="F357" s="105">
        <f t="shared" si="11"/>
        <v>0</v>
      </c>
      <c r="G357" s="106">
        <f t="shared" si="10"/>
        <v>0</v>
      </c>
      <c r="H357" s="81">
        <v>0.66159999999999997</v>
      </c>
      <c r="I357" s="2619" t="s">
        <v>1146</v>
      </c>
    </row>
    <row r="358" spans="1:9" ht="16.5">
      <c r="A358" s="7" t="s">
        <v>1746</v>
      </c>
      <c r="B358" s="8" t="s">
        <v>6716</v>
      </c>
      <c r="C358" s="9" t="s">
        <v>3481</v>
      </c>
      <c r="D358" s="104"/>
      <c r="E358" s="104"/>
      <c r="F358" s="105">
        <f t="shared" si="11"/>
        <v>0</v>
      </c>
      <c r="G358" s="106">
        <f t="shared" si="10"/>
        <v>0</v>
      </c>
      <c r="H358" s="81">
        <v>1.6294999999999999</v>
      </c>
      <c r="I358" s="2619" t="s">
        <v>1146</v>
      </c>
    </row>
    <row r="359" spans="1:9" ht="16.5">
      <c r="A359" s="7" t="s">
        <v>1747</v>
      </c>
      <c r="B359" s="8" t="s">
        <v>6717</v>
      </c>
      <c r="C359" s="9" t="s">
        <v>3481</v>
      </c>
      <c r="D359" s="104"/>
      <c r="E359" s="104"/>
      <c r="F359" s="105">
        <f t="shared" si="11"/>
        <v>0</v>
      </c>
      <c r="G359" s="106">
        <f t="shared" si="10"/>
        <v>0</v>
      </c>
      <c r="H359" s="81">
        <v>0.69950000000000001</v>
      </c>
      <c r="I359" s="2619" t="s">
        <v>1146</v>
      </c>
    </row>
    <row r="360" spans="1:9" ht="16.5">
      <c r="A360" s="7" t="s">
        <v>1748</v>
      </c>
      <c r="B360" s="8" t="s">
        <v>6718</v>
      </c>
      <c r="C360" s="9" t="s">
        <v>3481</v>
      </c>
      <c r="D360" s="104"/>
      <c r="E360" s="104"/>
      <c r="F360" s="105">
        <f t="shared" si="11"/>
        <v>0</v>
      </c>
      <c r="G360" s="106">
        <f t="shared" si="10"/>
        <v>0</v>
      </c>
      <c r="H360" s="81">
        <v>0.38729999999999998</v>
      </c>
      <c r="I360" s="2619" t="s">
        <v>1146</v>
      </c>
    </row>
    <row r="361" spans="1:9" ht="16.5">
      <c r="A361" s="7" t="s">
        <v>1749</v>
      </c>
      <c r="B361" s="8" t="s">
        <v>6719</v>
      </c>
      <c r="C361" s="9" t="s">
        <v>3481</v>
      </c>
      <c r="D361" s="104"/>
      <c r="E361" s="104"/>
      <c r="F361" s="105">
        <f t="shared" si="11"/>
        <v>0</v>
      </c>
      <c r="G361" s="106">
        <f t="shared" si="10"/>
        <v>0</v>
      </c>
      <c r="H361" s="81">
        <v>0.14760000000000001</v>
      </c>
      <c r="I361" s="2619" t="s">
        <v>1146</v>
      </c>
    </row>
    <row r="362" spans="1:9" ht="16.5">
      <c r="A362" s="7" t="s">
        <v>1750</v>
      </c>
      <c r="B362" s="8" t="s">
        <v>6720</v>
      </c>
      <c r="C362" s="9" t="s">
        <v>3481</v>
      </c>
      <c r="D362" s="104"/>
      <c r="E362" s="104"/>
      <c r="F362" s="105">
        <f t="shared" si="11"/>
        <v>0</v>
      </c>
      <c r="G362" s="106">
        <f t="shared" si="10"/>
        <v>0</v>
      </c>
      <c r="H362" s="81">
        <v>0.34200000000000003</v>
      </c>
      <c r="I362" s="2619" t="s">
        <v>1146</v>
      </c>
    </row>
    <row r="363" spans="1:9" ht="16.5">
      <c r="A363" s="7" t="s">
        <v>1751</v>
      </c>
      <c r="B363" s="8" t="s">
        <v>6721</v>
      </c>
      <c r="C363" s="9" t="s">
        <v>3481</v>
      </c>
      <c r="D363" s="104"/>
      <c r="E363" s="104"/>
      <c r="F363" s="105">
        <f t="shared" si="11"/>
        <v>0</v>
      </c>
      <c r="G363" s="106">
        <f t="shared" si="10"/>
        <v>0</v>
      </c>
      <c r="H363" s="81">
        <v>1.0472999999999999</v>
      </c>
      <c r="I363" s="2619" t="s">
        <v>1146</v>
      </c>
    </row>
    <row r="364" spans="1:9" ht="16.5">
      <c r="A364" s="7" t="s">
        <v>1752</v>
      </c>
      <c r="B364" s="8" t="s">
        <v>6722</v>
      </c>
      <c r="C364" s="9" t="s">
        <v>3481</v>
      </c>
      <c r="D364" s="104"/>
      <c r="E364" s="104"/>
      <c r="F364" s="105">
        <f t="shared" si="11"/>
        <v>0</v>
      </c>
      <c r="G364" s="106">
        <f t="shared" si="10"/>
        <v>0</v>
      </c>
      <c r="H364" s="81">
        <v>1.7317</v>
      </c>
      <c r="I364" s="2619" t="s">
        <v>1146</v>
      </c>
    </row>
    <row r="365" spans="1:9" ht="16.5">
      <c r="A365" s="7" t="s">
        <v>1753</v>
      </c>
      <c r="B365" s="8" t="s">
        <v>6723</v>
      </c>
      <c r="C365" s="9" t="s">
        <v>3481</v>
      </c>
      <c r="D365" s="104"/>
      <c r="E365" s="104"/>
      <c r="F365" s="105">
        <f t="shared" si="11"/>
        <v>0</v>
      </c>
      <c r="G365" s="106">
        <f t="shared" si="10"/>
        <v>0</v>
      </c>
      <c r="H365" s="81">
        <v>0.97230000000000005</v>
      </c>
      <c r="I365" s="2619" t="s">
        <v>1146</v>
      </c>
    </row>
    <row r="366" spans="1:9" ht="16.5">
      <c r="A366" s="7" t="s">
        <v>1754</v>
      </c>
      <c r="B366" s="8" t="s">
        <v>6724</v>
      </c>
      <c r="C366" s="9" t="s">
        <v>3481</v>
      </c>
      <c r="D366" s="104"/>
      <c r="E366" s="104"/>
      <c r="F366" s="105">
        <f t="shared" si="11"/>
        <v>0</v>
      </c>
      <c r="G366" s="106">
        <f t="shared" si="10"/>
        <v>0</v>
      </c>
      <c r="H366" s="81">
        <v>1.1351</v>
      </c>
      <c r="I366" s="2619" t="s">
        <v>1146</v>
      </c>
    </row>
    <row r="367" spans="1:9" ht="16.5">
      <c r="A367" s="7" t="s">
        <v>1755</v>
      </c>
      <c r="B367" s="8" t="s">
        <v>6725</v>
      </c>
      <c r="C367" s="9" t="s">
        <v>3481</v>
      </c>
      <c r="D367" s="104"/>
      <c r="E367" s="104"/>
      <c r="F367" s="105">
        <f t="shared" si="11"/>
        <v>0</v>
      </c>
      <c r="G367" s="106">
        <f t="shared" si="10"/>
        <v>0</v>
      </c>
      <c r="H367" s="81">
        <v>0.10780000000000001</v>
      </c>
      <c r="I367" s="2619" t="s">
        <v>1146</v>
      </c>
    </row>
    <row r="368" spans="1:9" ht="16.5">
      <c r="A368" s="7" t="s">
        <v>1756</v>
      </c>
      <c r="B368" s="8" t="s">
        <v>6726</v>
      </c>
      <c r="C368" s="9" t="s">
        <v>3481</v>
      </c>
      <c r="D368" s="104"/>
      <c r="E368" s="104"/>
      <c r="F368" s="105">
        <f t="shared" si="11"/>
        <v>0</v>
      </c>
      <c r="G368" s="106">
        <f t="shared" si="10"/>
        <v>0</v>
      </c>
      <c r="H368" s="81">
        <v>1.6749000000000001</v>
      </c>
      <c r="I368" s="2619" t="s">
        <v>1146</v>
      </c>
    </row>
    <row r="369" spans="1:9" ht="16.5">
      <c r="A369" s="7" t="s">
        <v>1757</v>
      </c>
      <c r="B369" s="8" t="s">
        <v>6727</v>
      </c>
      <c r="C369" s="9" t="s">
        <v>3481</v>
      </c>
      <c r="D369" s="104"/>
      <c r="E369" s="104"/>
      <c r="F369" s="105">
        <f t="shared" si="11"/>
        <v>0</v>
      </c>
      <c r="G369" s="106">
        <f t="shared" si="10"/>
        <v>0</v>
      </c>
      <c r="H369" s="81">
        <v>1.5032000000000001</v>
      </c>
      <c r="I369" s="2619" t="s">
        <v>1146</v>
      </c>
    </row>
    <row r="370" spans="1:9" ht="16.5">
      <c r="A370" s="7" t="s">
        <v>1758</v>
      </c>
      <c r="B370" s="8" t="s">
        <v>6728</v>
      </c>
      <c r="C370" s="9" t="s">
        <v>3481</v>
      </c>
      <c r="D370" s="104"/>
      <c r="E370" s="104"/>
      <c r="F370" s="105">
        <f t="shared" si="11"/>
        <v>0</v>
      </c>
      <c r="G370" s="106">
        <f t="shared" si="10"/>
        <v>0</v>
      </c>
      <c r="H370" s="81">
        <v>0.43</v>
      </c>
      <c r="I370" s="2619" t="s">
        <v>1146</v>
      </c>
    </row>
    <row r="371" spans="1:9" ht="16.5">
      <c r="A371" s="7" t="s">
        <v>1759</v>
      </c>
      <c r="B371" s="8" t="s">
        <v>6729</v>
      </c>
      <c r="C371" s="9" t="s">
        <v>3481</v>
      </c>
      <c r="D371" s="104"/>
      <c r="E371" s="104"/>
      <c r="F371" s="105">
        <f t="shared" si="11"/>
        <v>0</v>
      </c>
      <c r="G371" s="106">
        <f t="shared" si="10"/>
        <v>0</v>
      </c>
      <c r="H371" s="81">
        <v>0.46939999999999998</v>
      </c>
      <c r="I371" s="2619" t="s">
        <v>1146</v>
      </c>
    </row>
    <row r="372" spans="1:9" ht="16.5">
      <c r="A372" s="7" t="s">
        <v>1760</v>
      </c>
      <c r="B372" s="8" t="s">
        <v>6730</v>
      </c>
      <c r="C372" s="9" t="s">
        <v>3481</v>
      </c>
      <c r="D372" s="104"/>
      <c r="E372" s="104"/>
      <c r="F372" s="105">
        <f t="shared" si="11"/>
        <v>0</v>
      </c>
      <c r="G372" s="106">
        <f t="shared" si="10"/>
        <v>0</v>
      </c>
      <c r="H372" s="81">
        <v>1.7997000000000001</v>
      </c>
      <c r="I372" s="2619" t="s">
        <v>1146</v>
      </c>
    </row>
    <row r="373" spans="1:9" ht="16.5">
      <c r="A373" s="7" t="s">
        <v>1761</v>
      </c>
      <c r="B373" s="8" t="s">
        <v>6731</v>
      </c>
      <c r="C373" s="9" t="s">
        <v>3481</v>
      </c>
      <c r="D373" s="104"/>
      <c r="E373" s="104"/>
      <c r="F373" s="105">
        <f t="shared" si="11"/>
        <v>0</v>
      </c>
      <c r="G373" s="106">
        <f t="shared" si="10"/>
        <v>0</v>
      </c>
      <c r="H373" s="81">
        <v>0.55959999999999999</v>
      </c>
      <c r="I373" s="2619" t="s">
        <v>1146</v>
      </c>
    </row>
    <row r="374" spans="1:9" ht="16.5">
      <c r="A374" s="7" t="s">
        <v>1762</v>
      </c>
      <c r="B374" s="8" t="s">
        <v>6732</v>
      </c>
      <c r="C374" s="9" t="s">
        <v>3481</v>
      </c>
      <c r="D374" s="104"/>
      <c r="E374" s="104"/>
      <c r="F374" s="105">
        <f t="shared" si="11"/>
        <v>0</v>
      </c>
      <c r="G374" s="106">
        <f t="shared" si="10"/>
        <v>0</v>
      </c>
      <c r="H374" s="81">
        <v>0.56879999999999997</v>
      </c>
      <c r="I374" s="2619" t="s">
        <v>1146</v>
      </c>
    </row>
    <row r="375" spans="1:9" ht="16.5">
      <c r="A375" s="7" t="s">
        <v>1763</v>
      </c>
      <c r="B375" s="8" t="s">
        <v>6733</v>
      </c>
      <c r="C375" s="9" t="s">
        <v>3481</v>
      </c>
      <c r="D375" s="104"/>
      <c r="E375" s="104"/>
      <c r="F375" s="105">
        <f t="shared" si="11"/>
        <v>0</v>
      </c>
      <c r="G375" s="106">
        <f t="shared" si="10"/>
        <v>0</v>
      </c>
      <c r="H375" s="81">
        <v>0.4506</v>
      </c>
      <c r="I375" s="2619" t="s">
        <v>1146</v>
      </c>
    </row>
    <row r="376" spans="1:9" ht="16.5">
      <c r="A376" s="7" t="s">
        <v>1764</v>
      </c>
      <c r="B376" s="8" t="s">
        <v>6734</v>
      </c>
      <c r="C376" s="9" t="s">
        <v>3481</v>
      </c>
      <c r="D376" s="104"/>
      <c r="E376" s="104"/>
      <c r="F376" s="105">
        <f t="shared" si="11"/>
        <v>0</v>
      </c>
      <c r="G376" s="106">
        <f t="shared" si="10"/>
        <v>0</v>
      </c>
      <c r="H376" s="81">
        <v>1.0640000000000001</v>
      </c>
      <c r="I376" s="2619" t="s">
        <v>1146</v>
      </c>
    </row>
    <row r="377" spans="1:9" ht="16.5">
      <c r="A377" s="7" t="s">
        <v>1765</v>
      </c>
      <c r="B377" s="8" t="s">
        <v>6735</v>
      </c>
      <c r="C377" s="9" t="s">
        <v>3481</v>
      </c>
      <c r="D377" s="104"/>
      <c r="E377" s="104"/>
      <c r="F377" s="105">
        <f t="shared" si="11"/>
        <v>0</v>
      </c>
      <c r="G377" s="106">
        <f t="shared" si="10"/>
        <v>0</v>
      </c>
      <c r="H377" s="81">
        <v>0.55930000000000002</v>
      </c>
      <c r="I377" s="2619" t="s">
        <v>1146</v>
      </c>
    </row>
    <row r="378" spans="1:9" ht="16.5">
      <c r="A378" s="7" t="s">
        <v>1766</v>
      </c>
      <c r="B378" s="8" t="s">
        <v>6736</v>
      </c>
      <c r="C378" s="9" t="s">
        <v>3481</v>
      </c>
      <c r="D378" s="104"/>
      <c r="E378" s="104"/>
      <c r="F378" s="105">
        <f t="shared" si="11"/>
        <v>0</v>
      </c>
      <c r="G378" s="106">
        <f t="shared" si="10"/>
        <v>0</v>
      </c>
      <c r="H378" s="81">
        <v>1.3586</v>
      </c>
      <c r="I378" s="2619" t="s">
        <v>1146</v>
      </c>
    </row>
    <row r="379" spans="1:9" ht="16.5">
      <c r="A379" s="7" t="s">
        <v>1767</v>
      </c>
      <c r="B379" s="8" t="s">
        <v>6737</v>
      </c>
      <c r="C379" s="9" t="s">
        <v>3481</v>
      </c>
      <c r="D379" s="104"/>
      <c r="E379" s="104"/>
      <c r="F379" s="105">
        <f t="shared" si="11"/>
        <v>0</v>
      </c>
      <c r="G379" s="106">
        <f t="shared" si="10"/>
        <v>0</v>
      </c>
      <c r="H379" s="81">
        <v>1.0447</v>
      </c>
      <c r="I379" s="2619" t="s">
        <v>1146</v>
      </c>
    </row>
    <row r="380" spans="1:9" ht="16.5">
      <c r="A380" s="7" t="s">
        <v>1768</v>
      </c>
      <c r="B380" s="8" t="s">
        <v>6738</v>
      </c>
      <c r="C380" s="9" t="s">
        <v>3481</v>
      </c>
      <c r="D380" s="104"/>
      <c r="E380" s="104"/>
      <c r="F380" s="105">
        <f t="shared" si="11"/>
        <v>0</v>
      </c>
      <c r="G380" s="106">
        <f t="shared" si="10"/>
        <v>0</v>
      </c>
      <c r="H380" s="81">
        <v>1.0736000000000001</v>
      </c>
      <c r="I380" s="2619" t="s">
        <v>1146</v>
      </c>
    </row>
    <row r="381" spans="1:9" ht="16.5">
      <c r="A381" s="7" t="s">
        <v>1769</v>
      </c>
      <c r="B381" s="8" t="s">
        <v>6739</v>
      </c>
      <c r="C381" s="9" t="s">
        <v>3481</v>
      </c>
      <c r="D381" s="104"/>
      <c r="E381" s="104"/>
      <c r="F381" s="105">
        <f t="shared" si="11"/>
        <v>0</v>
      </c>
      <c r="G381" s="106">
        <f t="shared" si="10"/>
        <v>0</v>
      </c>
      <c r="H381" s="81">
        <v>0.48380000000000001</v>
      </c>
      <c r="I381" s="2619" t="s">
        <v>1146</v>
      </c>
    </row>
    <row r="382" spans="1:9" ht="16.5">
      <c r="A382" s="7" t="s">
        <v>1770</v>
      </c>
      <c r="B382" s="8" t="s">
        <v>6740</v>
      </c>
      <c r="C382" s="9" t="s">
        <v>3481</v>
      </c>
      <c r="D382" s="104"/>
      <c r="E382" s="104"/>
      <c r="F382" s="105">
        <f t="shared" si="11"/>
        <v>0</v>
      </c>
      <c r="G382" s="106">
        <f t="shared" si="10"/>
        <v>0</v>
      </c>
      <c r="H382" s="81">
        <v>0.72199999999999998</v>
      </c>
      <c r="I382" s="2619" t="s">
        <v>1146</v>
      </c>
    </row>
    <row r="383" spans="1:9" ht="16.5">
      <c r="A383" s="7" t="s">
        <v>1771</v>
      </c>
      <c r="B383" s="8" t="s">
        <v>6741</v>
      </c>
      <c r="C383" s="9" t="s">
        <v>3481</v>
      </c>
      <c r="D383" s="104"/>
      <c r="E383" s="104"/>
      <c r="F383" s="105">
        <f t="shared" si="11"/>
        <v>0</v>
      </c>
      <c r="G383" s="106">
        <f t="shared" si="10"/>
        <v>0</v>
      </c>
      <c r="H383" s="81">
        <v>0.39760000000000001</v>
      </c>
      <c r="I383" s="2619" t="s">
        <v>1146</v>
      </c>
    </row>
    <row r="384" spans="1:9" ht="16.5">
      <c r="A384" s="7" t="s">
        <v>1772</v>
      </c>
      <c r="B384" s="8" t="s">
        <v>6742</v>
      </c>
      <c r="C384" s="9" t="s">
        <v>3481</v>
      </c>
      <c r="D384" s="104"/>
      <c r="E384" s="104"/>
      <c r="F384" s="105">
        <f t="shared" si="11"/>
        <v>0</v>
      </c>
      <c r="G384" s="106">
        <f t="shared" si="10"/>
        <v>0</v>
      </c>
      <c r="H384" s="81">
        <v>1.1597999999999999</v>
      </c>
      <c r="I384" s="2619" t="s">
        <v>1146</v>
      </c>
    </row>
    <row r="385" spans="1:9" ht="16.5">
      <c r="A385" s="7" t="s">
        <v>1773</v>
      </c>
      <c r="B385" s="8" t="s">
        <v>6743</v>
      </c>
      <c r="C385" s="9" t="s">
        <v>3481</v>
      </c>
      <c r="D385" s="104"/>
      <c r="E385" s="104"/>
      <c r="F385" s="105">
        <f t="shared" si="11"/>
        <v>0</v>
      </c>
      <c r="G385" s="106">
        <f t="shared" si="10"/>
        <v>0</v>
      </c>
      <c r="H385" s="81">
        <v>0.86599999999999999</v>
      </c>
      <c r="I385" s="2619" t="s">
        <v>1146</v>
      </c>
    </row>
    <row r="386" spans="1:9" ht="16.5">
      <c r="A386" s="7" t="s">
        <v>1774</v>
      </c>
      <c r="B386" s="8" t="s">
        <v>6744</v>
      </c>
      <c r="C386" s="9" t="s">
        <v>3481</v>
      </c>
      <c r="D386" s="104"/>
      <c r="E386" s="104"/>
      <c r="F386" s="105">
        <f t="shared" si="11"/>
        <v>0</v>
      </c>
      <c r="G386" s="106">
        <f t="shared" si="10"/>
        <v>0</v>
      </c>
      <c r="H386" s="81">
        <v>0.21920000000000001</v>
      </c>
      <c r="I386" s="2619" t="s">
        <v>1146</v>
      </c>
    </row>
    <row r="387" spans="1:9" ht="16.5">
      <c r="A387" s="7" t="s">
        <v>1775</v>
      </c>
      <c r="B387" s="8" t="s">
        <v>6745</v>
      </c>
      <c r="C387" s="9" t="s">
        <v>3481</v>
      </c>
      <c r="D387" s="104"/>
      <c r="E387" s="104"/>
      <c r="F387" s="105">
        <f t="shared" si="11"/>
        <v>0</v>
      </c>
      <c r="G387" s="106">
        <f t="shared" si="10"/>
        <v>0</v>
      </c>
      <c r="H387" s="81">
        <v>0.86599999999999999</v>
      </c>
      <c r="I387" s="2619" t="s">
        <v>1146</v>
      </c>
    </row>
    <row r="388" spans="1:9" ht="16.5">
      <c r="A388" s="7" t="s">
        <v>1776</v>
      </c>
      <c r="B388" s="8" t="s">
        <v>6746</v>
      </c>
      <c r="C388" s="9" t="s">
        <v>3481</v>
      </c>
      <c r="D388" s="104"/>
      <c r="E388" s="104"/>
      <c r="F388" s="105">
        <f t="shared" si="11"/>
        <v>0</v>
      </c>
      <c r="G388" s="106">
        <f t="shared" ref="G388:G451" si="12">IF($F$1265=0,0,F388/$F$1265)</f>
        <v>0</v>
      </c>
      <c r="H388" s="81">
        <v>0.2334</v>
      </c>
      <c r="I388" s="2619" t="s">
        <v>1146</v>
      </c>
    </row>
    <row r="389" spans="1:9" ht="16.5">
      <c r="A389" s="7" t="s">
        <v>1777</v>
      </c>
      <c r="B389" s="8" t="s">
        <v>6747</v>
      </c>
      <c r="C389" s="9" t="s">
        <v>3481</v>
      </c>
      <c r="D389" s="104"/>
      <c r="E389" s="104"/>
      <c r="F389" s="105">
        <f t="shared" ref="F389:F452" si="13">D389*E389</f>
        <v>0</v>
      </c>
      <c r="G389" s="106">
        <f t="shared" si="12"/>
        <v>0</v>
      </c>
      <c r="H389" s="81">
        <v>0.47839999999999999</v>
      </c>
      <c r="I389" s="2619" t="s">
        <v>1146</v>
      </c>
    </row>
    <row r="390" spans="1:9" ht="16.5">
      <c r="A390" s="7" t="s">
        <v>1778</v>
      </c>
      <c r="B390" s="8" t="s">
        <v>6748</v>
      </c>
      <c r="C390" s="9" t="s">
        <v>3481</v>
      </c>
      <c r="D390" s="104"/>
      <c r="E390" s="104"/>
      <c r="F390" s="105">
        <f t="shared" si="13"/>
        <v>0</v>
      </c>
      <c r="G390" s="106">
        <f t="shared" si="12"/>
        <v>0</v>
      </c>
      <c r="H390" s="81">
        <v>0.6895</v>
      </c>
      <c r="I390" s="2619" t="s">
        <v>1146</v>
      </c>
    </row>
    <row r="391" spans="1:9" ht="16.5">
      <c r="A391" s="7" t="s">
        <v>1779</v>
      </c>
      <c r="B391" s="8" t="s">
        <v>6749</v>
      </c>
      <c r="C391" s="9" t="s">
        <v>3481</v>
      </c>
      <c r="D391" s="104"/>
      <c r="E391" s="104"/>
      <c r="F391" s="105">
        <f t="shared" si="13"/>
        <v>0</v>
      </c>
      <c r="G391" s="106">
        <f t="shared" si="12"/>
        <v>0</v>
      </c>
      <c r="H391" s="81">
        <v>0.99539999999999995</v>
      </c>
      <c r="I391" s="2619" t="s">
        <v>1146</v>
      </c>
    </row>
    <row r="392" spans="1:9" ht="16.5">
      <c r="A392" s="7" t="s">
        <v>1780</v>
      </c>
      <c r="B392" s="8" t="s">
        <v>6750</v>
      </c>
      <c r="C392" s="9" t="s">
        <v>3481</v>
      </c>
      <c r="D392" s="104"/>
      <c r="E392" s="104"/>
      <c r="F392" s="105">
        <f t="shared" si="13"/>
        <v>0</v>
      </c>
      <c r="G392" s="106">
        <f t="shared" si="12"/>
        <v>0</v>
      </c>
      <c r="H392" s="81">
        <v>0.41799999999999998</v>
      </c>
      <c r="I392" s="2619" t="s">
        <v>1146</v>
      </c>
    </row>
    <row r="393" spans="1:9" ht="16.5">
      <c r="A393" s="7" t="s">
        <v>1781</v>
      </c>
      <c r="B393" s="8" t="s">
        <v>6751</v>
      </c>
      <c r="C393" s="9" t="s">
        <v>3481</v>
      </c>
      <c r="D393" s="104"/>
      <c r="E393" s="104"/>
      <c r="F393" s="105">
        <f t="shared" si="13"/>
        <v>0</v>
      </c>
      <c r="G393" s="106">
        <f t="shared" si="12"/>
        <v>0</v>
      </c>
      <c r="H393" s="81">
        <v>1.6534</v>
      </c>
      <c r="I393" s="2619" t="s">
        <v>1146</v>
      </c>
    </row>
    <row r="394" spans="1:9" ht="16.5">
      <c r="A394" s="7" t="s">
        <v>1782</v>
      </c>
      <c r="B394" s="8" t="s">
        <v>6752</v>
      </c>
      <c r="C394" s="9" t="s">
        <v>3481</v>
      </c>
      <c r="D394" s="104"/>
      <c r="E394" s="104"/>
      <c r="F394" s="105">
        <f t="shared" si="13"/>
        <v>0</v>
      </c>
      <c r="G394" s="106">
        <f t="shared" si="12"/>
        <v>0</v>
      </c>
      <c r="H394" s="81">
        <v>0.46610000000000001</v>
      </c>
      <c r="I394" s="2619" t="s">
        <v>1146</v>
      </c>
    </row>
    <row r="395" spans="1:9" ht="16.5">
      <c r="A395" s="7" t="s">
        <v>1783</v>
      </c>
      <c r="B395" s="8" t="s">
        <v>6753</v>
      </c>
      <c r="C395" s="9" t="s">
        <v>3481</v>
      </c>
      <c r="D395" s="104"/>
      <c r="E395" s="104"/>
      <c r="F395" s="105">
        <f t="shared" si="13"/>
        <v>0</v>
      </c>
      <c r="G395" s="106">
        <f t="shared" si="12"/>
        <v>0</v>
      </c>
      <c r="H395" s="81">
        <v>1.3596999999999999</v>
      </c>
      <c r="I395" s="2619" t="s">
        <v>1146</v>
      </c>
    </row>
    <row r="396" spans="1:9" ht="16.5">
      <c r="A396" s="7" t="s">
        <v>1784</v>
      </c>
      <c r="B396" s="8" t="s">
        <v>6754</v>
      </c>
      <c r="C396" s="9" t="s">
        <v>3481</v>
      </c>
      <c r="D396" s="104"/>
      <c r="E396" s="104"/>
      <c r="F396" s="105">
        <f t="shared" si="13"/>
        <v>0</v>
      </c>
      <c r="G396" s="106">
        <f t="shared" si="12"/>
        <v>0</v>
      </c>
      <c r="H396" s="81">
        <v>1.0835999999999999</v>
      </c>
      <c r="I396" s="2619" t="s">
        <v>1146</v>
      </c>
    </row>
    <row r="397" spans="1:9" ht="16.5">
      <c r="A397" s="7" t="s">
        <v>1785</v>
      </c>
      <c r="B397" s="8" t="s">
        <v>6755</v>
      </c>
      <c r="C397" s="9" t="s">
        <v>3481</v>
      </c>
      <c r="D397" s="104"/>
      <c r="E397" s="104"/>
      <c r="F397" s="105">
        <f t="shared" si="13"/>
        <v>0</v>
      </c>
      <c r="G397" s="106">
        <f t="shared" si="12"/>
        <v>0</v>
      </c>
      <c r="H397" s="81">
        <v>0.49580000000000002</v>
      </c>
      <c r="I397" s="2619" t="s">
        <v>1146</v>
      </c>
    </row>
    <row r="398" spans="1:9" ht="16.5">
      <c r="A398" s="7" t="s">
        <v>1786</v>
      </c>
      <c r="B398" s="8" t="s">
        <v>6756</v>
      </c>
      <c r="C398" s="9" t="s">
        <v>3481</v>
      </c>
      <c r="D398" s="104"/>
      <c r="E398" s="104"/>
      <c r="F398" s="105">
        <f t="shared" si="13"/>
        <v>0</v>
      </c>
      <c r="G398" s="106">
        <f t="shared" si="12"/>
        <v>0</v>
      </c>
      <c r="H398" s="81">
        <v>1.1304000000000001</v>
      </c>
      <c r="I398" s="2619" t="s">
        <v>1146</v>
      </c>
    </row>
    <row r="399" spans="1:9" ht="16.5">
      <c r="A399" s="7" t="s">
        <v>1787</v>
      </c>
      <c r="B399" s="8" t="s">
        <v>6757</v>
      </c>
      <c r="C399" s="9" t="s">
        <v>3481</v>
      </c>
      <c r="D399" s="104"/>
      <c r="E399" s="104"/>
      <c r="F399" s="105">
        <f t="shared" si="13"/>
        <v>0</v>
      </c>
      <c r="G399" s="106">
        <f t="shared" si="12"/>
        <v>0</v>
      </c>
      <c r="H399" s="81">
        <v>1.302</v>
      </c>
      <c r="I399" s="2619" t="s">
        <v>1146</v>
      </c>
    </row>
    <row r="400" spans="1:9" ht="16.5">
      <c r="A400" s="7" t="s">
        <v>1788</v>
      </c>
      <c r="B400" s="8" t="s">
        <v>6758</v>
      </c>
      <c r="C400" s="9" t="s">
        <v>3481</v>
      </c>
      <c r="D400" s="104"/>
      <c r="E400" s="104"/>
      <c r="F400" s="105">
        <f t="shared" si="13"/>
        <v>0</v>
      </c>
      <c r="G400" s="106">
        <f t="shared" si="12"/>
        <v>0</v>
      </c>
      <c r="H400" s="81">
        <v>0.26279999999999998</v>
      </c>
      <c r="I400" s="2619" t="s">
        <v>1146</v>
      </c>
    </row>
    <row r="401" spans="1:9" ht="16.5">
      <c r="A401" s="7" t="s">
        <v>1789</v>
      </c>
      <c r="B401" s="8" t="s">
        <v>6759</v>
      </c>
      <c r="C401" s="9" t="s">
        <v>3481</v>
      </c>
      <c r="D401" s="104"/>
      <c r="E401" s="104"/>
      <c r="F401" s="105">
        <f t="shared" si="13"/>
        <v>0</v>
      </c>
      <c r="G401" s="106">
        <f t="shared" si="12"/>
        <v>0</v>
      </c>
      <c r="H401" s="81">
        <v>0.16250000000000001</v>
      </c>
      <c r="I401" s="2619" t="s">
        <v>1146</v>
      </c>
    </row>
    <row r="402" spans="1:9" ht="16.5">
      <c r="A402" s="7" t="s">
        <v>1790</v>
      </c>
      <c r="B402" s="8" t="s">
        <v>6760</v>
      </c>
      <c r="C402" s="9" t="s">
        <v>3481</v>
      </c>
      <c r="D402" s="104"/>
      <c r="E402" s="104"/>
      <c r="F402" s="105">
        <f t="shared" si="13"/>
        <v>0</v>
      </c>
      <c r="G402" s="106">
        <f t="shared" si="12"/>
        <v>0</v>
      </c>
      <c r="H402" s="81">
        <v>0.42580000000000001</v>
      </c>
      <c r="I402" s="2619" t="s">
        <v>1146</v>
      </c>
    </row>
    <row r="403" spans="1:9" ht="16.5">
      <c r="A403" s="7" t="s">
        <v>1791</v>
      </c>
      <c r="B403" s="8" t="s">
        <v>6761</v>
      </c>
      <c r="C403" s="9" t="s">
        <v>3481</v>
      </c>
      <c r="D403" s="104"/>
      <c r="E403" s="104"/>
      <c r="F403" s="105">
        <f t="shared" si="13"/>
        <v>0</v>
      </c>
      <c r="G403" s="106">
        <f t="shared" si="12"/>
        <v>0</v>
      </c>
      <c r="H403" s="81">
        <v>0.15240000000000001</v>
      </c>
      <c r="I403" s="2619" t="s">
        <v>1146</v>
      </c>
    </row>
    <row r="404" spans="1:9" ht="16.5">
      <c r="A404" s="7" t="s">
        <v>1792</v>
      </c>
      <c r="B404" s="8" t="s">
        <v>6762</v>
      </c>
      <c r="C404" s="9" t="s">
        <v>3481</v>
      </c>
      <c r="D404" s="104"/>
      <c r="E404" s="104"/>
      <c r="F404" s="105">
        <f t="shared" si="13"/>
        <v>0</v>
      </c>
      <c r="G404" s="106">
        <f t="shared" si="12"/>
        <v>0</v>
      </c>
      <c r="H404" s="81">
        <v>8.5999999999999993E-2</v>
      </c>
      <c r="I404" s="2619" t="s">
        <v>1146</v>
      </c>
    </row>
    <row r="405" spans="1:9" ht="16.5">
      <c r="A405" s="7" t="s">
        <v>1793</v>
      </c>
      <c r="B405" s="8" t="s">
        <v>6763</v>
      </c>
      <c r="C405" s="9" t="s">
        <v>3481</v>
      </c>
      <c r="D405" s="104"/>
      <c r="E405" s="104"/>
      <c r="F405" s="105">
        <f t="shared" si="13"/>
        <v>0</v>
      </c>
      <c r="G405" s="106">
        <f t="shared" si="12"/>
        <v>0</v>
      </c>
      <c r="H405" s="81">
        <v>1.2744</v>
      </c>
      <c r="I405" s="2619" t="s">
        <v>1146</v>
      </c>
    </row>
    <row r="406" spans="1:9" ht="16.5">
      <c r="A406" s="7" t="s">
        <v>1794</v>
      </c>
      <c r="B406" s="8" t="s">
        <v>6764</v>
      </c>
      <c r="C406" s="9" t="s">
        <v>3481</v>
      </c>
      <c r="D406" s="104"/>
      <c r="E406" s="104"/>
      <c r="F406" s="105">
        <f t="shared" si="13"/>
        <v>0</v>
      </c>
      <c r="G406" s="106">
        <f t="shared" si="12"/>
        <v>0</v>
      </c>
      <c r="H406" s="81">
        <v>0.16200000000000001</v>
      </c>
      <c r="I406" s="2619" t="s">
        <v>1146</v>
      </c>
    </row>
    <row r="407" spans="1:9" ht="16.5">
      <c r="A407" s="7" t="s">
        <v>1795</v>
      </c>
      <c r="B407" s="8" t="s">
        <v>6765</v>
      </c>
      <c r="C407" s="9" t="s">
        <v>3481</v>
      </c>
      <c r="D407" s="104"/>
      <c r="E407" s="104"/>
      <c r="F407" s="105">
        <f t="shared" si="13"/>
        <v>0</v>
      </c>
      <c r="G407" s="106">
        <f t="shared" si="12"/>
        <v>0</v>
      </c>
      <c r="H407" s="81">
        <v>0.6885</v>
      </c>
      <c r="I407" s="2619" t="s">
        <v>1146</v>
      </c>
    </row>
    <row r="408" spans="1:9" ht="16.5">
      <c r="A408" s="7" t="s">
        <v>1796</v>
      </c>
      <c r="B408" s="8" t="s">
        <v>6766</v>
      </c>
      <c r="C408" s="9" t="s">
        <v>3481</v>
      </c>
      <c r="D408" s="104"/>
      <c r="E408" s="104"/>
      <c r="F408" s="105">
        <f t="shared" si="13"/>
        <v>0</v>
      </c>
      <c r="G408" s="106">
        <f t="shared" si="12"/>
        <v>0</v>
      </c>
      <c r="H408" s="81">
        <v>0.29780000000000001</v>
      </c>
      <c r="I408" s="2619" t="s">
        <v>1146</v>
      </c>
    </row>
    <row r="409" spans="1:9" ht="16.5">
      <c r="A409" s="7" t="s">
        <v>1797</v>
      </c>
      <c r="B409" s="8" t="s">
        <v>6767</v>
      </c>
      <c r="C409" s="9" t="s">
        <v>3481</v>
      </c>
      <c r="D409" s="104"/>
      <c r="E409" s="104"/>
      <c r="F409" s="105">
        <f t="shared" si="13"/>
        <v>0</v>
      </c>
      <c r="G409" s="106">
        <f t="shared" si="12"/>
        <v>0</v>
      </c>
      <c r="H409" s="81">
        <v>0.52500000000000002</v>
      </c>
      <c r="I409" s="2619" t="s">
        <v>1146</v>
      </c>
    </row>
    <row r="410" spans="1:9" ht="16.5">
      <c r="A410" s="7" t="s">
        <v>1798</v>
      </c>
      <c r="B410" s="8" t="s">
        <v>6768</v>
      </c>
      <c r="C410" s="9" t="s">
        <v>3481</v>
      </c>
      <c r="D410" s="104"/>
      <c r="E410" s="104"/>
      <c r="F410" s="105">
        <f t="shared" si="13"/>
        <v>0</v>
      </c>
      <c r="G410" s="106">
        <f t="shared" si="12"/>
        <v>0</v>
      </c>
      <c r="H410" s="81">
        <v>0.47360000000000002</v>
      </c>
      <c r="I410" s="2619" t="s">
        <v>1146</v>
      </c>
    </row>
    <row r="411" spans="1:9" ht="16.5">
      <c r="A411" s="7" t="s">
        <v>1799</v>
      </c>
      <c r="B411" s="8" t="s">
        <v>6769</v>
      </c>
      <c r="C411" s="9" t="s">
        <v>3481</v>
      </c>
      <c r="D411" s="104"/>
      <c r="E411" s="104"/>
      <c r="F411" s="105">
        <f t="shared" si="13"/>
        <v>0</v>
      </c>
      <c r="G411" s="106">
        <f t="shared" si="12"/>
        <v>0</v>
      </c>
      <c r="H411" s="81">
        <v>0.40579999999999999</v>
      </c>
      <c r="I411" s="2619" t="s">
        <v>1146</v>
      </c>
    </row>
    <row r="412" spans="1:9" ht="16.5">
      <c r="A412" s="7" t="s">
        <v>1800</v>
      </c>
      <c r="B412" s="8" t="s">
        <v>6770</v>
      </c>
      <c r="C412" s="9" t="s">
        <v>3481</v>
      </c>
      <c r="D412" s="104"/>
      <c r="E412" s="104"/>
      <c r="F412" s="105">
        <f t="shared" si="13"/>
        <v>0</v>
      </c>
      <c r="G412" s="106">
        <f t="shared" si="12"/>
        <v>0</v>
      </c>
      <c r="H412" s="81">
        <v>0.77339999999999998</v>
      </c>
      <c r="I412" s="2619" t="s">
        <v>1146</v>
      </c>
    </row>
    <row r="413" spans="1:9" ht="16.5">
      <c r="A413" s="7" t="s">
        <v>1801</v>
      </c>
      <c r="B413" s="8" t="s">
        <v>6771</v>
      </c>
      <c r="C413" s="9" t="s">
        <v>3481</v>
      </c>
      <c r="D413" s="104"/>
      <c r="E413" s="104"/>
      <c r="F413" s="105">
        <f t="shared" si="13"/>
        <v>0</v>
      </c>
      <c r="G413" s="106">
        <f t="shared" si="12"/>
        <v>0</v>
      </c>
      <c r="H413" s="81">
        <v>1.2563</v>
      </c>
      <c r="I413" s="2619" t="s">
        <v>1146</v>
      </c>
    </row>
    <row r="414" spans="1:9" ht="16.5">
      <c r="A414" s="7" t="s">
        <v>1802</v>
      </c>
      <c r="B414" s="8" t="s">
        <v>6772</v>
      </c>
      <c r="C414" s="9" t="s">
        <v>3481</v>
      </c>
      <c r="D414" s="104"/>
      <c r="E414" s="104"/>
      <c r="F414" s="105">
        <f t="shared" si="13"/>
        <v>0</v>
      </c>
      <c r="G414" s="106">
        <f t="shared" si="12"/>
        <v>0</v>
      </c>
      <c r="H414" s="81">
        <v>0.34920000000000001</v>
      </c>
      <c r="I414" s="2619" t="s">
        <v>1146</v>
      </c>
    </row>
    <row r="415" spans="1:9" ht="16.5">
      <c r="A415" s="7" t="s">
        <v>1803</v>
      </c>
      <c r="B415" s="8" t="s">
        <v>6773</v>
      </c>
      <c r="C415" s="9" t="s">
        <v>3481</v>
      </c>
      <c r="D415" s="104"/>
      <c r="E415" s="104"/>
      <c r="F415" s="105">
        <f t="shared" si="13"/>
        <v>0</v>
      </c>
      <c r="G415" s="106">
        <f t="shared" si="12"/>
        <v>0</v>
      </c>
      <c r="H415" s="81">
        <v>0.51690000000000003</v>
      </c>
      <c r="I415" s="2619" t="s">
        <v>1146</v>
      </c>
    </row>
    <row r="416" spans="1:9" ht="16.5">
      <c r="A416" s="7" t="s">
        <v>1804</v>
      </c>
      <c r="B416" s="8" t="s">
        <v>6774</v>
      </c>
      <c r="C416" s="9" t="s">
        <v>3481</v>
      </c>
      <c r="D416" s="104"/>
      <c r="E416" s="104"/>
      <c r="F416" s="105">
        <f t="shared" si="13"/>
        <v>0</v>
      </c>
      <c r="G416" s="106">
        <f t="shared" si="12"/>
        <v>0</v>
      </c>
      <c r="H416" s="81">
        <v>1.5259</v>
      </c>
      <c r="I416" s="2619" t="s">
        <v>1146</v>
      </c>
    </row>
    <row r="417" spans="1:9" ht="16.5">
      <c r="A417" s="7" t="s">
        <v>1805</v>
      </c>
      <c r="B417" s="8" t="s">
        <v>6775</v>
      </c>
      <c r="C417" s="9" t="s">
        <v>3481</v>
      </c>
      <c r="D417" s="104"/>
      <c r="E417" s="104"/>
      <c r="F417" s="105">
        <f t="shared" si="13"/>
        <v>0</v>
      </c>
      <c r="G417" s="106">
        <f t="shared" si="12"/>
        <v>0</v>
      </c>
      <c r="H417" s="81">
        <v>1.0388999999999999</v>
      </c>
      <c r="I417" s="2619" t="s">
        <v>1146</v>
      </c>
    </row>
    <row r="418" spans="1:9" ht="16.5">
      <c r="A418" s="7" t="s">
        <v>1806</v>
      </c>
      <c r="B418" s="8" t="s">
        <v>6776</v>
      </c>
      <c r="C418" s="9" t="s">
        <v>3481</v>
      </c>
      <c r="D418" s="104"/>
      <c r="E418" s="104"/>
      <c r="F418" s="105">
        <f t="shared" si="13"/>
        <v>0</v>
      </c>
      <c r="G418" s="106">
        <f t="shared" si="12"/>
        <v>0</v>
      </c>
      <c r="H418" s="81">
        <v>1.1329</v>
      </c>
      <c r="I418" s="2619" t="s">
        <v>1146</v>
      </c>
    </row>
    <row r="419" spans="1:9" ht="16.5">
      <c r="A419" s="7" t="s">
        <v>1807</v>
      </c>
      <c r="B419" s="8" t="s">
        <v>6777</v>
      </c>
      <c r="C419" s="9" t="s">
        <v>3481</v>
      </c>
      <c r="D419" s="104"/>
      <c r="E419" s="104"/>
      <c r="F419" s="105">
        <f t="shared" si="13"/>
        <v>0</v>
      </c>
      <c r="G419" s="106">
        <f t="shared" si="12"/>
        <v>0</v>
      </c>
      <c r="H419" s="81">
        <v>0.71230000000000004</v>
      </c>
      <c r="I419" s="2619" t="s">
        <v>1146</v>
      </c>
    </row>
    <row r="420" spans="1:9" ht="16.5">
      <c r="A420" s="7" t="s">
        <v>1808</v>
      </c>
      <c r="B420" s="8" t="s">
        <v>6778</v>
      </c>
      <c r="C420" s="9" t="s">
        <v>3481</v>
      </c>
      <c r="D420" s="104"/>
      <c r="E420" s="104"/>
      <c r="F420" s="105">
        <f t="shared" si="13"/>
        <v>0</v>
      </c>
      <c r="G420" s="106">
        <f t="shared" si="12"/>
        <v>0</v>
      </c>
      <c r="H420" s="81">
        <v>0.84540000000000004</v>
      </c>
      <c r="I420" s="2619" t="s">
        <v>1146</v>
      </c>
    </row>
    <row r="421" spans="1:9" ht="16.5">
      <c r="A421" s="7" t="s">
        <v>1809</v>
      </c>
      <c r="B421" s="8" t="s">
        <v>6779</v>
      </c>
      <c r="C421" s="9" t="s">
        <v>3481</v>
      </c>
      <c r="D421" s="104"/>
      <c r="E421" s="104"/>
      <c r="F421" s="105">
        <f t="shared" si="13"/>
        <v>0</v>
      </c>
      <c r="G421" s="106">
        <f t="shared" si="12"/>
        <v>0</v>
      </c>
      <c r="H421" s="81">
        <v>0.24210000000000001</v>
      </c>
      <c r="I421" s="2619" t="s">
        <v>1146</v>
      </c>
    </row>
    <row r="422" spans="1:9" ht="16.5">
      <c r="A422" s="7" t="s">
        <v>1810</v>
      </c>
      <c r="B422" s="8" t="s">
        <v>6780</v>
      </c>
      <c r="C422" s="9" t="s">
        <v>3481</v>
      </c>
      <c r="D422" s="104"/>
      <c r="E422" s="104"/>
      <c r="F422" s="105">
        <f t="shared" si="13"/>
        <v>0</v>
      </c>
      <c r="G422" s="106">
        <f t="shared" si="12"/>
        <v>0</v>
      </c>
      <c r="H422" s="81">
        <v>0.51119999999999999</v>
      </c>
      <c r="I422" s="2619" t="s">
        <v>1146</v>
      </c>
    </row>
    <row r="423" spans="1:9" ht="16.5">
      <c r="A423" s="7" t="s">
        <v>1811</v>
      </c>
      <c r="B423" s="8" t="s">
        <v>6781</v>
      </c>
      <c r="C423" s="9" t="s">
        <v>3481</v>
      </c>
      <c r="D423" s="104"/>
      <c r="E423" s="104"/>
      <c r="F423" s="105">
        <f t="shared" si="13"/>
        <v>0</v>
      </c>
      <c r="G423" s="106">
        <f t="shared" si="12"/>
        <v>0</v>
      </c>
      <c r="H423" s="81">
        <v>0.4496</v>
      </c>
      <c r="I423" s="2619" t="s">
        <v>1146</v>
      </c>
    </row>
    <row r="424" spans="1:9" ht="16.5">
      <c r="A424" s="7" t="s">
        <v>1812</v>
      </c>
      <c r="B424" s="8" t="s">
        <v>6782</v>
      </c>
      <c r="C424" s="9" t="s">
        <v>3481</v>
      </c>
      <c r="D424" s="104"/>
      <c r="E424" s="104"/>
      <c r="F424" s="105">
        <f t="shared" si="13"/>
        <v>0</v>
      </c>
      <c r="G424" s="106">
        <f t="shared" si="12"/>
        <v>0</v>
      </c>
      <c r="H424" s="81">
        <v>0.67810000000000004</v>
      </c>
      <c r="I424" s="2619" t="s">
        <v>1146</v>
      </c>
    </row>
    <row r="425" spans="1:9" ht="16.5">
      <c r="A425" s="7" t="s">
        <v>1813</v>
      </c>
      <c r="B425" s="8" t="s">
        <v>6783</v>
      </c>
      <c r="C425" s="9" t="s">
        <v>3481</v>
      </c>
      <c r="D425" s="104"/>
      <c r="E425" s="104"/>
      <c r="F425" s="105">
        <f t="shared" si="13"/>
        <v>0</v>
      </c>
      <c r="G425" s="106">
        <f t="shared" si="12"/>
        <v>0</v>
      </c>
      <c r="H425" s="81">
        <v>0.51070000000000004</v>
      </c>
      <c r="I425" s="2619" t="s">
        <v>1146</v>
      </c>
    </row>
    <row r="426" spans="1:9" ht="16.5">
      <c r="A426" s="7" t="s">
        <v>1814</v>
      </c>
      <c r="B426" s="8" t="s">
        <v>6784</v>
      </c>
      <c r="C426" s="9" t="s">
        <v>3481</v>
      </c>
      <c r="D426" s="104"/>
      <c r="E426" s="104"/>
      <c r="F426" s="105">
        <f t="shared" si="13"/>
        <v>0</v>
      </c>
      <c r="G426" s="106">
        <f t="shared" si="12"/>
        <v>0</v>
      </c>
      <c r="H426" s="81">
        <v>1.2314000000000001</v>
      </c>
      <c r="I426" s="2619" t="s">
        <v>1146</v>
      </c>
    </row>
    <row r="427" spans="1:9" ht="16.5">
      <c r="A427" s="7" t="s">
        <v>1815</v>
      </c>
      <c r="B427" s="8" t="s">
        <v>6785</v>
      </c>
      <c r="C427" s="9" t="s">
        <v>3481</v>
      </c>
      <c r="D427" s="104"/>
      <c r="E427" s="104"/>
      <c r="F427" s="105">
        <f t="shared" si="13"/>
        <v>0</v>
      </c>
      <c r="G427" s="106">
        <f t="shared" si="12"/>
        <v>0</v>
      </c>
      <c r="H427" s="81">
        <v>0.3256</v>
      </c>
      <c r="I427" s="2619" t="s">
        <v>1146</v>
      </c>
    </row>
    <row r="428" spans="1:9" ht="16.5">
      <c r="A428" s="7" t="s">
        <v>1816</v>
      </c>
      <c r="B428" s="8" t="s">
        <v>6786</v>
      </c>
      <c r="C428" s="9" t="s">
        <v>3481</v>
      </c>
      <c r="D428" s="104"/>
      <c r="E428" s="104"/>
      <c r="F428" s="105">
        <f t="shared" si="13"/>
        <v>0</v>
      </c>
      <c r="G428" s="106">
        <f t="shared" si="12"/>
        <v>0</v>
      </c>
      <c r="H428" s="81">
        <v>0.50990000000000002</v>
      </c>
      <c r="I428" s="2619" t="s">
        <v>1146</v>
      </c>
    </row>
    <row r="429" spans="1:9" ht="16.5">
      <c r="A429" s="7" t="s">
        <v>1817</v>
      </c>
      <c r="B429" s="8" t="s">
        <v>6787</v>
      </c>
      <c r="C429" s="9" t="s">
        <v>3481</v>
      </c>
      <c r="D429" s="104"/>
      <c r="E429" s="104"/>
      <c r="F429" s="105">
        <f t="shared" si="13"/>
        <v>0</v>
      </c>
      <c r="G429" s="106">
        <f t="shared" si="12"/>
        <v>0</v>
      </c>
      <c r="H429" s="81">
        <v>0.83250000000000002</v>
      </c>
      <c r="I429" s="2619" t="s">
        <v>1146</v>
      </c>
    </row>
    <row r="430" spans="1:9" ht="16.5">
      <c r="A430" s="7" t="s">
        <v>1818</v>
      </c>
      <c r="B430" s="8" t="s">
        <v>6788</v>
      </c>
      <c r="C430" s="9" t="s">
        <v>3481</v>
      </c>
      <c r="D430" s="104"/>
      <c r="E430" s="104"/>
      <c r="F430" s="105">
        <f t="shared" si="13"/>
        <v>0</v>
      </c>
      <c r="G430" s="106">
        <f t="shared" si="12"/>
        <v>0</v>
      </c>
      <c r="H430" s="81">
        <v>1.1307</v>
      </c>
      <c r="I430" s="2619" t="s">
        <v>1146</v>
      </c>
    </row>
    <row r="431" spans="1:9" ht="16.5">
      <c r="A431" s="7" t="s">
        <v>1819</v>
      </c>
      <c r="B431" s="8" t="s">
        <v>6789</v>
      </c>
      <c r="C431" s="9" t="s">
        <v>3481</v>
      </c>
      <c r="D431" s="104"/>
      <c r="E431" s="104"/>
      <c r="F431" s="105">
        <f t="shared" si="13"/>
        <v>0</v>
      </c>
      <c r="G431" s="106">
        <f t="shared" si="12"/>
        <v>0</v>
      </c>
      <c r="H431" s="81">
        <v>0.75260000000000005</v>
      </c>
      <c r="I431" s="2619" t="s">
        <v>1146</v>
      </c>
    </row>
    <row r="432" spans="1:9" ht="16.5">
      <c r="A432" s="7" t="s">
        <v>1820</v>
      </c>
      <c r="B432" s="8" t="s">
        <v>6790</v>
      </c>
      <c r="C432" s="9" t="s">
        <v>3481</v>
      </c>
      <c r="D432" s="104"/>
      <c r="E432" s="104"/>
      <c r="F432" s="105">
        <f t="shared" si="13"/>
        <v>0</v>
      </c>
      <c r="G432" s="106">
        <f t="shared" si="12"/>
        <v>0</v>
      </c>
      <c r="H432" s="81">
        <v>0.46479999999999999</v>
      </c>
      <c r="I432" s="2619" t="s">
        <v>1146</v>
      </c>
    </row>
    <row r="433" spans="1:9" ht="16.5">
      <c r="A433" s="7" t="s">
        <v>1821</v>
      </c>
      <c r="B433" s="8" t="s">
        <v>6791</v>
      </c>
      <c r="C433" s="9" t="s">
        <v>3481</v>
      </c>
      <c r="D433" s="104"/>
      <c r="E433" s="104"/>
      <c r="F433" s="105">
        <f t="shared" si="13"/>
        <v>0</v>
      </c>
      <c r="G433" s="106">
        <f t="shared" si="12"/>
        <v>0</v>
      </c>
      <c r="H433" s="81">
        <v>0.49919999999999998</v>
      </c>
      <c r="I433" s="2619" t="s">
        <v>1146</v>
      </c>
    </row>
    <row r="434" spans="1:9" ht="16.5">
      <c r="A434" s="7" t="s">
        <v>1822</v>
      </c>
      <c r="B434" s="8" t="s">
        <v>6792</v>
      </c>
      <c r="C434" s="9" t="s">
        <v>3481</v>
      </c>
      <c r="D434" s="104"/>
      <c r="E434" s="104"/>
      <c r="F434" s="105">
        <f t="shared" si="13"/>
        <v>0</v>
      </c>
      <c r="G434" s="106">
        <f t="shared" si="12"/>
        <v>0</v>
      </c>
      <c r="H434" s="81">
        <v>0.43759999999999999</v>
      </c>
      <c r="I434" s="2619" t="s">
        <v>1146</v>
      </c>
    </row>
    <row r="435" spans="1:9" ht="16.5">
      <c r="A435" s="7" t="s">
        <v>1823</v>
      </c>
      <c r="B435" s="8" t="s">
        <v>6793</v>
      </c>
      <c r="C435" s="9" t="s">
        <v>3481</v>
      </c>
      <c r="D435" s="104"/>
      <c r="E435" s="104"/>
      <c r="F435" s="105">
        <f t="shared" si="13"/>
        <v>0</v>
      </c>
      <c r="G435" s="106">
        <f t="shared" si="12"/>
        <v>0</v>
      </c>
      <c r="H435" s="81">
        <v>0.53310000000000002</v>
      </c>
      <c r="I435" s="2619" t="s">
        <v>1146</v>
      </c>
    </row>
    <row r="436" spans="1:9" ht="16.5">
      <c r="A436" s="7" t="s">
        <v>1824</v>
      </c>
      <c r="B436" s="8" t="s">
        <v>6794</v>
      </c>
      <c r="C436" s="9" t="s">
        <v>3481</v>
      </c>
      <c r="D436" s="104"/>
      <c r="E436" s="104"/>
      <c r="F436" s="105">
        <f t="shared" si="13"/>
        <v>0</v>
      </c>
      <c r="G436" s="106">
        <f t="shared" si="12"/>
        <v>0</v>
      </c>
      <c r="H436" s="81">
        <v>0.65700000000000003</v>
      </c>
      <c r="I436" s="2619" t="s">
        <v>1146</v>
      </c>
    </row>
    <row r="437" spans="1:9" ht="16.5">
      <c r="A437" s="7" t="s">
        <v>1825</v>
      </c>
      <c r="B437" s="8" t="s">
        <v>6795</v>
      </c>
      <c r="C437" s="9" t="s">
        <v>3481</v>
      </c>
      <c r="D437" s="104"/>
      <c r="E437" s="104"/>
      <c r="F437" s="105">
        <f t="shared" si="13"/>
        <v>0</v>
      </c>
      <c r="G437" s="106">
        <f t="shared" si="12"/>
        <v>0</v>
      </c>
      <c r="H437" s="81">
        <v>1.2125999999999999</v>
      </c>
      <c r="I437" s="2619" t="s">
        <v>1146</v>
      </c>
    </row>
    <row r="438" spans="1:9" ht="16.5">
      <c r="A438" s="7" t="s">
        <v>1826</v>
      </c>
      <c r="B438" s="8" t="s">
        <v>6796</v>
      </c>
      <c r="C438" s="9" t="s">
        <v>3481</v>
      </c>
      <c r="D438" s="104"/>
      <c r="E438" s="104"/>
      <c r="F438" s="105">
        <f t="shared" si="13"/>
        <v>0</v>
      </c>
      <c r="G438" s="106">
        <f t="shared" si="12"/>
        <v>0</v>
      </c>
      <c r="H438" s="81">
        <v>1.4268000000000001</v>
      </c>
      <c r="I438" s="2619" t="s">
        <v>1146</v>
      </c>
    </row>
    <row r="439" spans="1:9" ht="16.5">
      <c r="A439" s="7" t="s">
        <v>1827</v>
      </c>
      <c r="B439" s="8" t="s">
        <v>6797</v>
      </c>
      <c r="C439" s="9" t="s">
        <v>3481</v>
      </c>
      <c r="D439" s="104"/>
      <c r="E439" s="104"/>
      <c r="F439" s="105">
        <f t="shared" si="13"/>
        <v>0</v>
      </c>
      <c r="G439" s="106">
        <f t="shared" si="12"/>
        <v>0</v>
      </c>
      <c r="H439" s="81">
        <v>0.47420000000000001</v>
      </c>
      <c r="I439" s="2619" t="s">
        <v>1146</v>
      </c>
    </row>
    <row r="440" spans="1:9" ht="16.5">
      <c r="A440" s="7" t="s">
        <v>1828</v>
      </c>
      <c r="B440" s="8" t="s">
        <v>6798</v>
      </c>
      <c r="C440" s="9" t="s">
        <v>3481</v>
      </c>
      <c r="D440" s="104"/>
      <c r="E440" s="104"/>
      <c r="F440" s="105">
        <f t="shared" si="13"/>
        <v>0</v>
      </c>
      <c r="G440" s="106">
        <f t="shared" si="12"/>
        <v>0</v>
      </c>
      <c r="H440" s="81">
        <v>0.54290000000000005</v>
      </c>
      <c r="I440" s="2619" t="s">
        <v>1146</v>
      </c>
    </row>
    <row r="441" spans="1:9" ht="16.5">
      <c r="A441" s="7" t="s">
        <v>1829</v>
      </c>
      <c r="B441" s="8" t="s">
        <v>6799</v>
      </c>
      <c r="C441" s="9" t="s">
        <v>3481</v>
      </c>
      <c r="D441" s="104"/>
      <c r="E441" s="104"/>
      <c r="F441" s="105">
        <f t="shared" si="13"/>
        <v>0</v>
      </c>
      <c r="G441" s="106">
        <f t="shared" si="12"/>
        <v>0</v>
      </c>
      <c r="H441" s="81">
        <v>0.68169999999999997</v>
      </c>
      <c r="I441" s="2619" t="s">
        <v>1146</v>
      </c>
    </row>
    <row r="442" spans="1:9" ht="16.5">
      <c r="A442" s="7" t="s">
        <v>1830</v>
      </c>
      <c r="B442" s="8" t="s">
        <v>6800</v>
      </c>
      <c r="C442" s="9" t="s">
        <v>3481</v>
      </c>
      <c r="D442" s="104"/>
      <c r="E442" s="104"/>
      <c r="F442" s="105">
        <f t="shared" si="13"/>
        <v>0</v>
      </c>
      <c r="G442" s="106">
        <f t="shared" si="12"/>
        <v>0</v>
      </c>
      <c r="H442" s="81">
        <v>1.1754</v>
      </c>
      <c r="I442" s="2619" t="s">
        <v>1146</v>
      </c>
    </row>
    <row r="443" spans="1:9" ht="16.5">
      <c r="A443" s="7" t="s">
        <v>1831</v>
      </c>
      <c r="B443" s="8" t="s">
        <v>6801</v>
      </c>
      <c r="C443" s="9" t="s">
        <v>3481</v>
      </c>
      <c r="D443" s="104"/>
      <c r="E443" s="104"/>
      <c r="F443" s="105">
        <f t="shared" si="13"/>
        <v>0</v>
      </c>
      <c r="G443" s="106">
        <f t="shared" si="12"/>
        <v>0</v>
      </c>
      <c r="H443" s="81">
        <v>0.3987</v>
      </c>
      <c r="I443" s="2619" t="s">
        <v>1146</v>
      </c>
    </row>
    <row r="444" spans="1:9" ht="16.5">
      <c r="A444" s="7" t="s">
        <v>1832</v>
      </c>
      <c r="B444" s="8" t="s">
        <v>6802</v>
      </c>
      <c r="C444" s="9" t="s">
        <v>3481</v>
      </c>
      <c r="D444" s="104"/>
      <c r="E444" s="104"/>
      <c r="F444" s="105">
        <f t="shared" si="13"/>
        <v>0</v>
      </c>
      <c r="G444" s="106">
        <f t="shared" si="12"/>
        <v>0</v>
      </c>
      <c r="H444" s="81">
        <v>0.57130000000000003</v>
      </c>
      <c r="I444" s="2619" t="s">
        <v>1146</v>
      </c>
    </row>
    <row r="445" spans="1:9" ht="16.5">
      <c r="A445" s="7" t="s">
        <v>1833</v>
      </c>
      <c r="B445" s="8" t="s">
        <v>6803</v>
      </c>
      <c r="C445" s="9" t="s">
        <v>3481</v>
      </c>
      <c r="D445" s="104"/>
      <c r="E445" s="104"/>
      <c r="F445" s="105">
        <f t="shared" si="13"/>
        <v>0</v>
      </c>
      <c r="G445" s="106">
        <f t="shared" si="12"/>
        <v>0</v>
      </c>
      <c r="H445" s="81">
        <v>0.52859999999999996</v>
      </c>
      <c r="I445" s="2619" t="s">
        <v>1146</v>
      </c>
    </row>
    <row r="446" spans="1:9" ht="16.5">
      <c r="A446" s="7" t="s">
        <v>1834</v>
      </c>
      <c r="B446" s="8" t="s">
        <v>6804</v>
      </c>
      <c r="C446" s="9" t="s">
        <v>3481</v>
      </c>
      <c r="D446" s="104"/>
      <c r="E446" s="104"/>
      <c r="F446" s="105">
        <f t="shared" si="13"/>
        <v>0</v>
      </c>
      <c r="G446" s="106">
        <f t="shared" si="12"/>
        <v>0</v>
      </c>
      <c r="H446" s="81">
        <v>1.3176000000000001</v>
      </c>
      <c r="I446" s="2619" t="s">
        <v>1146</v>
      </c>
    </row>
    <row r="447" spans="1:9" ht="16.5">
      <c r="A447" s="7" t="s">
        <v>1835</v>
      </c>
      <c r="B447" s="8" t="s">
        <v>6805</v>
      </c>
      <c r="C447" s="9" t="s">
        <v>3481</v>
      </c>
      <c r="D447" s="104"/>
      <c r="E447" s="104"/>
      <c r="F447" s="105">
        <f t="shared" si="13"/>
        <v>0</v>
      </c>
      <c r="G447" s="106">
        <f t="shared" si="12"/>
        <v>0</v>
      </c>
      <c r="H447" s="81">
        <v>0.41899999999999998</v>
      </c>
      <c r="I447" s="2619" t="s">
        <v>1146</v>
      </c>
    </row>
    <row r="448" spans="1:9" ht="16.5">
      <c r="A448" s="7" t="s">
        <v>1836</v>
      </c>
      <c r="B448" s="8" t="s">
        <v>6806</v>
      </c>
      <c r="C448" s="9" t="s">
        <v>3481</v>
      </c>
      <c r="D448" s="104"/>
      <c r="E448" s="104"/>
      <c r="F448" s="105">
        <f t="shared" si="13"/>
        <v>0</v>
      </c>
      <c r="G448" s="106">
        <f t="shared" si="12"/>
        <v>0</v>
      </c>
      <c r="H448" s="81">
        <v>1.0082</v>
      </c>
      <c r="I448" s="2619" t="s">
        <v>1146</v>
      </c>
    </row>
    <row r="449" spans="1:9" ht="16.5">
      <c r="A449" s="7" t="s">
        <v>1837</v>
      </c>
      <c r="B449" s="8" t="s">
        <v>6807</v>
      </c>
      <c r="C449" s="9" t="s">
        <v>3481</v>
      </c>
      <c r="D449" s="104"/>
      <c r="E449" s="104"/>
      <c r="F449" s="105">
        <f t="shared" si="13"/>
        <v>0</v>
      </c>
      <c r="G449" s="106">
        <f t="shared" si="12"/>
        <v>0</v>
      </c>
      <c r="H449" s="81">
        <v>0.13289999999999999</v>
      </c>
      <c r="I449" s="2619" t="s">
        <v>1146</v>
      </c>
    </row>
    <row r="450" spans="1:9" ht="16.5">
      <c r="A450" s="7" t="s">
        <v>1838</v>
      </c>
      <c r="B450" s="8" t="s">
        <v>6808</v>
      </c>
      <c r="C450" s="9" t="s">
        <v>3481</v>
      </c>
      <c r="D450" s="104"/>
      <c r="E450" s="104"/>
      <c r="F450" s="105">
        <f t="shared" si="13"/>
        <v>0</v>
      </c>
      <c r="G450" s="106">
        <f t="shared" si="12"/>
        <v>0</v>
      </c>
      <c r="H450" s="81">
        <v>0.95979999999999999</v>
      </c>
      <c r="I450" s="2619" t="s">
        <v>1146</v>
      </c>
    </row>
    <row r="451" spans="1:9" ht="16.5">
      <c r="A451" s="7" t="s">
        <v>1839</v>
      </c>
      <c r="B451" s="8" t="s">
        <v>6809</v>
      </c>
      <c r="C451" s="9" t="s">
        <v>3481</v>
      </c>
      <c r="D451" s="104"/>
      <c r="E451" s="104"/>
      <c r="F451" s="105">
        <f t="shared" si="13"/>
        <v>0</v>
      </c>
      <c r="G451" s="106">
        <f t="shared" si="12"/>
        <v>0</v>
      </c>
      <c r="H451" s="81">
        <v>1.2977000000000001</v>
      </c>
      <c r="I451" s="2619" t="s">
        <v>1146</v>
      </c>
    </row>
    <row r="452" spans="1:9" ht="16.5">
      <c r="A452" s="7" t="s">
        <v>1840</v>
      </c>
      <c r="B452" s="8" t="s">
        <v>6810</v>
      </c>
      <c r="C452" s="9" t="s">
        <v>3481</v>
      </c>
      <c r="D452" s="104"/>
      <c r="E452" s="104"/>
      <c r="F452" s="105">
        <f t="shared" si="13"/>
        <v>0</v>
      </c>
      <c r="G452" s="106">
        <f t="shared" ref="G452:G515" si="14">IF($F$1265=0,0,F452/$F$1265)</f>
        <v>0</v>
      </c>
      <c r="H452" s="81">
        <v>0.30470000000000003</v>
      </c>
      <c r="I452" s="2619" t="s">
        <v>1146</v>
      </c>
    </row>
    <row r="453" spans="1:9" ht="16.5">
      <c r="A453" s="7" t="s">
        <v>1841</v>
      </c>
      <c r="B453" s="8" t="s">
        <v>6811</v>
      </c>
      <c r="C453" s="9" t="s">
        <v>3481</v>
      </c>
      <c r="D453" s="104"/>
      <c r="E453" s="104"/>
      <c r="F453" s="105">
        <f t="shared" ref="F453:F516" si="15">D453*E453</f>
        <v>0</v>
      </c>
      <c r="G453" s="106">
        <f t="shared" si="14"/>
        <v>0</v>
      </c>
      <c r="H453" s="81">
        <v>0.22040000000000001</v>
      </c>
      <c r="I453" s="2619" t="s">
        <v>1146</v>
      </c>
    </row>
    <row r="454" spans="1:9" ht="16.5">
      <c r="A454" s="7" t="s">
        <v>1842</v>
      </c>
      <c r="B454" s="8" t="s">
        <v>6812</v>
      </c>
      <c r="C454" s="9" t="s">
        <v>3481</v>
      </c>
      <c r="D454" s="104"/>
      <c r="E454" s="104"/>
      <c r="F454" s="105">
        <f t="shared" si="15"/>
        <v>0</v>
      </c>
      <c r="G454" s="106">
        <f t="shared" si="14"/>
        <v>0</v>
      </c>
      <c r="H454" s="81">
        <v>0.20349999999999999</v>
      </c>
      <c r="I454" s="2619" t="s">
        <v>1146</v>
      </c>
    </row>
    <row r="455" spans="1:9" ht="16.5">
      <c r="A455" s="7" t="s">
        <v>1843</v>
      </c>
      <c r="B455" s="8" t="s">
        <v>6813</v>
      </c>
      <c r="C455" s="9" t="s">
        <v>3481</v>
      </c>
      <c r="D455" s="104"/>
      <c r="E455" s="104"/>
      <c r="F455" s="105">
        <f t="shared" si="15"/>
        <v>0</v>
      </c>
      <c r="G455" s="106">
        <f t="shared" si="14"/>
        <v>0</v>
      </c>
      <c r="H455" s="81">
        <v>0.17399999999999999</v>
      </c>
      <c r="I455" s="2619" t="s">
        <v>1146</v>
      </c>
    </row>
    <row r="456" spans="1:9" ht="16.5">
      <c r="A456" s="7" t="s">
        <v>1844</v>
      </c>
      <c r="B456" s="8" t="s">
        <v>6814</v>
      </c>
      <c r="C456" s="9" t="s">
        <v>3481</v>
      </c>
      <c r="D456" s="104"/>
      <c r="E456" s="104"/>
      <c r="F456" s="105">
        <f t="shared" si="15"/>
        <v>0</v>
      </c>
      <c r="G456" s="106">
        <f t="shared" si="14"/>
        <v>0</v>
      </c>
      <c r="H456" s="81">
        <v>0.1817</v>
      </c>
      <c r="I456" s="2619" t="s">
        <v>1146</v>
      </c>
    </row>
    <row r="457" spans="1:9" ht="16.5">
      <c r="A457" s="7" t="s">
        <v>1845</v>
      </c>
      <c r="B457" s="8" t="s">
        <v>6815</v>
      </c>
      <c r="C457" s="9" t="s">
        <v>3481</v>
      </c>
      <c r="D457" s="104"/>
      <c r="E457" s="104"/>
      <c r="F457" s="105">
        <f t="shared" si="15"/>
        <v>0</v>
      </c>
      <c r="G457" s="106">
        <f t="shared" si="14"/>
        <v>0</v>
      </c>
      <c r="H457" s="81">
        <v>0.31090000000000001</v>
      </c>
      <c r="I457" s="2619" t="s">
        <v>1146</v>
      </c>
    </row>
    <row r="458" spans="1:9" ht="16.5">
      <c r="A458" s="7" t="s">
        <v>1846</v>
      </c>
      <c r="B458" s="8" t="s">
        <v>6816</v>
      </c>
      <c r="C458" s="9" t="s">
        <v>3481</v>
      </c>
      <c r="D458" s="104"/>
      <c r="E458" s="104"/>
      <c r="F458" s="105">
        <f t="shared" si="15"/>
        <v>0</v>
      </c>
      <c r="G458" s="106">
        <f t="shared" si="14"/>
        <v>0</v>
      </c>
      <c r="H458" s="81">
        <v>0.1507</v>
      </c>
      <c r="I458" s="2619" t="s">
        <v>1146</v>
      </c>
    </row>
    <row r="459" spans="1:9" ht="16.5">
      <c r="A459" s="7" t="s">
        <v>1847</v>
      </c>
      <c r="B459" s="8" t="s">
        <v>6817</v>
      </c>
      <c r="C459" s="9" t="s">
        <v>3481</v>
      </c>
      <c r="D459" s="104"/>
      <c r="E459" s="104"/>
      <c r="F459" s="105">
        <f t="shared" si="15"/>
        <v>0</v>
      </c>
      <c r="G459" s="106">
        <f t="shared" si="14"/>
        <v>0</v>
      </c>
      <c r="H459" s="81">
        <v>0.1986</v>
      </c>
      <c r="I459" s="2619" t="s">
        <v>1146</v>
      </c>
    </row>
    <row r="460" spans="1:9" ht="16.5">
      <c r="A460" s="7" t="s">
        <v>1848</v>
      </c>
      <c r="B460" s="8" t="s">
        <v>6818</v>
      </c>
      <c r="C460" s="9" t="s">
        <v>3481</v>
      </c>
      <c r="D460" s="104"/>
      <c r="E460" s="104"/>
      <c r="F460" s="105">
        <f t="shared" si="15"/>
        <v>0</v>
      </c>
      <c r="G460" s="106">
        <f t="shared" si="14"/>
        <v>0</v>
      </c>
      <c r="H460" s="81">
        <v>-4.7999999999999996E-3</v>
      </c>
      <c r="I460" s="2619" t="s">
        <v>1146</v>
      </c>
    </row>
    <row r="461" spans="1:9" ht="16.5">
      <c r="A461" s="7" t="s">
        <v>1849</v>
      </c>
      <c r="B461" s="8" t="s">
        <v>6819</v>
      </c>
      <c r="C461" s="9" t="s">
        <v>3481</v>
      </c>
      <c r="D461" s="104"/>
      <c r="E461" s="104"/>
      <c r="F461" s="105">
        <f t="shared" si="15"/>
        <v>0</v>
      </c>
      <c r="G461" s="106">
        <f t="shared" si="14"/>
        <v>0</v>
      </c>
      <c r="H461" s="81">
        <v>0.21779999999999999</v>
      </c>
      <c r="I461" s="2619" t="s">
        <v>1146</v>
      </c>
    </row>
    <row r="462" spans="1:9" ht="16.5">
      <c r="A462" s="7" t="s">
        <v>1850</v>
      </c>
      <c r="B462" s="8" t="s">
        <v>6820</v>
      </c>
      <c r="C462" s="9" t="s">
        <v>3481</v>
      </c>
      <c r="D462" s="104"/>
      <c r="E462" s="104"/>
      <c r="F462" s="105">
        <f t="shared" si="15"/>
        <v>0</v>
      </c>
      <c r="G462" s="106">
        <f t="shared" si="14"/>
        <v>0</v>
      </c>
      <c r="H462" s="81">
        <v>0.17519999999999999</v>
      </c>
      <c r="I462" s="2619" t="s">
        <v>1146</v>
      </c>
    </row>
    <row r="463" spans="1:9" ht="16.5">
      <c r="A463" s="7" t="s">
        <v>1851</v>
      </c>
      <c r="B463" s="8" t="s">
        <v>6821</v>
      </c>
      <c r="C463" s="9" t="s">
        <v>3481</v>
      </c>
      <c r="D463" s="104"/>
      <c r="E463" s="104"/>
      <c r="F463" s="105">
        <f t="shared" si="15"/>
        <v>0</v>
      </c>
      <c r="G463" s="106">
        <f t="shared" si="14"/>
        <v>0</v>
      </c>
      <c r="H463" s="81">
        <v>0.30669999999999997</v>
      </c>
      <c r="I463" s="2619" t="s">
        <v>1146</v>
      </c>
    </row>
    <row r="464" spans="1:9" ht="16.5">
      <c r="A464" s="7" t="s">
        <v>1852</v>
      </c>
      <c r="B464" s="8" t="s">
        <v>6822</v>
      </c>
      <c r="C464" s="9" t="s">
        <v>3481</v>
      </c>
      <c r="D464" s="104"/>
      <c r="E464" s="104"/>
      <c r="F464" s="105">
        <f t="shared" si="15"/>
        <v>0</v>
      </c>
      <c r="G464" s="106">
        <f t="shared" si="14"/>
        <v>0</v>
      </c>
      <c r="H464" s="81">
        <v>0.25569999999999998</v>
      </c>
      <c r="I464" s="2619" t="s">
        <v>1146</v>
      </c>
    </row>
    <row r="465" spans="1:9" ht="16.5">
      <c r="A465" s="7" t="s">
        <v>1853</v>
      </c>
      <c r="B465" s="8" t="s">
        <v>6823</v>
      </c>
      <c r="C465" s="9" t="s">
        <v>3481</v>
      </c>
      <c r="D465" s="104"/>
      <c r="E465" s="104"/>
      <c r="F465" s="105">
        <f t="shared" si="15"/>
        <v>0</v>
      </c>
      <c r="G465" s="106">
        <f t="shared" si="14"/>
        <v>0</v>
      </c>
      <c r="H465" s="81">
        <v>0.28460000000000002</v>
      </c>
      <c r="I465" s="2619" t="s">
        <v>1146</v>
      </c>
    </row>
    <row r="466" spans="1:9" ht="16.5">
      <c r="A466" s="7" t="s">
        <v>1854</v>
      </c>
      <c r="B466" s="8" t="s">
        <v>6824</v>
      </c>
      <c r="C466" s="9" t="s">
        <v>3481</v>
      </c>
      <c r="D466" s="104"/>
      <c r="E466" s="104"/>
      <c r="F466" s="105">
        <f t="shared" si="15"/>
        <v>0</v>
      </c>
      <c r="G466" s="106">
        <f t="shared" si="14"/>
        <v>0</v>
      </c>
      <c r="H466" s="81">
        <v>0.4098</v>
      </c>
      <c r="I466" s="2619" t="s">
        <v>1146</v>
      </c>
    </row>
    <row r="467" spans="1:9" ht="16.5">
      <c r="A467" s="7" t="s">
        <v>1855</v>
      </c>
      <c r="B467" s="8" t="s">
        <v>6825</v>
      </c>
      <c r="C467" s="9" t="s">
        <v>3481</v>
      </c>
      <c r="D467" s="104"/>
      <c r="E467" s="104"/>
      <c r="F467" s="105">
        <f t="shared" si="15"/>
        <v>0</v>
      </c>
      <c r="G467" s="106">
        <f t="shared" si="14"/>
        <v>0</v>
      </c>
      <c r="H467" s="81">
        <v>0.19</v>
      </c>
      <c r="I467" s="2619" t="s">
        <v>1146</v>
      </c>
    </row>
    <row r="468" spans="1:9" ht="16.5">
      <c r="A468" s="7" t="s">
        <v>1856</v>
      </c>
      <c r="B468" s="8" t="s">
        <v>6826</v>
      </c>
      <c r="C468" s="9" t="s">
        <v>3481</v>
      </c>
      <c r="D468" s="104"/>
      <c r="E468" s="104"/>
      <c r="F468" s="105">
        <f t="shared" si="15"/>
        <v>0</v>
      </c>
      <c r="G468" s="106">
        <f t="shared" si="14"/>
        <v>0</v>
      </c>
      <c r="H468" s="81">
        <v>0.23519999999999999</v>
      </c>
      <c r="I468" s="2619" t="s">
        <v>1146</v>
      </c>
    </row>
    <row r="469" spans="1:9" ht="16.5">
      <c r="A469" s="7" t="s">
        <v>1857</v>
      </c>
      <c r="B469" s="8" t="s">
        <v>6827</v>
      </c>
      <c r="C469" s="9" t="s">
        <v>3481</v>
      </c>
      <c r="D469" s="104"/>
      <c r="E469" s="104"/>
      <c r="F469" s="105">
        <f t="shared" si="15"/>
        <v>0</v>
      </c>
      <c r="G469" s="106">
        <f t="shared" si="14"/>
        <v>0</v>
      </c>
      <c r="H469" s="81">
        <v>0.19020000000000001</v>
      </c>
      <c r="I469" s="2619" t="s">
        <v>1146</v>
      </c>
    </row>
    <row r="470" spans="1:9" ht="16.5">
      <c r="A470" s="7" t="s">
        <v>1858</v>
      </c>
      <c r="B470" s="8" t="s">
        <v>6828</v>
      </c>
      <c r="C470" s="9" t="s">
        <v>3481</v>
      </c>
      <c r="D470" s="104"/>
      <c r="E470" s="104"/>
      <c r="F470" s="105">
        <f t="shared" si="15"/>
        <v>0</v>
      </c>
      <c r="G470" s="106">
        <f t="shared" si="14"/>
        <v>0</v>
      </c>
      <c r="H470" s="81">
        <v>0.1477</v>
      </c>
      <c r="I470" s="2619" t="s">
        <v>1146</v>
      </c>
    </row>
    <row r="471" spans="1:9" ht="16.5">
      <c r="A471" s="7" t="s">
        <v>1859</v>
      </c>
      <c r="B471" s="8" t="s">
        <v>6829</v>
      </c>
      <c r="C471" s="9" t="s">
        <v>3481</v>
      </c>
      <c r="D471" s="104"/>
      <c r="E471" s="104"/>
      <c r="F471" s="105">
        <f t="shared" si="15"/>
        <v>0</v>
      </c>
      <c r="G471" s="106">
        <f t="shared" si="14"/>
        <v>0</v>
      </c>
      <c r="H471" s="81">
        <v>0.29289999999999999</v>
      </c>
      <c r="I471" s="2619" t="s">
        <v>1146</v>
      </c>
    </row>
    <row r="472" spans="1:9" ht="16.5">
      <c r="A472" s="7" t="s">
        <v>1860</v>
      </c>
      <c r="B472" s="8" t="s">
        <v>6830</v>
      </c>
      <c r="C472" s="9" t="s">
        <v>3481</v>
      </c>
      <c r="D472" s="104"/>
      <c r="E472" s="104"/>
      <c r="F472" s="105">
        <f t="shared" si="15"/>
        <v>0</v>
      </c>
      <c r="G472" s="106">
        <f t="shared" si="14"/>
        <v>0</v>
      </c>
      <c r="H472" s="81">
        <v>0.44829999999999998</v>
      </c>
      <c r="I472" s="2619" t="s">
        <v>1146</v>
      </c>
    </row>
    <row r="473" spans="1:9" ht="16.5">
      <c r="A473" s="7" t="s">
        <v>1861</v>
      </c>
      <c r="B473" s="8" t="s">
        <v>6831</v>
      </c>
      <c r="C473" s="9" t="s">
        <v>3481</v>
      </c>
      <c r="D473" s="104"/>
      <c r="E473" s="104"/>
      <c r="F473" s="105">
        <f t="shared" si="15"/>
        <v>0</v>
      </c>
      <c r="G473" s="106">
        <f t="shared" si="14"/>
        <v>0</v>
      </c>
      <c r="H473" s="81">
        <v>1.0999999999999999E-2</v>
      </c>
      <c r="I473" s="2619" t="s">
        <v>1146</v>
      </c>
    </row>
    <row r="474" spans="1:9" ht="16.5">
      <c r="A474" s="7" t="s">
        <v>1862</v>
      </c>
      <c r="B474" s="8" t="s">
        <v>6832</v>
      </c>
      <c r="C474" s="9" t="s">
        <v>3481</v>
      </c>
      <c r="D474" s="104"/>
      <c r="E474" s="104"/>
      <c r="F474" s="105">
        <f t="shared" si="15"/>
        <v>0</v>
      </c>
      <c r="G474" s="106">
        <f t="shared" si="14"/>
        <v>0</v>
      </c>
      <c r="H474" s="81">
        <v>0.31380000000000002</v>
      </c>
      <c r="I474" s="2619" t="s">
        <v>1146</v>
      </c>
    </row>
    <row r="475" spans="1:9" ht="16.5">
      <c r="A475" s="7" t="s">
        <v>1863</v>
      </c>
      <c r="B475" s="8" t="s">
        <v>6833</v>
      </c>
      <c r="C475" s="9" t="s">
        <v>3481</v>
      </c>
      <c r="D475" s="104"/>
      <c r="E475" s="104"/>
      <c r="F475" s="105">
        <f t="shared" si="15"/>
        <v>0</v>
      </c>
      <c r="G475" s="106">
        <f t="shared" si="14"/>
        <v>0</v>
      </c>
      <c r="H475" s="81">
        <v>0.30159999999999998</v>
      </c>
      <c r="I475" s="2619" t="s">
        <v>1146</v>
      </c>
    </row>
    <row r="476" spans="1:9" ht="16.5">
      <c r="A476" s="7" t="s">
        <v>1864</v>
      </c>
      <c r="B476" s="8" t="s">
        <v>6834</v>
      </c>
      <c r="C476" s="9" t="s">
        <v>3481</v>
      </c>
      <c r="D476" s="104"/>
      <c r="E476" s="104"/>
      <c r="F476" s="105">
        <f t="shared" si="15"/>
        <v>0</v>
      </c>
      <c r="G476" s="106">
        <f t="shared" si="14"/>
        <v>0</v>
      </c>
      <c r="H476" s="81">
        <v>0.31680000000000003</v>
      </c>
      <c r="I476" s="2619" t="s">
        <v>1146</v>
      </c>
    </row>
    <row r="477" spans="1:9" ht="16.5">
      <c r="A477" s="7" t="s">
        <v>1865</v>
      </c>
      <c r="B477" s="8" t="s">
        <v>6835</v>
      </c>
      <c r="C477" s="9" t="s">
        <v>3481</v>
      </c>
      <c r="D477" s="104"/>
      <c r="E477" s="104"/>
      <c r="F477" s="105">
        <f t="shared" si="15"/>
        <v>0</v>
      </c>
      <c r="G477" s="106">
        <f t="shared" si="14"/>
        <v>0</v>
      </c>
      <c r="H477" s="81">
        <v>0.31119999999999998</v>
      </c>
      <c r="I477" s="2619" t="s">
        <v>1146</v>
      </c>
    </row>
    <row r="478" spans="1:9" ht="16.5">
      <c r="A478" s="7" t="s">
        <v>1866</v>
      </c>
      <c r="B478" s="8" t="s">
        <v>6836</v>
      </c>
      <c r="C478" s="9" t="s">
        <v>3481</v>
      </c>
      <c r="D478" s="104"/>
      <c r="E478" s="104"/>
      <c r="F478" s="105">
        <f t="shared" si="15"/>
        <v>0</v>
      </c>
      <c r="G478" s="106">
        <f t="shared" si="14"/>
        <v>0</v>
      </c>
      <c r="H478" s="81">
        <v>5.5500000000000001E-2</v>
      </c>
      <c r="I478" s="2619" t="s">
        <v>1146</v>
      </c>
    </row>
    <row r="479" spans="1:9" ht="16.5">
      <c r="A479" s="7" t="s">
        <v>1867</v>
      </c>
      <c r="B479" s="8" t="s">
        <v>6837</v>
      </c>
      <c r="C479" s="9" t="s">
        <v>3481</v>
      </c>
      <c r="D479" s="104"/>
      <c r="E479" s="104"/>
      <c r="F479" s="105">
        <f t="shared" si="15"/>
        <v>0</v>
      </c>
      <c r="G479" s="106">
        <f t="shared" si="14"/>
        <v>0</v>
      </c>
      <c r="H479" s="81">
        <v>0.28079999999999999</v>
      </c>
      <c r="I479" s="2619" t="s">
        <v>1146</v>
      </c>
    </row>
    <row r="480" spans="1:9" ht="16.5">
      <c r="A480" s="7" t="s">
        <v>1868</v>
      </c>
      <c r="B480" s="8" t="s">
        <v>6838</v>
      </c>
      <c r="C480" s="9" t="s">
        <v>3481</v>
      </c>
      <c r="D480" s="104"/>
      <c r="E480" s="104"/>
      <c r="F480" s="105">
        <f t="shared" si="15"/>
        <v>0</v>
      </c>
      <c r="G480" s="106">
        <f t="shared" si="14"/>
        <v>0</v>
      </c>
      <c r="H480" s="81">
        <v>0.3569</v>
      </c>
      <c r="I480" s="2619" t="s">
        <v>1146</v>
      </c>
    </row>
    <row r="481" spans="1:9" ht="16.5">
      <c r="A481" s="7" t="s">
        <v>1869</v>
      </c>
      <c r="B481" s="8" t="s">
        <v>6839</v>
      </c>
      <c r="C481" s="9" t="s">
        <v>3481</v>
      </c>
      <c r="D481" s="104"/>
      <c r="E481" s="104"/>
      <c r="F481" s="105">
        <f t="shared" si="15"/>
        <v>0</v>
      </c>
      <c r="G481" s="106">
        <f t="shared" si="14"/>
        <v>0</v>
      </c>
      <c r="H481" s="81">
        <v>0.4229</v>
      </c>
      <c r="I481" s="2619" t="s">
        <v>1146</v>
      </c>
    </row>
    <row r="482" spans="1:9" ht="16.5">
      <c r="A482" s="7" t="s">
        <v>1870</v>
      </c>
      <c r="B482" s="8" t="s">
        <v>6840</v>
      </c>
      <c r="C482" s="9" t="s">
        <v>3481</v>
      </c>
      <c r="D482" s="104"/>
      <c r="E482" s="104"/>
      <c r="F482" s="105">
        <f t="shared" si="15"/>
        <v>0</v>
      </c>
      <c r="G482" s="106">
        <f t="shared" si="14"/>
        <v>0</v>
      </c>
      <c r="H482" s="81">
        <v>0.46060000000000001</v>
      </c>
      <c r="I482" s="2619" t="s">
        <v>1146</v>
      </c>
    </row>
    <row r="483" spans="1:9" ht="16.5">
      <c r="A483" s="7" t="s">
        <v>1871</v>
      </c>
      <c r="B483" s="8" t="s">
        <v>6841</v>
      </c>
      <c r="C483" s="9" t="s">
        <v>3481</v>
      </c>
      <c r="D483" s="104"/>
      <c r="E483" s="104"/>
      <c r="F483" s="105">
        <f t="shared" si="15"/>
        <v>0</v>
      </c>
      <c r="G483" s="106">
        <f t="shared" si="14"/>
        <v>0</v>
      </c>
      <c r="H483" s="81">
        <v>0.60419999999999996</v>
      </c>
      <c r="I483" s="2619" t="s">
        <v>1146</v>
      </c>
    </row>
    <row r="484" spans="1:9" ht="16.5">
      <c r="A484" s="7" t="s">
        <v>1872</v>
      </c>
      <c r="B484" s="8" t="s">
        <v>6842</v>
      </c>
      <c r="C484" s="9" t="s">
        <v>3481</v>
      </c>
      <c r="D484" s="104"/>
      <c r="E484" s="104"/>
      <c r="F484" s="105">
        <f t="shared" si="15"/>
        <v>0</v>
      </c>
      <c r="G484" s="106">
        <f t="shared" si="14"/>
        <v>0</v>
      </c>
      <c r="H484" s="81">
        <v>0.38829999999999998</v>
      </c>
      <c r="I484" s="2619" t="s">
        <v>1146</v>
      </c>
    </row>
    <row r="485" spans="1:9" ht="16.5">
      <c r="A485" s="7" t="s">
        <v>1873</v>
      </c>
      <c r="B485" s="8" t="s">
        <v>6843</v>
      </c>
      <c r="C485" s="9" t="s">
        <v>3481</v>
      </c>
      <c r="D485" s="104"/>
      <c r="E485" s="104"/>
      <c r="F485" s="105">
        <f t="shared" si="15"/>
        <v>0</v>
      </c>
      <c r="G485" s="106">
        <f t="shared" si="14"/>
        <v>0</v>
      </c>
      <c r="H485" s="81">
        <v>0.17530000000000001</v>
      </c>
      <c r="I485" s="2619" t="s">
        <v>1146</v>
      </c>
    </row>
    <row r="486" spans="1:9" ht="16.5">
      <c r="A486" s="7" t="s">
        <v>1874</v>
      </c>
      <c r="B486" s="8" t="s">
        <v>6844</v>
      </c>
      <c r="C486" s="9" t="s">
        <v>3481</v>
      </c>
      <c r="D486" s="104"/>
      <c r="E486" s="104"/>
      <c r="F486" s="105">
        <f t="shared" si="15"/>
        <v>0</v>
      </c>
      <c r="G486" s="106">
        <f t="shared" si="14"/>
        <v>0</v>
      </c>
      <c r="H486" s="81">
        <v>0.32650000000000001</v>
      </c>
      <c r="I486" s="2619" t="s">
        <v>1146</v>
      </c>
    </row>
    <row r="487" spans="1:9" ht="16.5">
      <c r="A487" s="7" t="s">
        <v>1875</v>
      </c>
      <c r="B487" s="8" t="s">
        <v>6845</v>
      </c>
      <c r="C487" s="9" t="s">
        <v>3481</v>
      </c>
      <c r="D487" s="104"/>
      <c r="E487" s="104"/>
      <c r="F487" s="105">
        <f t="shared" si="15"/>
        <v>0</v>
      </c>
      <c r="G487" s="106">
        <f t="shared" si="14"/>
        <v>0</v>
      </c>
      <c r="H487" s="81">
        <v>0.82830000000000004</v>
      </c>
      <c r="I487" s="2619" t="s">
        <v>1146</v>
      </c>
    </row>
    <row r="488" spans="1:9" ht="16.5">
      <c r="A488" s="7" t="s">
        <v>1876</v>
      </c>
      <c r="B488" s="8" t="s">
        <v>6846</v>
      </c>
      <c r="C488" s="9" t="s">
        <v>3481</v>
      </c>
      <c r="D488" s="104"/>
      <c r="E488" s="104"/>
      <c r="F488" s="105">
        <f t="shared" si="15"/>
        <v>0</v>
      </c>
      <c r="G488" s="106">
        <f t="shared" si="14"/>
        <v>0</v>
      </c>
      <c r="H488" s="81">
        <v>0.36549999999999999</v>
      </c>
      <c r="I488" s="2619" t="s">
        <v>1146</v>
      </c>
    </row>
    <row r="489" spans="1:9" ht="16.5">
      <c r="A489" s="7" t="s">
        <v>1877</v>
      </c>
      <c r="B489" s="8" t="s">
        <v>6847</v>
      </c>
      <c r="C489" s="9" t="s">
        <v>3481</v>
      </c>
      <c r="D489" s="104"/>
      <c r="E489" s="104"/>
      <c r="F489" s="105">
        <f t="shared" si="15"/>
        <v>0</v>
      </c>
      <c r="G489" s="106">
        <f t="shared" si="14"/>
        <v>0</v>
      </c>
      <c r="H489" s="81">
        <v>0.47820000000000001</v>
      </c>
      <c r="I489" s="2619" t="s">
        <v>1146</v>
      </c>
    </row>
    <row r="490" spans="1:9" ht="16.5">
      <c r="A490" s="7" t="s">
        <v>1878</v>
      </c>
      <c r="B490" s="8" t="s">
        <v>6848</v>
      </c>
      <c r="C490" s="9" t="s">
        <v>3481</v>
      </c>
      <c r="D490" s="104"/>
      <c r="E490" s="104"/>
      <c r="F490" s="105">
        <f t="shared" si="15"/>
        <v>0</v>
      </c>
      <c r="G490" s="106">
        <f t="shared" si="14"/>
        <v>0</v>
      </c>
      <c r="H490" s="81">
        <v>0.1076</v>
      </c>
      <c r="I490" s="2619" t="s">
        <v>1146</v>
      </c>
    </row>
    <row r="491" spans="1:9" ht="16.5">
      <c r="A491" s="7" t="s">
        <v>1879</v>
      </c>
      <c r="B491" s="8" t="s">
        <v>6849</v>
      </c>
      <c r="C491" s="9" t="s">
        <v>3481</v>
      </c>
      <c r="D491" s="104"/>
      <c r="E491" s="104"/>
      <c r="F491" s="105">
        <f t="shared" si="15"/>
        <v>0</v>
      </c>
      <c r="G491" s="106">
        <f t="shared" si="14"/>
        <v>0</v>
      </c>
      <c r="H491" s="81">
        <v>0.36009999999999998</v>
      </c>
      <c r="I491" s="2619" t="s">
        <v>1146</v>
      </c>
    </row>
    <row r="492" spans="1:9" ht="16.5">
      <c r="A492" s="7" t="s">
        <v>1880</v>
      </c>
      <c r="B492" s="8" t="s">
        <v>6850</v>
      </c>
      <c r="C492" s="9" t="s">
        <v>3481</v>
      </c>
      <c r="D492" s="104"/>
      <c r="E492" s="104"/>
      <c r="F492" s="105">
        <f t="shared" si="15"/>
        <v>0</v>
      </c>
      <c r="G492" s="106">
        <f t="shared" si="14"/>
        <v>0</v>
      </c>
      <c r="H492" s="81">
        <v>0.72289999999999999</v>
      </c>
      <c r="I492" s="2619" t="s">
        <v>1146</v>
      </c>
    </row>
    <row r="493" spans="1:9" ht="16.5">
      <c r="A493" s="7" t="s">
        <v>1881</v>
      </c>
      <c r="B493" s="8" t="s">
        <v>6851</v>
      </c>
      <c r="C493" s="9" t="s">
        <v>3481</v>
      </c>
      <c r="D493" s="104"/>
      <c r="E493" s="104"/>
      <c r="F493" s="105">
        <f t="shared" si="15"/>
        <v>0</v>
      </c>
      <c r="G493" s="106">
        <f t="shared" si="14"/>
        <v>0</v>
      </c>
      <c r="H493" s="81">
        <v>0.1221</v>
      </c>
      <c r="I493" s="2619" t="s">
        <v>1146</v>
      </c>
    </row>
    <row r="494" spans="1:9" ht="16.5">
      <c r="A494" s="7" t="s">
        <v>1882</v>
      </c>
      <c r="B494" s="8" t="s">
        <v>6852</v>
      </c>
      <c r="C494" s="9" t="s">
        <v>3481</v>
      </c>
      <c r="D494" s="104"/>
      <c r="E494" s="104"/>
      <c r="F494" s="105">
        <f t="shared" si="15"/>
        <v>0</v>
      </c>
      <c r="G494" s="106">
        <f t="shared" si="14"/>
        <v>0</v>
      </c>
      <c r="H494" s="81">
        <v>0.32979999999999998</v>
      </c>
      <c r="I494" s="2619" t="s">
        <v>1146</v>
      </c>
    </row>
    <row r="495" spans="1:9" ht="16.5">
      <c r="A495" s="7" t="s">
        <v>1883</v>
      </c>
      <c r="B495" s="8" t="s">
        <v>6853</v>
      </c>
      <c r="C495" s="9" t="s">
        <v>3481</v>
      </c>
      <c r="D495" s="104"/>
      <c r="E495" s="104"/>
      <c r="F495" s="105">
        <f t="shared" si="15"/>
        <v>0</v>
      </c>
      <c r="G495" s="106">
        <f t="shared" si="14"/>
        <v>0</v>
      </c>
      <c r="H495" s="81">
        <v>0.69589999999999996</v>
      </c>
      <c r="I495" s="2619" t="s">
        <v>1146</v>
      </c>
    </row>
    <row r="496" spans="1:9" ht="16.5">
      <c r="A496" s="7" t="s">
        <v>1884</v>
      </c>
      <c r="B496" s="8" t="s">
        <v>6854</v>
      </c>
      <c r="C496" s="9" t="s">
        <v>3481</v>
      </c>
      <c r="D496" s="104"/>
      <c r="E496" s="104"/>
      <c r="F496" s="105">
        <f t="shared" si="15"/>
        <v>0</v>
      </c>
      <c r="G496" s="106">
        <f t="shared" si="14"/>
        <v>0</v>
      </c>
      <c r="H496" s="81">
        <v>0.56879999999999997</v>
      </c>
      <c r="I496" s="2619" t="s">
        <v>1146</v>
      </c>
    </row>
    <row r="497" spans="1:9" ht="16.5">
      <c r="A497" s="7" t="s">
        <v>1885</v>
      </c>
      <c r="B497" s="8" t="s">
        <v>6855</v>
      </c>
      <c r="C497" s="9" t="s">
        <v>3481</v>
      </c>
      <c r="D497" s="104"/>
      <c r="E497" s="104"/>
      <c r="F497" s="105">
        <f t="shared" si="15"/>
        <v>0</v>
      </c>
      <c r="G497" s="106">
        <f t="shared" si="14"/>
        <v>0</v>
      </c>
      <c r="H497" s="81">
        <v>0.39179999999999998</v>
      </c>
      <c r="I497" s="2619" t="s">
        <v>1146</v>
      </c>
    </row>
    <row r="498" spans="1:9" ht="16.5">
      <c r="A498" s="7" t="s">
        <v>1886</v>
      </c>
      <c r="B498" s="8" t="s">
        <v>6856</v>
      </c>
      <c r="C498" s="9" t="s">
        <v>3481</v>
      </c>
      <c r="D498" s="104"/>
      <c r="E498" s="104"/>
      <c r="F498" s="105">
        <f t="shared" si="15"/>
        <v>0</v>
      </c>
      <c r="G498" s="106">
        <f t="shared" si="14"/>
        <v>0</v>
      </c>
      <c r="H498" s="81">
        <v>0.48220000000000002</v>
      </c>
      <c r="I498" s="2619" t="s">
        <v>1146</v>
      </c>
    </row>
    <row r="499" spans="1:9" ht="16.5">
      <c r="A499" s="7" t="s">
        <v>1887</v>
      </c>
      <c r="B499" s="8" t="s">
        <v>6857</v>
      </c>
      <c r="C499" s="9" t="s">
        <v>3481</v>
      </c>
      <c r="D499" s="104"/>
      <c r="E499" s="104"/>
      <c r="F499" s="105">
        <f t="shared" si="15"/>
        <v>0</v>
      </c>
      <c r="G499" s="106">
        <f t="shared" si="14"/>
        <v>0</v>
      </c>
      <c r="H499" s="81">
        <v>0.1933</v>
      </c>
      <c r="I499" s="2619" t="s">
        <v>1146</v>
      </c>
    </row>
    <row r="500" spans="1:9" ht="16.5">
      <c r="A500" s="7" t="s">
        <v>1888</v>
      </c>
      <c r="B500" s="8" t="s">
        <v>6858</v>
      </c>
      <c r="C500" s="9" t="s">
        <v>3481</v>
      </c>
      <c r="D500" s="104"/>
      <c r="E500" s="104"/>
      <c r="F500" s="105">
        <f t="shared" si="15"/>
        <v>0</v>
      </c>
      <c r="G500" s="106">
        <f t="shared" si="14"/>
        <v>0</v>
      </c>
      <c r="H500" s="81">
        <v>0.47120000000000001</v>
      </c>
      <c r="I500" s="2619" t="s">
        <v>1146</v>
      </c>
    </row>
    <row r="501" spans="1:9" ht="16.5">
      <c r="A501" s="7" t="s">
        <v>1889</v>
      </c>
      <c r="B501" s="8" t="s">
        <v>6859</v>
      </c>
      <c r="C501" s="9" t="s">
        <v>3481</v>
      </c>
      <c r="D501" s="104"/>
      <c r="E501" s="104"/>
      <c r="F501" s="105">
        <f t="shared" si="15"/>
        <v>0</v>
      </c>
      <c r="G501" s="106">
        <f t="shared" si="14"/>
        <v>0</v>
      </c>
      <c r="H501" s="81">
        <v>0.23419999999999999</v>
      </c>
      <c r="I501" s="2619" t="s">
        <v>1146</v>
      </c>
    </row>
    <row r="502" spans="1:9" ht="16.5">
      <c r="A502" s="7" t="s">
        <v>5745</v>
      </c>
      <c r="B502" s="8" t="s">
        <v>6860</v>
      </c>
      <c r="C502" s="9" t="s">
        <v>3481</v>
      </c>
      <c r="D502" s="104"/>
      <c r="E502" s="104"/>
      <c r="F502" s="105">
        <f t="shared" si="15"/>
        <v>0</v>
      </c>
      <c r="G502" s="106">
        <f t="shared" si="14"/>
        <v>0</v>
      </c>
      <c r="H502" s="81">
        <v>1</v>
      </c>
      <c r="I502" s="2619" t="s">
        <v>6861</v>
      </c>
    </row>
    <row r="503" spans="1:9" ht="16.5">
      <c r="A503" s="7" t="s">
        <v>1890</v>
      </c>
      <c r="B503" s="8" t="s">
        <v>6862</v>
      </c>
      <c r="C503" s="9" t="s">
        <v>3481</v>
      </c>
      <c r="D503" s="104"/>
      <c r="E503" s="104"/>
      <c r="F503" s="105">
        <f t="shared" si="15"/>
        <v>0</v>
      </c>
      <c r="G503" s="106">
        <f t="shared" si="14"/>
        <v>0</v>
      </c>
      <c r="H503" s="81">
        <v>0.24809999999999999</v>
      </c>
      <c r="I503" s="2619" t="s">
        <v>1146</v>
      </c>
    </row>
    <row r="504" spans="1:9" ht="16.5">
      <c r="A504" s="7" t="s">
        <v>1891</v>
      </c>
      <c r="B504" s="8" t="s">
        <v>6863</v>
      </c>
      <c r="C504" s="9" t="s">
        <v>3481</v>
      </c>
      <c r="D504" s="104"/>
      <c r="E504" s="104"/>
      <c r="F504" s="105">
        <f t="shared" si="15"/>
        <v>0</v>
      </c>
      <c r="G504" s="106">
        <f t="shared" si="14"/>
        <v>0</v>
      </c>
      <c r="H504" s="81">
        <v>0.28860000000000002</v>
      </c>
      <c r="I504" s="2619" t="s">
        <v>1146</v>
      </c>
    </row>
    <row r="505" spans="1:9" ht="16.5">
      <c r="A505" s="7" t="s">
        <v>1892</v>
      </c>
      <c r="B505" s="8" t="s">
        <v>6864</v>
      </c>
      <c r="C505" s="9" t="s">
        <v>3481</v>
      </c>
      <c r="D505" s="104"/>
      <c r="E505" s="104"/>
      <c r="F505" s="105">
        <f t="shared" si="15"/>
        <v>0</v>
      </c>
      <c r="G505" s="106">
        <f t="shared" si="14"/>
        <v>0</v>
      </c>
      <c r="H505" s="81">
        <v>0.35859999999999997</v>
      </c>
      <c r="I505" s="2619" t="s">
        <v>1146</v>
      </c>
    </row>
    <row r="506" spans="1:9" ht="16.5">
      <c r="A506" s="7" t="s">
        <v>1893</v>
      </c>
      <c r="B506" s="8" t="s">
        <v>6865</v>
      </c>
      <c r="C506" s="9" t="s">
        <v>3481</v>
      </c>
      <c r="D506" s="104"/>
      <c r="E506" s="104"/>
      <c r="F506" s="105">
        <f t="shared" si="15"/>
        <v>0</v>
      </c>
      <c r="G506" s="106">
        <f t="shared" si="14"/>
        <v>0</v>
      </c>
      <c r="H506" s="81">
        <v>0.1852</v>
      </c>
      <c r="I506" s="2619" t="s">
        <v>1146</v>
      </c>
    </row>
    <row r="507" spans="1:9" ht="16.5">
      <c r="A507" s="7" t="s">
        <v>1894</v>
      </c>
      <c r="B507" s="8" t="s">
        <v>6866</v>
      </c>
      <c r="C507" s="9" t="s">
        <v>3481</v>
      </c>
      <c r="D507" s="104"/>
      <c r="E507" s="104"/>
      <c r="F507" s="105">
        <f t="shared" si="15"/>
        <v>0</v>
      </c>
      <c r="G507" s="106">
        <f t="shared" si="14"/>
        <v>0</v>
      </c>
      <c r="H507" s="81">
        <v>0.21429999999999999</v>
      </c>
      <c r="I507" s="2619" t="s">
        <v>1146</v>
      </c>
    </row>
    <row r="508" spans="1:9" ht="16.5">
      <c r="A508" s="7" t="s">
        <v>1895</v>
      </c>
      <c r="B508" s="8" t="s">
        <v>6867</v>
      </c>
      <c r="C508" s="9" t="s">
        <v>3481</v>
      </c>
      <c r="D508" s="104"/>
      <c r="E508" s="104"/>
      <c r="F508" s="105">
        <f t="shared" si="15"/>
        <v>0</v>
      </c>
      <c r="G508" s="106">
        <f t="shared" si="14"/>
        <v>0</v>
      </c>
      <c r="H508" s="81">
        <v>0.3241</v>
      </c>
      <c r="I508" s="2619" t="s">
        <v>1146</v>
      </c>
    </row>
    <row r="509" spans="1:9" ht="16.5">
      <c r="A509" s="7" t="s">
        <v>1896</v>
      </c>
      <c r="B509" s="8" t="s">
        <v>6868</v>
      </c>
      <c r="C509" s="9" t="s">
        <v>3481</v>
      </c>
      <c r="D509" s="104"/>
      <c r="E509" s="104"/>
      <c r="F509" s="105">
        <f t="shared" si="15"/>
        <v>0</v>
      </c>
      <c r="G509" s="106">
        <f t="shared" si="14"/>
        <v>0</v>
      </c>
      <c r="H509" s="81">
        <v>0.46589999999999998</v>
      </c>
      <c r="I509" s="2619" t="s">
        <v>1146</v>
      </c>
    </row>
    <row r="510" spans="1:9" ht="16.5">
      <c r="A510" s="7" t="s">
        <v>1897</v>
      </c>
      <c r="B510" s="8" t="s">
        <v>6869</v>
      </c>
      <c r="C510" s="9" t="s">
        <v>3481</v>
      </c>
      <c r="D510" s="104"/>
      <c r="E510" s="104"/>
      <c r="F510" s="105">
        <f t="shared" si="15"/>
        <v>0</v>
      </c>
      <c r="G510" s="106">
        <f t="shared" si="14"/>
        <v>0</v>
      </c>
      <c r="H510" s="81">
        <v>0.54269999999999996</v>
      </c>
      <c r="I510" s="2619" t="s">
        <v>1146</v>
      </c>
    </row>
    <row r="511" spans="1:9" ht="16.5">
      <c r="A511" s="7" t="s">
        <v>1898</v>
      </c>
      <c r="B511" s="8" t="s">
        <v>6870</v>
      </c>
      <c r="C511" s="9" t="s">
        <v>3481</v>
      </c>
      <c r="D511" s="104"/>
      <c r="E511" s="104"/>
      <c r="F511" s="105">
        <f t="shared" si="15"/>
        <v>0</v>
      </c>
      <c r="G511" s="106">
        <f t="shared" si="14"/>
        <v>0</v>
      </c>
      <c r="H511" s="81">
        <v>0.50949999999999995</v>
      </c>
      <c r="I511" s="2619" t="s">
        <v>1146</v>
      </c>
    </row>
    <row r="512" spans="1:9" ht="16.5">
      <c r="A512" s="7" t="s">
        <v>1899</v>
      </c>
      <c r="B512" s="8" t="s">
        <v>6871</v>
      </c>
      <c r="C512" s="9" t="s">
        <v>3481</v>
      </c>
      <c r="D512" s="104"/>
      <c r="E512" s="104"/>
      <c r="F512" s="105">
        <f t="shared" si="15"/>
        <v>0</v>
      </c>
      <c r="G512" s="106">
        <f t="shared" si="14"/>
        <v>0</v>
      </c>
      <c r="H512" s="81">
        <v>0.53510000000000002</v>
      </c>
      <c r="I512" s="2619" t="s">
        <v>1146</v>
      </c>
    </row>
    <row r="513" spans="1:9" ht="16.5">
      <c r="A513" s="7" t="s">
        <v>1900</v>
      </c>
      <c r="B513" s="8" t="s">
        <v>6872</v>
      </c>
      <c r="C513" s="9" t="s">
        <v>3481</v>
      </c>
      <c r="D513" s="104"/>
      <c r="E513" s="104"/>
      <c r="F513" s="105">
        <f t="shared" si="15"/>
        <v>0</v>
      </c>
      <c r="G513" s="106">
        <f t="shared" si="14"/>
        <v>0</v>
      </c>
      <c r="H513" s="81">
        <v>0.47170000000000001</v>
      </c>
      <c r="I513" s="2619" t="s">
        <v>1146</v>
      </c>
    </row>
    <row r="514" spans="1:9" ht="16.5">
      <c r="A514" s="7" t="s">
        <v>1901</v>
      </c>
      <c r="B514" s="8" t="s">
        <v>6873</v>
      </c>
      <c r="C514" s="9" t="s">
        <v>3481</v>
      </c>
      <c r="D514" s="104"/>
      <c r="E514" s="104"/>
      <c r="F514" s="105">
        <f t="shared" si="15"/>
        <v>0</v>
      </c>
      <c r="G514" s="106">
        <f t="shared" si="14"/>
        <v>0</v>
      </c>
      <c r="H514" s="81">
        <v>0.55969999999999998</v>
      </c>
      <c r="I514" s="2619" t="s">
        <v>1146</v>
      </c>
    </row>
    <row r="515" spans="1:9" ht="16.5">
      <c r="A515" s="7" t="s">
        <v>1902</v>
      </c>
      <c r="B515" s="8" t="s">
        <v>6874</v>
      </c>
      <c r="C515" s="9" t="s">
        <v>3481</v>
      </c>
      <c r="D515" s="104"/>
      <c r="E515" s="104"/>
      <c r="F515" s="105">
        <f t="shared" si="15"/>
        <v>0</v>
      </c>
      <c r="G515" s="106">
        <f t="shared" si="14"/>
        <v>0</v>
      </c>
      <c r="H515" s="81">
        <v>0.6845</v>
      </c>
      <c r="I515" s="2619" t="s">
        <v>1146</v>
      </c>
    </row>
    <row r="516" spans="1:9" ht="16.5">
      <c r="A516" s="7" t="s">
        <v>3390</v>
      </c>
      <c r="B516" s="8" t="s">
        <v>6875</v>
      </c>
      <c r="C516" s="9" t="s">
        <v>3481</v>
      </c>
      <c r="D516" s="104"/>
      <c r="E516" s="104"/>
      <c r="F516" s="105">
        <f t="shared" si="15"/>
        <v>0</v>
      </c>
      <c r="G516" s="106">
        <f t="shared" ref="G516:G579" si="16">IF($F$1265=0,0,F516/$F$1265)</f>
        <v>0</v>
      </c>
      <c r="H516" s="81">
        <v>0.37409999999999999</v>
      </c>
      <c r="I516" s="2619" t="s">
        <v>1146</v>
      </c>
    </row>
    <row r="517" spans="1:9" ht="16.5">
      <c r="A517" s="7" t="s">
        <v>1903</v>
      </c>
      <c r="B517" s="8" t="s">
        <v>6876</v>
      </c>
      <c r="C517" s="9" t="s">
        <v>3481</v>
      </c>
      <c r="D517" s="104"/>
      <c r="E517" s="104"/>
      <c r="F517" s="105">
        <f t="shared" ref="F517:F580" si="17">D517*E517</f>
        <v>0</v>
      </c>
      <c r="G517" s="106">
        <f t="shared" si="16"/>
        <v>0</v>
      </c>
      <c r="H517" s="81">
        <v>0.33160000000000001</v>
      </c>
      <c r="I517" s="2619" t="s">
        <v>1146</v>
      </c>
    </row>
    <row r="518" spans="1:9" ht="16.5">
      <c r="A518" s="7" t="s">
        <v>1904</v>
      </c>
      <c r="B518" s="8" t="s">
        <v>6877</v>
      </c>
      <c r="C518" s="9" t="s">
        <v>3481</v>
      </c>
      <c r="D518" s="104"/>
      <c r="E518" s="104"/>
      <c r="F518" s="105">
        <f t="shared" si="17"/>
        <v>0</v>
      </c>
      <c r="G518" s="106">
        <f t="shared" si="16"/>
        <v>0</v>
      </c>
      <c r="H518" s="81">
        <v>0.31080000000000002</v>
      </c>
      <c r="I518" s="2619" t="s">
        <v>1146</v>
      </c>
    </row>
    <row r="519" spans="1:9" ht="16.5">
      <c r="A519" s="7" t="s">
        <v>1905</v>
      </c>
      <c r="B519" s="8" t="s">
        <v>6878</v>
      </c>
      <c r="C519" s="9" t="s">
        <v>3481</v>
      </c>
      <c r="D519" s="104"/>
      <c r="E519" s="104"/>
      <c r="F519" s="105">
        <f t="shared" si="17"/>
        <v>0</v>
      </c>
      <c r="G519" s="106">
        <f t="shared" si="16"/>
        <v>0</v>
      </c>
      <c r="H519" s="81">
        <v>0.31979999999999997</v>
      </c>
      <c r="I519" s="2619" t="s">
        <v>1146</v>
      </c>
    </row>
    <row r="520" spans="1:9" ht="16.5">
      <c r="A520" s="7" t="s">
        <v>1906</v>
      </c>
      <c r="B520" s="8" t="s">
        <v>6879</v>
      </c>
      <c r="C520" s="9" t="s">
        <v>3481</v>
      </c>
      <c r="D520" s="104"/>
      <c r="E520" s="104"/>
      <c r="F520" s="105">
        <f t="shared" si="17"/>
        <v>0</v>
      </c>
      <c r="G520" s="106">
        <f t="shared" si="16"/>
        <v>0</v>
      </c>
      <c r="H520" s="81">
        <v>0.39889999999999998</v>
      </c>
      <c r="I520" s="2619" t="s">
        <v>1146</v>
      </c>
    </row>
    <row r="521" spans="1:9" ht="16.5">
      <c r="A521" s="7" t="s">
        <v>1907</v>
      </c>
      <c r="B521" s="8" t="s">
        <v>6880</v>
      </c>
      <c r="C521" s="9" t="s">
        <v>3481</v>
      </c>
      <c r="D521" s="104"/>
      <c r="E521" s="104"/>
      <c r="F521" s="105">
        <f t="shared" si="17"/>
        <v>0</v>
      </c>
      <c r="G521" s="106">
        <f t="shared" si="16"/>
        <v>0</v>
      </c>
      <c r="H521" s="81">
        <v>0.21390000000000001</v>
      </c>
      <c r="I521" s="2619" t="s">
        <v>1146</v>
      </c>
    </row>
    <row r="522" spans="1:9" ht="16.5">
      <c r="A522" s="7" t="s">
        <v>1908</v>
      </c>
      <c r="B522" s="8" t="s">
        <v>6881</v>
      </c>
      <c r="C522" s="9" t="s">
        <v>3481</v>
      </c>
      <c r="D522" s="104"/>
      <c r="E522" s="104"/>
      <c r="F522" s="105">
        <f t="shared" si="17"/>
        <v>0</v>
      </c>
      <c r="G522" s="106">
        <f t="shared" si="16"/>
        <v>0</v>
      </c>
      <c r="H522" s="81">
        <v>0.2346</v>
      </c>
      <c r="I522" s="2619" t="s">
        <v>1146</v>
      </c>
    </row>
    <row r="523" spans="1:9" ht="16.5">
      <c r="A523" s="7" t="s">
        <v>1909</v>
      </c>
      <c r="B523" s="8" t="s">
        <v>6882</v>
      </c>
      <c r="C523" s="9" t="s">
        <v>3481</v>
      </c>
      <c r="D523" s="104"/>
      <c r="E523" s="104"/>
      <c r="F523" s="105">
        <f t="shared" si="17"/>
        <v>0</v>
      </c>
      <c r="G523" s="106">
        <f t="shared" si="16"/>
        <v>0</v>
      </c>
      <c r="H523" s="81">
        <v>0.52480000000000004</v>
      </c>
      <c r="I523" s="2619" t="s">
        <v>1146</v>
      </c>
    </row>
    <row r="524" spans="1:9" ht="16.5">
      <c r="A524" s="7" t="s">
        <v>1910</v>
      </c>
      <c r="B524" s="8" t="s">
        <v>6883</v>
      </c>
      <c r="C524" s="9" t="s">
        <v>3481</v>
      </c>
      <c r="D524" s="104"/>
      <c r="E524" s="104"/>
      <c r="F524" s="105">
        <f t="shared" si="17"/>
        <v>0</v>
      </c>
      <c r="G524" s="106">
        <f t="shared" si="16"/>
        <v>0</v>
      </c>
      <c r="H524" s="81">
        <v>0.29210000000000003</v>
      </c>
      <c r="I524" s="2619" t="s">
        <v>1146</v>
      </c>
    </row>
    <row r="525" spans="1:9" ht="16.5">
      <c r="A525" s="7" t="s">
        <v>1911</v>
      </c>
      <c r="B525" s="8" t="s">
        <v>6884</v>
      </c>
      <c r="C525" s="9" t="s">
        <v>3481</v>
      </c>
      <c r="D525" s="104"/>
      <c r="E525" s="104"/>
      <c r="F525" s="105">
        <f t="shared" si="17"/>
        <v>0</v>
      </c>
      <c r="G525" s="106">
        <f t="shared" si="16"/>
        <v>0</v>
      </c>
      <c r="H525" s="81">
        <v>0.36730000000000002</v>
      </c>
      <c r="I525" s="2619" t="s">
        <v>1146</v>
      </c>
    </row>
    <row r="526" spans="1:9" ht="16.5">
      <c r="A526" s="7" t="s">
        <v>1912</v>
      </c>
      <c r="B526" s="8" t="s">
        <v>6885</v>
      </c>
      <c r="C526" s="9" t="s">
        <v>3481</v>
      </c>
      <c r="D526" s="104"/>
      <c r="E526" s="104"/>
      <c r="F526" s="105">
        <f t="shared" si="17"/>
        <v>0</v>
      </c>
      <c r="G526" s="106">
        <f t="shared" si="16"/>
        <v>0</v>
      </c>
      <c r="H526" s="81">
        <v>0.3523</v>
      </c>
      <c r="I526" s="2619" t="s">
        <v>1146</v>
      </c>
    </row>
    <row r="527" spans="1:9" ht="16.5">
      <c r="A527" s="7" t="s">
        <v>1913</v>
      </c>
      <c r="B527" s="8" t="s">
        <v>6886</v>
      </c>
      <c r="C527" s="9" t="s">
        <v>3481</v>
      </c>
      <c r="D527" s="104"/>
      <c r="E527" s="104"/>
      <c r="F527" s="105">
        <f t="shared" si="17"/>
        <v>0</v>
      </c>
      <c r="G527" s="106">
        <f t="shared" si="16"/>
        <v>0</v>
      </c>
      <c r="H527" s="81">
        <v>0.36270000000000002</v>
      </c>
      <c r="I527" s="2619" t="s">
        <v>1146</v>
      </c>
    </row>
    <row r="528" spans="1:9" ht="16.5">
      <c r="A528" s="7" t="s">
        <v>1914</v>
      </c>
      <c r="B528" s="8" t="s">
        <v>6887</v>
      </c>
      <c r="C528" s="9" t="s">
        <v>3481</v>
      </c>
      <c r="D528" s="104"/>
      <c r="E528" s="104"/>
      <c r="F528" s="105">
        <f t="shared" si="17"/>
        <v>0</v>
      </c>
      <c r="G528" s="106">
        <f t="shared" si="16"/>
        <v>0</v>
      </c>
      <c r="H528" s="81">
        <v>0.30859999999999999</v>
      </c>
      <c r="I528" s="2619" t="s">
        <v>1146</v>
      </c>
    </row>
    <row r="529" spans="1:9" ht="16.5">
      <c r="A529" s="7" t="s">
        <v>1915</v>
      </c>
      <c r="B529" s="8" t="s">
        <v>6888</v>
      </c>
      <c r="C529" s="9" t="s">
        <v>3481</v>
      </c>
      <c r="D529" s="104"/>
      <c r="E529" s="104"/>
      <c r="F529" s="105">
        <f t="shared" si="17"/>
        <v>0</v>
      </c>
      <c r="G529" s="106">
        <f t="shared" si="16"/>
        <v>0</v>
      </c>
      <c r="H529" s="81">
        <v>0.4617</v>
      </c>
      <c r="I529" s="2619" t="s">
        <v>1146</v>
      </c>
    </row>
    <row r="530" spans="1:9" ht="16.5">
      <c r="A530" s="7" t="s">
        <v>1916</v>
      </c>
      <c r="B530" s="8" t="s">
        <v>6889</v>
      </c>
      <c r="C530" s="9" t="s">
        <v>3481</v>
      </c>
      <c r="D530" s="104"/>
      <c r="E530" s="104"/>
      <c r="F530" s="105">
        <f t="shared" si="17"/>
        <v>0</v>
      </c>
      <c r="G530" s="106">
        <f t="shared" si="16"/>
        <v>0</v>
      </c>
      <c r="H530" s="81">
        <v>0.36720000000000003</v>
      </c>
      <c r="I530" s="2619" t="s">
        <v>1146</v>
      </c>
    </row>
    <row r="531" spans="1:9" ht="16.5">
      <c r="A531" s="7" t="s">
        <v>1917</v>
      </c>
      <c r="B531" s="8" t="s">
        <v>6890</v>
      </c>
      <c r="C531" s="9" t="s">
        <v>3481</v>
      </c>
      <c r="D531" s="104"/>
      <c r="E531" s="104"/>
      <c r="F531" s="105">
        <f t="shared" si="17"/>
        <v>0</v>
      </c>
      <c r="G531" s="106">
        <f t="shared" si="16"/>
        <v>0</v>
      </c>
      <c r="H531" s="81">
        <v>0.623</v>
      </c>
      <c r="I531" s="2619" t="s">
        <v>1146</v>
      </c>
    </row>
    <row r="532" spans="1:9" ht="16.5">
      <c r="A532" s="7" t="s">
        <v>1918</v>
      </c>
      <c r="B532" s="8" t="s">
        <v>6891</v>
      </c>
      <c r="C532" s="9" t="s">
        <v>3481</v>
      </c>
      <c r="D532" s="104"/>
      <c r="E532" s="104"/>
      <c r="F532" s="105">
        <f t="shared" si="17"/>
        <v>0</v>
      </c>
      <c r="G532" s="106">
        <f t="shared" si="16"/>
        <v>0</v>
      </c>
      <c r="H532" s="81">
        <v>0.1517</v>
      </c>
      <c r="I532" s="2619" t="s">
        <v>1146</v>
      </c>
    </row>
    <row r="533" spans="1:9" ht="16.5">
      <c r="A533" s="7" t="s">
        <v>1919</v>
      </c>
      <c r="B533" s="8" t="s">
        <v>6892</v>
      </c>
      <c r="C533" s="9" t="s">
        <v>3481</v>
      </c>
      <c r="D533" s="104"/>
      <c r="E533" s="104"/>
      <c r="F533" s="105">
        <f t="shared" si="17"/>
        <v>0</v>
      </c>
      <c r="G533" s="106">
        <f t="shared" si="16"/>
        <v>0</v>
      </c>
      <c r="H533" s="81">
        <v>0.51390000000000002</v>
      </c>
      <c r="I533" s="2619" t="s">
        <v>1146</v>
      </c>
    </row>
    <row r="534" spans="1:9" ht="16.5">
      <c r="A534" s="7" t="s">
        <v>1920</v>
      </c>
      <c r="B534" s="8" t="s">
        <v>6893</v>
      </c>
      <c r="C534" s="9" t="s">
        <v>3481</v>
      </c>
      <c r="D534" s="104"/>
      <c r="E534" s="104"/>
      <c r="F534" s="105">
        <f t="shared" si="17"/>
        <v>0</v>
      </c>
      <c r="G534" s="106">
        <f t="shared" si="16"/>
        <v>0</v>
      </c>
      <c r="H534" s="81">
        <v>0.64339999999999997</v>
      </c>
      <c r="I534" s="2619" t="s">
        <v>1146</v>
      </c>
    </row>
    <row r="535" spans="1:9" ht="16.5">
      <c r="A535" s="7" t="s">
        <v>1921</v>
      </c>
      <c r="B535" s="8" t="s">
        <v>6894</v>
      </c>
      <c r="C535" s="9" t="s">
        <v>3481</v>
      </c>
      <c r="D535" s="104"/>
      <c r="E535" s="104"/>
      <c r="F535" s="105">
        <f t="shared" si="17"/>
        <v>0</v>
      </c>
      <c r="G535" s="106">
        <f t="shared" si="16"/>
        <v>0</v>
      </c>
      <c r="H535" s="81">
        <v>0.65490000000000004</v>
      </c>
      <c r="I535" s="2619" t="s">
        <v>1146</v>
      </c>
    </row>
    <row r="536" spans="1:9" ht="16.5">
      <c r="A536" s="7" t="s">
        <v>1922</v>
      </c>
      <c r="B536" s="8" t="s">
        <v>6895</v>
      </c>
      <c r="C536" s="9" t="s">
        <v>3481</v>
      </c>
      <c r="D536" s="104"/>
      <c r="E536" s="104"/>
      <c r="F536" s="105">
        <f t="shared" si="17"/>
        <v>0</v>
      </c>
      <c r="G536" s="106">
        <f t="shared" si="16"/>
        <v>0</v>
      </c>
      <c r="H536" s="81">
        <v>0.52059999999999995</v>
      </c>
      <c r="I536" s="2619" t="s">
        <v>1146</v>
      </c>
    </row>
    <row r="537" spans="1:9" ht="16.5">
      <c r="A537" s="7" t="s">
        <v>1923</v>
      </c>
      <c r="B537" s="8" t="s">
        <v>6896</v>
      </c>
      <c r="C537" s="9" t="s">
        <v>3481</v>
      </c>
      <c r="D537" s="104"/>
      <c r="E537" s="104"/>
      <c r="F537" s="105">
        <f t="shared" si="17"/>
        <v>0</v>
      </c>
      <c r="G537" s="106">
        <f t="shared" si="16"/>
        <v>0</v>
      </c>
      <c r="H537" s="81">
        <v>0.55689999999999995</v>
      </c>
      <c r="I537" s="2619" t="s">
        <v>1146</v>
      </c>
    </row>
    <row r="538" spans="1:9" ht="16.5">
      <c r="A538" s="7" t="s">
        <v>1924</v>
      </c>
      <c r="B538" s="8" t="s">
        <v>6897</v>
      </c>
      <c r="C538" s="9" t="s">
        <v>3481</v>
      </c>
      <c r="D538" s="104"/>
      <c r="E538" s="104"/>
      <c r="F538" s="105">
        <f t="shared" si="17"/>
        <v>0</v>
      </c>
      <c r="G538" s="106">
        <f t="shared" si="16"/>
        <v>0</v>
      </c>
      <c r="H538" s="81">
        <v>0.51490000000000002</v>
      </c>
      <c r="I538" s="2619" t="s">
        <v>1146</v>
      </c>
    </row>
    <row r="539" spans="1:9" ht="16.5">
      <c r="A539" s="7" t="s">
        <v>1925</v>
      </c>
      <c r="B539" s="8" t="s">
        <v>6898</v>
      </c>
      <c r="C539" s="9" t="s">
        <v>3481</v>
      </c>
      <c r="D539" s="104"/>
      <c r="E539" s="104"/>
      <c r="F539" s="105">
        <f t="shared" si="17"/>
        <v>0</v>
      </c>
      <c r="G539" s="106">
        <f t="shared" si="16"/>
        <v>0</v>
      </c>
      <c r="H539" s="81">
        <v>0.66779999999999995</v>
      </c>
      <c r="I539" s="2619" t="s">
        <v>1146</v>
      </c>
    </row>
    <row r="540" spans="1:9" ht="16.5">
      <c r="A540" s="7" t="s">
        <v>1926</v>
      </c>
      <c r="B540" s="8" t="s">
        <v>6899</v>
      </c>
      <c r="C540" s="9" t="s">
        <v>3481</v>
      </c>
      <c r="D540" s="104"/>
      <c r="E540" s="104"/>
      <c r="F540" s="105">
        <f t="shared" si="17"/>
        <v>0</v>
      </c>
      <c r="G540" s="106">
        <f t="shared" si="16"/>
        <v>0</v>
      </c>
      <c r="H540" s="81">
        <v>0.66039999999999999</v>
      </c>
      <c r="I540" s="2619" t="s">
        <v>1146</v>
      </c>
    </row>
    <row r="541" spans="1:9" ht="16.5">
      <c r="A541" s="7" t="s">
        <v>1927</v>
      </c>
      <c r="B541" s="8" t="s">
        <v>6900</v>
      </c>
      <c r="C541" s="9" t="s">
        <v>3481</v>
      </c>
      <c r="D541" s="104"/>
      <c r="E541" s="104"/>
      <c r="F541" s="105">
        <f t="shared" si="17"/>
        <v>0</v>
      </c>
      <c r="G541" s="106">
        <f t="shared" si="16"/>
        <v>0</v>
      </c>
      <c r="H541" s="81">
        <v>0.51380000000000003</v>
      </c>
      <c r="I541" s="2619" t="s">
        <v>1146</v>
      </c>
    </row>
    <row r="542" spans="1:9" ht="16.5">
      <c r="A542" s="7" t="s">
        <v>1928</v>
      </c>
      <c r="B542" s="8" t="s">
        <v>6901</v>
      </c>
      <c r="C542" s="9" t="s">
        <v>3481</v>
      </c>
      <c r="D542" s="104"/>
      <c r="E542" s="104"/>
      <c r="F542" s="105">
        <f t="shared" si="17"/>
        <v>0</v>
      </c>
      <c r="G542" s="106">
        <f t="shared" si="16"/>
        <v>0</v>
      </c>
      <c r="H542" s="81">
        <v>0.52339999999999998</v>
      </c>
      <c r="I542" s="2619" t="s">
        <v>1146</v>
      </c>
    </row>
    <row r="543" spans="1:9" ht="16.5">
      <c r="A543" s="7" t="s">
        <v>1929</v>
      </c>
      <c r="B543" s="8" t="s">
        <v>6902</v>
      </c>
      <c r="C543" s="9" t="s">
        <v>3481</v>
      </c>
      <c r="D543" s="104"/>
      <c r="E543" s="104"/>
      <c r="F543" s="105">
        <f t="shared" si="17"/>
        <v>0</v>
      </c>
      <c r="G543" s="106">
        <f t="shared" si="16"/>
        <v>0</v>
      </c>
      <c r="H543" s="81">
        <v>0.49080000000000001</v>
      </c>
      <c r="I543" s="2619" t="s">
        <v>1146</v>
      </c>
    </row>
    <row r="544" spans="1:9" ht="16.5">
      <c r="A544" s="7" t="s">
        <v>1930</v>
      </c>
      <c r="B544" s="8" t="s">
        <v>6903</v>
      </c>
      <c r="C544" s="9" t="s">
        <v>3481</v>
      </c>
      <c r="D544" s="104"/>
      <c r="E544" s="104"/>
      <c r="F544" s="105">
        <f t="shared" si="17"/>
        <v>0</v>
      </c>
      <c r="G544" s="106">
        <f t="shared" si="16"/>
        <v>0</v>
      </c>
      <c r="H544" s="81">
        <v>0.55400000000000005</v>
      </c>
      <c r="I544" s="2619" t="s">
        <v>1146</v>
      </c>
    </row>
    <row r="545" spans="1:9" ht="16.5">
      <c r="A545" s="7" t="s">
        <v>1931</v>
      </c>
      <c r="B545" s="8" t="s">
        <v>6904</v>
      </c>
      <c r="C545" s="9" t="s">
        <v>3481</v>
      </c>
      <c r="D545" s="104"/>
      <c r="E545" s="104"/>
      <c r="F545" s="105">
        <f t="shared" si="17"/>
        <v>0</v>
      </c>
      <c r="G545" s="106">
        <f t="shared" si="16"/>
        <v>0</v>
      </c>
      <c r="H545" s="81">
        <v>0.4662</v>
      </c>
      <c r="I545" s="2619" t="s">
        <v>1146</v>
      </c>
    </row>
    <row r="546" spans="1:9" ht="16.5">
      <c r="A546" s="7" t="s">
        <v>1932</v>
      </c>
      <c r="B546" s="8" t="s">
        <v>6905</v>
      </c>
      <c r="C546" s="9" t="s">
        <v>3481</v>
      </c>
      <c r="D546" s="104"/>
      <c r="E546" s="104"/>
      <c r="F546" s="105">
        <f t="shared" si="17"/>
        <v>0</v>
      </c>
      <c r="G546" s="106">
        <f t="shared" si="16"/>
        <v>0</v>
      </c>
      <c r="H546" s="81">
        <v>0.45200000000000001</v>
      </c>
      <c r="I546" s="2619" t="s">
        <v>1146</v>
      </c>
    </row>
    <row r="547" spans="1:9" ht="16.5">
      <c r="A547" s="7" t="s">
        <v>1933</v>
      </c>
      <c r="B547" s="8" t="s">
        <v>6906</v>
      </c>
      <c r="C547" s="9" t="s">
        <v>3481</v>
      </c>
      <c r="D547" s="104"/>
      <c r="E547" s="104"/>
      <c r="F547" s="105">
        <f t="shared" si="17"/>
        <v>0</v>
      </c>
      <c r="G547" s="106">
        <f t="shared" si="16"/>
        <v>0</v>
      </c>
      <c r="H547" s="81">
        <v>0.1467</v>
      </c>
      <c r="I547" s="2619" t="s">
        <v>1146</v>
      </c>
    </row>
    <row r="548" spans="1:9" ht="16.5">
      <c r="A548" s="7" t="s">
        <v>1934</v>
      </c>
      <c r="B548" s="8" t="s">
        <v>6907</v>
      </c>
      <c r="C548" s="9" t="s">
        <v>3481</v>
      </c>
      <c r="D548" s="104"/>
      <c r="E548" s="104"/>
      <c r="F548" s="105">
        <f t="shared" si="17"/>
        <v>0</v>
      </c>
      <c r="G548" s="106">
        <f t="shared" si="16"/>
        <v>0</v>
      </c>
      <c r="H548" s="81">
        <v>0.18479999999999999</v>
      </c>
      <c r="I548" s="2619" t="s">
        <v>1146</v>
      </c>
    </row>
    <row r="549" spans="1:9" ht="16.5">
      <c r="A549" s="7" t="s">
        <v>1935</v>
      </c>
      <c r="B549" s="8" t="s">
        <v>6908</v>
      </c>
      <c r="C549" s="9" t="s">
        <v>3481</v>
      </c>
      <c r="D549" s="104"/>
      <c r="E549" s="104"/>
      <c r="F549" s="105">
        <f t="shared" si="17"/>
        <v>0</v>
      </c>
      <c r="G549" s="106">
        <f t="shared" si="16"/>
        <v>0</v>
      </c>
      <c r="H549" s="81">
        <v>0.21110000000000001</v>
      </c>
      <c r="I549" s="2619" t="s">
        <v>1146</v>
      </c>
    </row>
    <row r="550" spans="1:9" ht="16.5">
      <c r="A550" s="7" t="s">
        <v>1936</v>
      </c>
      <c r="B550" s="8" t="s">
        <v>6909</v>
      </c>
      <c r="C550" s="9" t="s">
        <v>3481</v>
      </c>
      <c r="D550" s="104"/>
      <c r="E550" s="104"/>
      <c r="F550" s="105">
        <f t="shared" si="17"/>
        <v>0</v>
      </c>
      <c r="G550" s="106">
        <f t="shared" si="16"/>
        <v>0</v>
      </c>
      <c r="H550" s="81">
        <v>0.29680000000000001</v>
      </c>
      <c r="I550" s="2619" t="s">
        <v>1146</v>
      </c>
    </row>
    <row r="551" spans="1:9" ht="16.5">
      <c r="A551" s="7" t="s">
        <v>1937</v>
      </c>
      <c r="B551" s="8" t="s">
        <v>6910</v>
      </c>
      <c r="C551" s="9" t="s">
        <v>3481</v>
      </c>
      <c r="D551" s="104"/>
      <c r="E551" s="104"/>
      <c r="F551" s="105">
        <f t="shared" si="17"/>
        <v>0</v>
      </c>
      <c r="G551" s="106">
        <f t="shared" si="16"/>
        <v>0</v>
      </c>
      <c r="H551" s="81">
        <v>0.58340000000000003</v>
      </c>
      <c r="I551" s="2619" t="s">
        <v>1146</v>
      </c>
    </row>
    <row r="552" spans="1:9" ht="16.5">
      <c r="A552" s="7" t="s">
        <v>1938</v>
      </c>
      <c r="B552" s="8" t="s">
        <v>6911</v>
      </c>
      <c r="C552" s="9" t="s">
        <v>3481</v>
      </c>
      <c r="D552" s="104"/>
      <c r="E552" s="104"/>
      <c r="F552" s="105">
        <f t="shared" si="17"/>
        <v>0</v>
      </c>
      <c r="G552" s="106">
        <f t="shared" si="16"/>
        <v>0</v>
      </c>
      <c r="H552" s="81">
        <v>0.2079</v>
      </c>
      <c r="I552" s="2619" t="s">
        <v>1146</v>
      </c>
    </row>
    <row r="553" spans="1:9" ht="16.5">
      <c r="A553" s="7" t="s">
        <v>1939</v>
      </c>
      <c r="B553" s="8" t="s">
        <v>6912</v>
      </c>
      <c r="C553" s="9" t="s">
        <v>3481</v>
      </c>
      <c r="D553" s="104"/>
      <c r="E553" s="104"/>
      <c r="F553" s="105">
        <f t="shared" si="17"/>
        <v>0</v>
      </c>
      <c r="G553" s="106">
        <f t="shared" si="16"/>
        <v>0</v>
      </c>
      <c r="H553" s="81">
        <v>0.45490000000000003</v>
      </c>
      <c r="I553" s="2619" t="s">
        <v>1146</v>
      </c>
    </row>
    <row r="554" spans="1:9" ht="16.5">
      <c r="A554" s="7" t="s">
        <v>1940</v>
      </c>
      <c r="B554" s="8" t="s">
        <v>6913</v>
      </c>
      <c r="C554" s="9" t="s">
        <v>3481</v>
      </c>
      <c r="D554" s="104"/>
      <c r="E554" s="104"/>
      <c r="F554" s="105">
        <f t="shared" si="17"/>
        <v>0</v>
      </c>
      <c r="G554" s="106">
        <f t="shared" si="16"/>
        <v>0</v>
      </c>
      <c r="H554" s="81">
        <v>7.1300000000000002E-2</v>
      </c>
      <c r="I554" s="2619" t="s">
        <v>1146</v>
      </c>
    </row>
    <row r="555" spans="1:9" ht="16.5">
      <c r="A555" s="7" t="s">
        <v>1941</v>
      </c>
      <c r="B555" s="8" t="s">
        <v>6914</v>
      </c>
      <c r="C555" s="9" t="s">
        <v>3481</v>
      </c>
      <c r="D555" s="104"/>
      <c r="E555" s="104"/>
      <c r="F555" s="105">
        <f t="shared" si="17"/>
        <v>0</v>
      </c>
      <c r="G555" s="106">
        <f t="shared" si="16"/>
        <v>0</v>
      </c>
      <c r="H555" s="81">
        <v>0.2465</v>
      </c>
      <c r="I555" s="2619" t="s">
        <v>1146</v>
      </c>
    </row>
    <row r="556" spans="1:9" ht="16.5">
      <c r="A556" s="7" t="s">
        <v>1942</v>
      </c>
      <c r="B556" s="8" t="s">
        <v>6915</v>
      </c>
      <c r="C556" s="9" t="s">
        <v>3481</v>
      </c>
      <c r="D556" s="104"/>
      <c r="E556" s="104"/>
      <c r="F556" s="105">
        <f t="shared" si="17"/>
        <v>0</v>
      </c>
      <c r="G556" s="106">
        <f t="shared" si="16"/>
        <v>0</v>
      </c>
      <c r="H556" s="81">
        <v>0.30880000000000002</v>
      </c>
      <c r="I556" s="2619" t="s">
        <v>1146</v>
      </c>
    </row>
    <row r="557" spans="1:9" ht="16.5">
      <c r="A557" s="7" t="s">
        <v>1943</v>
      </c>
      <c r="B557" s="8" t="s">
        <v>6916</v>
      </c>
      <c r="C557" s="9" t="s">
        <v>3481</v>
      </c>
      <c r="D557" s="104"/>
      <c r="E557" s="104"/>
      <c r="F557" s="105">
        <f t="shared" si="17"/>
        <v>0</v>
      </c>
      <c r="G557" s="106">
        <f t="shared" si="16"/>
        <v>0</v>
      </c>
      <c r="H557" s="81">
        <v>0.45240000000000002</v>
      </c>
      <c r="I557" s="2619" t="s">
        <v>1146</v>
      </c>
    </row>
    <row r="558" spans="1:9" ht="16.5">
      <c r="A558" s="7" t="s">
        <v>1944</v>
      </c>
      <c r="B558" s="8" t="s">
        <v>6917</v>
      </c>
      <c r="C558" s="9" t="s">
        <v>3481</v>
      </c>
      <c r="D558" s="104"/>
      <c r="E558" s="104"/>
      <c r="F558" s="105">
        <f t="shared" si="17"/>
        <v>0</v>
      </c>
      <c r="G558" s="106">
        <f t="shared" si="16"/>
        <v>0</v>
      </c>
      <c r="H558" s="81">
        <v>0.85260000000000002</v>
      </c>
      <c r="I558" s="2619" t="s">
        <v>1146</v>
      </c>
    </row>
    <row r="559" spans="1:9" ht="16.5">
      <c r="A559" s="7" t="s">
        <v>1945</v>
      </c>
      <c r="B559" s="8" t="s">
        <v>6918</v>
      </c>
      <c r="C559" s="9" t="s">
        <v>3481</v>
      </c>
      <c r="D559" s="104"/>
      <c r="E559" s="104"/>
      <c r="F559" s="105">
        <f t="shared" si="17"/>
        <v>0</v>
      </c>
      <c r="G559" s="106">
        <f t="shared" si="16"/>
        <v>0</v>
      </c>
      <c r="H559" s="81">
        <v>0.44940000000000002</v>
      </c>
      <c r="I559" s="2619" t="s">
        <v>1146</v>
      </c>
    </row>
    <row r="560" spans="1:9" ht="16.5">
      <c r="A560" s="7" t="s">
        <v>1946</v>
      </c>
      <c r="B560" s="8" t="s">
        <v>6919</v>
      </c>
      <c r="C560" s="9" t="s">
        <v>3481</v>
      </c>
      <c r="D560" s="104"/>
      <c r="E560" s="104"/>
      <c r="F560" s="105">
        <f t="shared" si="17"/>
        <v>0</v>
      </c>
      <c r="G560" s="106">
        <f t="shared" si="16"/>
        <v>0</v>
      </c>
      <c r="H560" s="81">
        <v>0.17399999999999999</v>
      </c>
      <c r="I560" s="2619" t="s">
        <v>1146</v>
      </c>
    </row>
    <row r="561" spans="1:9" ht="16.5">
      <c r="A561" s="7" t="s">
        <v>3391</v>
      </c>
      <c r="B561" s="8" t="s">
        <v>6920</v>
      </c>
      <c r="C561" s="9" t="s">
        <v>3481</v>
      </c>
      <c r="D561" s="104"/>
      <c r="E561" s="104"/>
      <c r="F561" s="105">
        <f t="shared" si="17"/>
        <v>0</v>
      </c>
      <c r="G561" s="106">
        <f t="shared" si="16"/>
        <v>0</v>
      </c>
      <c r="H561" s="81">
        <v>0.28720000000000001</v>
      </c>
      <c r="I561" s="2619" t="s">
        <v>1146</v>
      </c>
    </row>
    <row r="562" spans="1:9" ht="16.5">
      <c r="A562" s="7" t="s">
        <v>1947</v>
      </c>
      <c r="B562" s="8" t="s">
        <v>6921</v>
      </c>
      <c r="C562" s="9" t="s">
        <v>3481</v>
      </c>
      <c r="D562" s="104"/>
      <c r="E562" s="104"/>
      <c r="F562" s="105">
        <f t="shared" si="17"/>
        <v>0</v>
      </c>
      <c r="G562" s="106">
        <f t="shared" si="16"/>
        <v>0</v>
      </c>
      <c r="H562" s="81">
        <v>0.47989999999999999</v>
      </c>
      <c r="I562" s="2619" t="s">
        <v>1146</v>
      </c>
    </row>
    <row r="563" spans="1:9" ht="16.5">
      <c r="A563" s="7" t="s">
        <v>1948</v>
      </c>
      <c r="B563" s="8" t="s">
        <v>6922</v>
      </c>
      <c r="C563" s="9" t="s">
        <v>3481</v>
      </c>
      <c r="D563" s="104"/>
      <c r="E563" s="104"/>
      <c r="F563" s="105">
        <f t="shared" si="17"/>
        <v>0</v>
      </c>
      <c r="G563" s="106">
        <f t="shared" si="16"/>
        <v>0</v>
      </c>
      <c r="H563" s="81">
        <v>0.7873</v>
      </c>
      <c r="I563" s="2619" t="s">
        <v>1146</v>
      </c>
    </row>
    <row r="564" spans="1:9" ht="16.5">
      <c r="A564" s="7" t="s">
        <v>1949</v>
      </c>
      <c r="B564" s="8" t="s">
        <v>6923</v>
      </c>
      <c r="C564" s="9" t="s">
        <v>3481</v>
      </c>
      <c r="D564" s="104"/>
      <c r="E564" s="104"/>
      <c r="F564" s="105">
        <f t="shared" si="17"/>
        <v>0</v>
      </c>
      <c r="G564" s="106">
        <f t="shared" si="16"/>
        <v>0</v>
      </c>
      <c r="H564" s="81">
        <v>0.85029999999999994</v>
      </c>
      <c r="I564" s="2619" t="s">
        <v>1146</v>
      </c>
    </row>
    <row r="565" spans="1:9" ht="16.5">
      <c r="A565" s="7" t="s">
        <v>1950</v>
      </c>
      <c r="B565" s="8" t="s">
        <v>6924</v>
      </c>
      <c r="C565" s="9" t="s">
        <v>3481</v>
      </c>
      <c r="D565" s="104"/>
      <c r="E565" s="104"/>
      <c r="F565" s="105">
        <f t="shared" si="17"/>
        <v>0</v>
      </c>
      <c r="G565" s="106">
        <f t="shared" si="16"/>
        <v>0</v>
      </c>
      <c r="H565" s="81">
        <v>0.76280000000000003</v>
      </c>
      <c r="I565" s="2619" t="s">
        <v>1146</v>
      </c>
    </row>
    <row r="566" spans="1:9" ht="16.5">
      <c r="A566" s="7" t="s">
        <v>1951</v>
      </c>
      <c r="B566" s="8" t="s">
        <v>6925</v>
      </c>
      <c r="C566" s="9" t="s">
        <v>3481</v>
      </c>
      <c r="D566" s="104"/>
      <c r="E566" s="104"/>
      <c r="F566" s="105">
        <f t="shared" si="17"/>
        <v>0</v>
      </c>
      <c r="G566" s="106">
        <f t="shared" si="16"/>
        <v>0</v>
      </c>
      <c r="H566" s="81">
        <v>1.4998</v>
      </c>
      <c r="I566" s="2619" t="s">
        <v>1146</v>
      </c>
    </row>
    <row r="567" spans="1:9" ht="16.5">
      <c r="A567" s="7" t="s">
        <v>1952</v>
      </c>
      <c r="B567" s="8" t="s">
        <v>6926</v>
      </c>
      <c r="C567" s="9" t="s">
        <v>3481</v>
      </c>
      <c r="D567" s="104"/>
      <c r="E567" s="104"/>
      <c r="F567" s="105">
        <f t="shared" si="17"/>
        <v>0</v>
      </c>
      <c r="G567" s="106">
        <f t="shared" si="16"/>
        <v>0</v>
      </c>
      <c r="H567" s="81">
        <v>0.7772</v>
      </c>
      <c r="I567" s="2619" t="s">
        <v>1146</v>
      </c>
    </row>
    <row r="568" spans="1:9" ht="16.5">
      <c r="A568" s="7" t="s">
        <v>1953</v>
      </c>
      <c r="B568" s="8" t="s">
        <v>6927</v>
      </c>
      <c r="C568" s="9" t="s">
        <v>3481</v>
      </c>
      <c r="D568" s="104"/>
      <c r="E568" s="104"/>
      <c r="F568" s="105">
        <f t="shared" si="17"/>
        <v>0</v>
      </c>
      <c r="G568" s="106">
        <f t="shared" si="16"/>
        <v>0</v>
      </c>
      <c r="H568" s="81">
        <v>0.3866</v>
      </c>
      <c r="I568" s="2619" t="s">
        <v>1146</v>
      </c>
    </row>
    <row r="569" spans="1:9" ht="16.5">
      <c r="A569" s="7" t="s">
        <v>1954</v>
      </c>
      <c r="B569" s="8" t="s">
        <v>6928</v>
      </c>
      <c r="C569" s="9" t="s">
        <v>3481</v>
      </c>
      <c r="D569" s="104"/>
      <c r="E569" s="104"/>
      <c r="F569" s="105">
        <f t="shared" si="17"/>
        <v>0</v>
      </c>
      <c r="G569" s="106">
        <f t="shared" si="16"/>
        <v>0</v>
      </c>
      <c r="H569" s="81">
        <v>0.3861</v>
      </c>
      <c r="I569" s="2619" t="s">
        <v>1146</v>
      </c>
    </row>
    <row r="570" spans="1:9" ht="16.5">
      <c r="A570" s="7" t="s">
        <v>1955</v>
      </c>
      <c r="B570" s="8" t="s">
        <v>6929</v>
      </c>
      <c r="C570" s="9" t="s">
        <v>3481</v>
      </c>
      <c r="D570" s="104"/>
      <c r="E570" s="104"/>
      <c r="F570" s="105">
        <f t="shared" si="17"/>
        <v>0</v>
      </c>
      <c r="G570" s="106">
        <f t="shared" si="16"/>
        <v>0</v>
      </c>
      <c r="H570" s="81">
        <v>1.6782999999999999</v>
      </c>
      <c r="I570" s="2619" t="s">
        <v>1146</v>
      </c>
    </row>
    <row r="571" spans="1:9" ht="16.5">
      <c r="A571" s="7" t="s">
        <v>1956</v>
      </c>
      <c r="B571" s="8" t="s">
        <v>6930</v>
      </c>
      <c r="C571" s="9" t="s">
        <v>3481</v>
      </c>
      <c r="D571" s="104"/>
      <c r="E571" s="104"/>
      <c r="F571" s="105">
        <f t="shared" si="17"/>
        <v>0</v>
      </c>
      <c r="G571" s="106">
        <f t="shared" si="16"/>
        <v>0</v>
      </c>
      <c r="H571" s="81">
        <v>1.0770999999999999</v>
      </c>
      <c r="I571" s="2619" t="s">
        <v>1146</v>
      </c>
    </row>
    <row r="572" spans="1:9" ht="16.5">
      <c r="A572" s="7" t="s">
        <v>1957</v>
      </c>
      <c r="B572" s="8" t="s">
        <v>6931</v>
      </c>
      <c r="C572" s="9" t="s">
        <v>3481</v>
      </c>
      <c r="D572" s="104"/>
      <c r="E572" s="104"/>
      <c r="F572" s="105">
        <f t="shared" si="17"/>
        <v>0</v>
      </c>
      <c r="G572" s="106">
        <f t="shared" si="16"/>
        <v>0</v>
      </c>
      <c r="H572" s="81">
        <v>0.41949999999999998</v>
      </c>
      <c r="I572" s="2619" t="s">
        <v>1146</v>
      </c>
    </row>
    <row r="573" spans="1:9" ht="16.5">
      <c r="A573" s="7" t="s">
        <v>1958</v>
      </c>
      <c r="B573" s="8" t="s">
        <v>6932</v>
      </c>
      <c r="C573" s="9" t="s">
        <v>3481</v>
      </c>
      <c r="D573" s="104"/>
      <c r="E573" s="104"/>
      <c r="F573" s="105">
        <f t="shared" si="17"/>
        <v>0</v>
      </c>
      <c r="G573" s="106">
        <f t="shared" si="16"/>
        <v>0</v>
      </c>
      <c r="H573" s="81">
        <v>0.99750000000000005</v>
      </c>
      <c r="I573" s="2619" t="s">
        <v>1146</v>
      </c>
    </row>
    <row r="574" spans="1:9" ht="16.5">
      <c r="A574" s="7" t="s">
        <v>1959</v>
      </c>
      <c r="B574" s="8" t="s">
        <v>6933</v>
      </c>
      <c r="C574" s="9" t="s">
        <v>3481</v>
      </c>
      <c r="D574" s="104"/>
      <c r="E574" s="104"/>
      <c r="F574" s="105">
        <f t="shared" si="17"/>
        <v>0</v>
      </c>
      <c r="G574" s="106">
        <f t="shared" si="16"/>
        <v>0</v>
      </c>
      <c r="H574" s="81">
        <v>1.8013999999999999</v>
      </c>
      <c r="I574" s="2619" t="s">
        <v>1146</v>
      </c>
    </row>
    <row r="575" spans="1:9" ht="16.5">
      <c r="A575" s="7" t="s">
        <v>1960</v>
      </c>
      <c r="B575" s="8" t="s">
        <v>6934</v>
      </c>
      <c r="C575" s="9" t="s">
        <v>3481</v>
      </c>
      <c r="D575" s="104"/>
      <c r="E575" s="104"/>
      <c r="F575" s="105">
        <f t="shared" si="17"/>
        <v>0</v>
      </c>
      <c r="G575" s="106">
        <f t="shared" si="16"/>
        <v>0</v>
      </c>
      <c r="H575" s="81">
        <v>6.7599999999999993E-2</v>
      </c>
      <c r="I575" s="2619" t="s">
        <v>1146</v>
      </c>
    </row>
    <row r="576" spans="1:9" ht="16.5">
      <c r="A576" s="7" t="s">
        <v>1961</v>
      </c>
      <c r="B576" s="8" t="s">
        <v>6935</v>
      </c>
      <c r="C576" s="9" t="s">
        <v>3481</v>
      </c>
      <c r="D576" s="104"/>
      <c r="E576" s="104"/>
      <c r="F576" s="105">
        <f t="shared" si="17"/>
        <v>0</v>
      </c>
      <c r="G576" s="106">
        <f t="shared" si="16"/>
        <v>0</v>
      </c>
      <c r="H576" s="81">
        <v>0.70299999999999996</v>
      </c>
      <c r="I576" s="2619" t="s">
        <v>1146</v>
      </c>
    </row>
    <row r="577" spans="1:9" ht="16.5">
      <c r="A577" s="7" t="s">
        <v>1962</v>
      </c>
      <c r="B577" s="8" t="s">
        <v>6936</v>
      </c>
      <c r="C577" s="9" t="s">
        <v>3481</v>
      </c>
      <c r="D577" s="104"/>
      <c r="E577" s="104"/>
      <c r="F577" s="105">
        <f t="shared" si="17"/>
        <v>0</v>
      </c>
      <c r="G577" s="106">
        <f t="shared" si="16"/>
        <v>0</v>
      </c>
      <c r="H577" s="81">
        <v>0.47039999999999998</v>
      </c>
      <c r="I577" s="2619" t="s">
        <v>1146</v>
      </c>
    </row>
    <row r="578" spans="1:9" ht="16.5">
      <c r="A578" s="7" t="s">
        <v>1963</v>
      </c>
      <c r="B578" s="8" t="s">
        <v>6937</v>
      </c>
      <c r="C578" s="9" t="s">
        <v>3481</v>
      </c>
      <c r="D578" s="104"/>
      <c r="E578" s="104"/>
      <c r="F578" s="105">
        <f t="shared" si="17"/>
        <v>0</v>
      </c>
      <c r="G578" s="106">
        <f t="shared" si="16"/>
        <v>0</v>
      </c>
      <c r="H578" s="81">
        <v>0.95299999999999996</v>
      </c>
      <c r="I578" s="2619" t="s">
        <v>1146</v>
      </c>
    </row>
    <row r="579" spans="1:9" ht="16.5">
      <c r="A579" s="7" t="s">
        <v>1964</v>
      </c>
      <c r="B579" s="8" t="s">
        <v>6938</v>
      </c>
      <c r="C579" s="9" t="s">
        <v>3481</v>
      </c>
      <c r="D579" s="104"/>
      <c r="E579" s="104"/>
      <c r="F579" s="105">
        <f t="shared" si="17"/>
        <v>0</v>
      </c>
      <c r="G579" s="106">
        <f t="shared" si="16"/>
        <v>0</v>
      </c>
      <c r="H579" s="81">
        <v>0.52910000000000001</v>
      </c>
      <c r="I579" s="2619" t="s">
        <v>1146</v>
      </c>
    </row>
    <row r="580" spans="1:9" ht="16.5">
      <c r="A580" s="7" t="s">
        <v>1965</v>
      </c>
      <c r="B580" s="8" t="s">
        <v>6939</v>
      </c>
      <c r="C580" s="9" t="s">
        <v>3481</v>
      </c>
      <c r="D580" s="104"/>
      <c r="E580" s="104"/>
      <c r="F580" s="105">
        <f t="shared" si="17"/>
        <v>0</v>
      </c>
      <c r="G580" s="106">
        <f t="shared" ref="G580:G643" si="18">IF($F$1265=0,0,F580/$F$1265)</f>
        <v>0</v>
      </c>
      <c r="H580" s="81">
        <v>0.55710000000000004</v>
      </c>
      <c r="I580" s="2619" t="s">
        <v>1146</v>
      </c>
    </row>
    <row r="581" spans="1:9" ht="16.5">
      <c r="A581" s="7" t="s">
        <v>1966</v>
      </c>
      <c r="B581" s="8" t="s">
        <v>6940</v>
      </c>
      <c r="C581" s="9" t="s">
        <v>3481</v>
      </c>
      <c r="D581" s="104"/>
      <c r="E581" s="104"/>
      <c r="F581" s="105">
        <f t="shared" ref="F581:F644" si="19">D581*E581</f>
        <v>0</v>
      </c>
      <c r="G581" s="106">
        <f t="shared" si="18"/>
        <v>0</v>
      </c>
      <c r="H581" s="81">
        <v>1.1500999999999999</v>
      </c>
      <c r="I581" s="2619" t="s">
        <v>1146</v>
      </c>
    </row>
    <row r="582" spans="1:9" ht="16.5">
      <c r="A582" s="7" t="s">
        <v>1967</v>
      </c>
      <c r="B582" s="8" t="s">
        <v>6941</v>
      </c>
      <c r="C582" s="9" t="s">
        <v>3481</v>
      </c>
      <c r="D582" s="104"/>
      <c r="E582" s="104"/>
      <c r="F582" s="105">
        <f t="shared" si="19"/>
        <v>0</v>
      </c>
      <c r="G582" s="106">
        <f t="shared" si="18"/>
        <v>0</v>
      </c>
      <c r="H582" s="81">
        <v>0.34610000000000002</v>
      </c>
      <c r="I582" s="2619" t="s">
        <v>1146</v>
      </c>
    </row>
    <row r="583" spans="1:9" ht="16.5">
      <c r="A583" s="7" t="s">
        <v>1968</v>
      </c>
      <c r="B583" s="8" t="s">
        <v>6942</v>
      </c>
      <c r="C583" s="9" t="s">
        <v>3481</v>
      </c>
      <c r="D583" s="104"/>
      <c r="E583" s="104"/>
      <c r="F583" s="105">
        <f t="shared" si="19"/>
        <v>0</v>
      </c>
      <c r="G583" s="106">
        <f t="shared" si="18"/>
        <v>0</v>
      </c>
      <c r="H583" s="81">
        <v>1.0163</v>
      </c>
      <c r="I583" s="2619" t="s">
        <v>1146</v>
      </c>
    </row>
    <row r="584" spans="1:9" ht="16.5">
      <c r="A584" s="7" t="s">
        <v>1969</v>
      </c>
      <c r="B584" s="8" t="s">
        <v>6943</v>
      </c>
      <c r="C584" s="9" t="s">
        <v>3481</v>
      </c>
      <c r="D584" s="104"/>
      <c r="E584" s="104"/>
      <c r="F584" s="105">
        <f t="shared" si="19"/>
        <v>0</v>
      </c>
      <c r="G584" s="106">
        <f t="shared" si="18"/>
        <v>0</v>
      </c>
      <c r="H584" s="81">
        <v>0.23169999999999999</v>
      </c>
      <c r="I584" s="2619" t="s">
        <v>1146</v>
      </c>
    </row>
    <row r="585" spans="1:9" ht="16.5">
      <c r="A585" s="7" t="s">
        <v>1970</v>
      </c>
      <c r="B585" s="8" t="s">
        <v>6944</v>
      </c>
      <c r="C585" s="9" t="s">
        <v>3481</v>
      </c>
      <c r="D585" s="104"/>
      <c r="E585" s="104"/>
      <c r="F585" s="105">
        <f t="shared" si="19"/>
        <v>0</v>
      </c>
      <c r="G585" s="106">
        <f t="shared" si="18"/>
        <v>0</v>
      </c>
      <c r="H585" s="81">
        <v>1.0039</v>
      </c>
      <c r="I585" s="2619" t="s">
        <v>1146</v>
      </c>
    </row>
    <row r="586" spans="1:9" ht="16.5">
      <c r="A586" s="7" t="s">
        <v>1971</v>
      </c>
      <c r="B586" s="8" t="s">
        <v>6945</v>
      </c>
      <c r="C586" s="9" t="s">
        <v>3481</v>
      </c>
      <c r="D586" s="104"/>
      <c r="E586" s="104"/>
      <c r="F586" s="105">
        <f t="shared" si="19"/>
        <v>0</v>
      </c>
      <c r="G586" s="106">
        <f t="shared" si="18"/>
        <v>0</v>
      </c>
      <c r="H586" s="81">
        <v>0.254</v>
      </c>
      <c r="I586" s="2619" t="s">
        <v>1146</v>
      </c>
    </row>
    <row r="587" spans="1:9" ht="16.5">
      <c r="A587" s="7" t="s">
        <v>1972</v>
      </c>
      <c r="B587" s="8" t="s">
        <v>6946</v>
      </c>
      <c r="C587" s="9" t="s">
        <v>3481</v>
      </c>
      <c r="D587" s="104"/>
      <c r="E587" s="104"/>
      <c r="F587" s="105">
        <f t="shared" si="19"/>
        <v>0</v>
      </c>
      <c r="G587" s="106">
        <f t="shared" si="18"/>
        <v>0</v>
      </c>
      <c r="H587" s="81">
        <v>0.61080000000000001</v>
      </c>
      <c r="I587" s="2619" t="s">
        <v>1146</v>
      </c>
    </row>
    <row r="588" spans="1:9" ht="16.5">
      <c r="A588" s="7" t="s">
        <v>1973</v>
      </c>
      <c r="B588" s="8" t="s">
        <v>6947</v>
      </c>
      <c r="C588" s="9" t="s">
        <v>3481</v>
      </c>
      <c r="D588" s="104"/>
      <c r="E588" s="104"/>
      <c r="F588" s="105">
        <f t="shared" si="19"/>
        <v>0</v>
      </c>
      <c r="G588" s="106">
        <f t="shared" si="18"/>
        <v>0</v>
      </c>
      <c r="H588" s="81">
        <v>1.3636999999999999</v>
      </c>
      <c r="I588" s="2619" t="s">
        <v>1146</v>
      </c>
    </row>
    <row r="589" spans="1:9" ht="16.5">
      <c r="A589" s="7" t="s">
        <v>1974</v>
      </c>
      <c r="B589" s="8" t="s">
        <v>6948</v>
      </c>
      <c r="C589" s="9" t="s">
        <v>3481</v>
      </c>
      <c r="D589" s="104"/>
      <c r="E589" s="104"/>
      <c r="F589" s="105">
        <f t="shared" si="19"/>
        <v>0</v>
      </c>
      <c r="G589" s="106">
        <f t="shared" si="18"/>
        <v>0</v>
      </c>
      <c r="H589" s="81">
        <v>0.48420000000000002</v>
      </c>
      <c r="I589" s="2619" t="s">
        <v>1146</v>
      </c>
    </row>
    <row r="590" spans="1:9" ht="16.5">
      <c r="A590" s="7" t="s">
        <v>1975</v>
      </c>
      <c r="B590" s="8" t="s">
        <v>6949</v>
      </c>
      <c r="C590" s="9" t="s">
        <v>3481</v>
      </c>
      <c r="D590" s="104"/>
      <c r="E590" s="104"/>
      <c r="F590" s="105">
        <f t="shared" si="19"/>
        <v>0</v>
      </c>
      <c r="G590" s="106">
        <f t="shared" si="18"/>
        <v>0</v>
      </c>
      <c r="H590" s="81">
        <v>0.88900000000000001</v>
      </c>
      <c r="I590" s="2619" t="s">
        <v>1146</v>
      </c>
    </row>
    <row r="591" spans="1:9" ht="16.5">
      <c r="A591" s="7" t="s">
        <v>1976</v>
      </c>
      <c r="B591" s="8" t="s">
        <v>6950</v>
      </c>
      <c r="C591" s="9" t="s">
        <v>3481</v>
      </c>
      <c r="D591" s="104"/>
      <c r="E591" s="104"/>
      <c r="F591" s="105">
        <f t="shared" si="19"/>
        <v>0</v>
      </c>
      <c r="G591" s="106">
        <f t="shared" si="18"/>
        <v>0</v>
      </c>
      <c r="H591" s="81">
        <v>1.9000999999999999</v>
      </c>
      <c r="I591" s="2619" t="s">
        <v>1146</v>
      </c>
    </row>
    <row r="592" spans="1:9" ht="16.5">
      <c r="A592" s="7" t="s">
        <v>1977</v>
      </c>
      <c r="B592" s="8" t="s">
        <v>6951</v>
      </c>
      <c r="C592" s="9" t="s">
        <v>3481</v>
      </c>
      <c r="D592" s="104"/>
      <c r="E592" s="104"/>
      <c r="F592" s="105">
        <f t="shared" si="19"/>
        <v>0</v>
      </c>
      <c r="G592" s="106">
        <f t="shared" si="18"/>
        <v>0</v>
      </c>
      <c r="H592" s="81">
        <v>0.2732</v>
      </c>
      <c r="I592" s="2619" t="s">
        <v>1146</v>
      </c>
    </row>
    <row r="593" spans="1:9" ht="16.5">
      <c r="A593" s="7" t="s">
        <v>1978</v>
      </c>
      <c r="B593" s="8" t="s">
        <v>6952</v>
      </c>
      <c r="C593" s="9" t="s">
        <v>3481</v>
      </c>
      <c r="D593" s="104"/>
      <c r="E593" s="104"/>
      <c r="F593" s="105">
        <f t="shared" si="19"/>
        <v>0</v>
      </c>
      <c r="G593" s="106">
        <f t="shared" si="18"/>
        <v>0</v>
      </c>
      <c r="H593" s="81">
        <v>1.8934</v>
      </c>
      <c r="I593" s="2619" t="s">
        <v>1146</v>
      </c>
    </row>
    <row r="594" spans="1:9" ht="16.5">
      <c r="A594" s="7" t="s">
        <v>1979</v>
      </c>
      <c r="B594" s="8" t="s">
        <v>6953</v>
      </c>
      <c r="C594" s="9" t="s">
        <v>3481</v>
      </c>
      <c r="D594" s="104"/>
      <c r="E594" s="104"/>
      <c r="F594" s="105">
        <f t="shared" si="19"/>
        <v>0</v>
      </c>
      <c r="G594" s="106">
        <f t="shared" si="18"/>
        <v>0</v>
      </c>
      <c r="H594" s="81">
        <v>0.9405</v>
      </c>
      <c r="I594" s="2619" t="s">
        <v>1146</v>
      </c>
    </row>
    <row r="595" spans="1:9" ht="16.5">
      <c r="A595" s="7" t="s">
        <v>1980</v>
      </c>
      <c r="B595" s="8" t="s">
        <v>6954</v>
      </c>
      <c r="C595" s="9" t="s">
        <v>3481</v>
      </c>
      <c r="D595" s="104"/>
      <c r="E595" s="104"/>
      <c r="F595" s="105">
        <f t="shared" si="19"/>
        <v>0</v>
      </c>
      <c r="G595" s="106">
        <f t="shared" si="18"/>
        <v>0</v>
      </c>
      <c r="H595" s="81">
        <v>0.1681</v>
      </c>
      <c r="I595" s="2619" t="s">
        <v>1146</v>
      </c>
    </row>
    <row r="596" spans="1:9" ht="16.5">
      <c r="A596" s="7" t="s">
        <v>1981</v>
      </c>
      <c r="B596" s="8" t="s">
        <v>6955</v>
      </c>
      <c r="C596" s="9" t="s">
        <v>3481</v>
      </c>
      <c r="D596" s="104"/>
      <c r="E596" s="104"/>
      <c r="F596" s="105">
        <f t="shared" si="19"/>
        <v>0</v>
      </c>
      <c r="G596" s="106">
        <f t="shared" si="18"/>
        <v>0</v>
      </c>
      <c r="H596" s="81">
        <v>0.87890000000000001</v>
      </c>
      <c r="I596" s="2619" t="s">
        <v>1146</v>
      </c>
    </row>
    <row r="597" spans="1:9" ht="16.5">
      <c r="A597" s="7" t="s">
        <v>1982</v>
      </c>
      <c r="B597" s="8" t="s">
        <v>6956</v>
      </c>
      <c r="C597" s="9" t="s">
        <v>3481</v>
      </c>
      <c r="D597" s="104"/>
      <c r="E597" s="104"/>
      <c r="F597" s="105">
        <f t="shared" si="19"/>
        <v>0</v>
      </c>
      <c r="G597" s="106">
        <f t="shared" si="18"/>
        <v>0</v>
      </c>
      <c r="H597" s="81">
        <v>0.61939999999999995</v>
      </c>
      <c r="I597" s="2619" t="s">
        <v>1146</v>
      </c>
    </row>
    <row r="598" spans="1:9" ht="16.5">
      <c r="A598" s="7" t="s">
        <v>1983</v>
      </c>
      <c r="B598" s="8" t="s">
        <v>6957</v>
      </c>
      <c r="C598" s="9" t="s">
        <v>3481</v>
      </c>
      <c r="D598" s="104"/>
      <c r="E598" s="104"/>
      <c r="F598" s="105">
        <f t="shared" si="19"/>
        <v>0</v>
      </c>
      <c r="G598" s="106">
        <f t="shared" si="18"/>
        <v>0</v>
      </c>
      <c r="H598" s="81">
        <v>0.1961</v>
      </c>
      <c r="I598" s="2619" t="s">
        <v>1146</v>
      </c>
    </row>
    <row r="599" spans="1:9" ht="16.5">
      <c r="A599" s="7" t="s">
        <v>1984</v>
      </c>
      <c r="B599" s="8" t="s">
        <v>6958</v>
      </c>
      <c r="C599" s="9" t="s">
        <v>3481</v>
      </c>
      <c r="D599" s="104"/>
      <c r="E599" s="104"/>
      <c r="F599" s="105">
        <f t="shared" si="19"/>
        <v>0</v>
      </c>
      <c r="G599" s="106">
        <f t="shared" si="18"/>
        <v>0</v>
      </c>
      <c r="H599" s="81">
        <v>0.89580000000000004</v>
      </c>
      <c r="I599" s="2619" t="s">
        <v>1146</v>
      </c>
    </row>
    <row r="600" spans="1:9" ht="16.5">
      <c r="A600" s="7" t="s">
        <v>1985</v>
      </c>
      <c r="B600" s="8" t="s">
        <v>6959</v>
      </c>
      <c r="C600" s="9" t="s">
        <v>3481</v>
      </c>
      <c r="D600" s="104"/>
      <c r="E600" s="104"/>
      <c r="F600" s="105">
        <f t="shared" si="19"/>
        <v>0</v>
      </c>
      <c r="G600" s="106">
        <f t="shared" si="18"/>
        <v>0</v>
      </c>
      <c r="H600" s="81">
        <v>0.31830000000000003</v>
      </c>
      <c r="I600" s="2619" t="s">
        <v>1146</v>
      </c>
    </row>
    <row r="601" spans="1:9" ht="16.5">
      <c r="A601" s="7" t="s">
        <v>1986</v>
      </c>
      <c r="B601" s="8" t="s">
        <v>6960</v>
      </c>
      <c r="C601" s="9" t="s">
        <v>3481</v>
      </c>
      <c r="D601" s="104"/>
      <c r="E601" s="104"/>
      <c r="F601" s="105">
        <f t="shared" si="19"/>
        <v>0</v>
      </c>
      <c r="G601" s="106">
        <f t="shared" si="18"/>
        <v>0</v>
      </c>
      <c r="H601" s="81">
        <v>1.0327</v>
      </c>
      <c r="I601" s="2619" t="s">
        <v>1146</v>
      </c>
    </row>
    <row r="602" spans="1:9" ht="16.5">
      <c r="A602" s="7" t="s">
        <v>1987</v>
      </c>
      <c r="B602" s="8" t="s">
        <v>6961</v>
      </c>
      <c r="C602" s="9" t="s">
        <v>3481</v>
      </c>
      <c r="D602" s="104"/>
      <c r="E602" s="104"/>
      <c r="F602" s="105">
        <f t="shared" si="19"/>
        <v>0</v>
      </c>
      <c r="G602" s="106">
        <f t="shared" si="18"/>
        <v>0</v>
      </c>
      <c r="H602" s="81">
        <v>0.7399</v>
      </c>
      <c r="I602" s="2619" t="s">
        <v>1146</v>
      </c>
    </row>
    <row r="603" spans="1:9" ht="16.5">
      <c r="A603" s="7" t="s">
        <v>1988</v>
      </c>
      <c r="B603" s="8" t="s">
        <v>6962</v>
      </c>
      <c r="C603" s="9" t="s">
        <v>3481</v>
      </c>
      <c r="D603" s="104"/>
      <c r="E603" s="104"/>
      <c r="F603" s="105">
        <f t="shared" si="19"/>
        <v>0</v>
      </c>
      <c r="G603" s="106">
        <f t="shared" si="18"/>
        <v>0</v>
      </c>
      <c r="H603" s="81">
        <v>0.46479999999999999</v>
      </c>
      <c r="I603" s="2619" t="s">
        <v>1146</v>
      </c>
    </row>
    <row r="604" spans="1:9" ht="16.5">
      <c r="A604" s="7" t="s">
        <v>1989</v>
      </c>
      <c r="B604" s="8" t="s">
        <v>6963</v>
      </c>
      <c r="C604" s="9" t="s">
        <v>3481</v>
      </c>
      <c r="D604" s="104"/>
      <c r="E604" s="104"/>
      <c r="F604" s="105">
        <f t="shared" si="19"/>
        <v>0</v>
      </c>
      <c r="G604" s="106">
        <f t="shared" si="18"/>
        <v>0</v>
      </c>
      <c r="H604" s="81">
        <v>0.50139999999999996</v>
      </c>
      <c r="I604" s="2619" t="s">
        <v>1146</v>
      </c>
    </row>
    <row r="605" spans="1:9" ht="16.5">
      <c r="A605" s="7" t="s">
        <v>1990</v>
      </c>
      <c r="B605" s="8" t="s">
        <v>6964</v>
      </c>
      <c r="C605" s="9" t="s">
        <v>3481</v>
      </c>
      <c r="D605" s="104"/>
      <c r="E605" s="104"/>
      <c r="F605" s="105">
        <f t="shared" si="19"/>
        <v>0</v>
      </c>
      <c r="G605" s="106">
        <f t="shared" si="18"/>
        <v>0</v>
      </c>
      <c r="H605" s="81">
        <v>0.19420000000000001</v>
      </c>
      <c r="I605" s="2619" t="s">
        <v>1146</v>
      </c>
    </row>
    <row r="606" spans="1:9" ht="16.5">
      <c r="A606" s="7" t="s">
        <v>1991</v>
      </c>
      <c r="B606" s="8" t="s">
        <v>6965</v>
      </c>
      <c r="C606" s="9" t="s">
        <v>3481</v>
      </c>
      <c r="D606" s="104"/>
      <c r="E606" s="104"/>
      <c r="F606" s="105">
        <f t="shared" si="19"/>
        <v>0</v>
      </c>
      <c r="G606" s="106">
        <f t="shared" si="18"/>
        <v>0</v>
      </c>
      <c r="H606" s="81">
        <v>0.62880000000000003</v>
      </c>
      <c r="I606" s="2619" t="s">
        <v>1146</v>
      </c>
    </row>
    <row r="607" spans="1:9" ht="16.5">
      <c r="A607" s="7" t="s">
        <v>1992</v>
      </c>
      <c r="B607" s="8" t="s">
        <v>6966</v>
      </c>
      <c r="C607" s="9" t="s">
        <v>3481</v>
      </c>
      <c r="D607" s="104"/>
      <c r="E607" s="104"/>
      <c r="F607" s="105">
        <f t="shared" si="19"/>
        <v>0</v>
      </c>
      <c r="G607" s="106">
        <f t="shared" si="18"/>
        <v>0</v>
      </c>
      <c r="H607" s="81">
        <v>0.31809999999999999</v>
      </c>
      <c r="I607" s="2619" t="s">
        <v>1146</v>
      </c>
    </row>
    <row r="608" spans="1:9" ht="16.5">
      <c r="A608" s="7" t="s">
        <v>1993</v>
      </c>
      <c r="B608" s="8" t="s">
        <v>6967</v>
      </c>
      <c r="C608" s="9" t="s">
        <v>3481</v>
      </c>
      <c r="D608" s="104"/>
      <c r="E608" s="104"/>
      <c r="F608" s="105">
        <f t="shared" si="19"/>
        <v>0</v>
      </c>
      <c r="G608" s="106">
        <f t="shared" si="18"/>
        <v>0</v>
      </c>
      <c r="H608" s="81">
        <v>2.53E-2</v>
      </c>
      <c r="I608" s="2619" t="s">
        <v>1146</v>
      </c>
    </row>
    <row r="609" spans="1:9" ht="16.5">
      <c r="A609" s="7" t="s">
        <v>1994</v>
      </c>
      <c r="B609" s="8" t="s">
        <v>6968</v>
      </c>
      <c r="C609" s="9" t="s">
        <v>3481</v>
      </c>
      <c r="D609" s="104"/>
      <c r="E609" s="104"/>
      <c r="F609" s="105">
        <f t="shared" si="19"/>
        <v>0</v>
      </c>
      <c r="G609" s="106">
        <f t="shared" si="18"/>
        <v>0</v>
      </c>
      <c r="H609" s="81">
        <v>0.83799999999999997</v>
      </c>
      <c r="I609" s="2619" t="s">
        <v>1146</v>
      </c>
    </row>
    <row r="610" spans="1:9" ht="16.5">
      <c r="A610" s="7" t="s">
        <v>1995</v>
      </c>
      <c r="B610" s="8" t="s">
        <v>6969</v>
      </c>
      <c r="C610" s="9" t="s">
        <v>3481</v>
      </c>
      <c r="D610" s="104"/>
      <c r="E610" s="104"/>
      <c r="F610" s="105">
        <f t="shared" si="19"/>
        <v>0</v>
      </c>
      <c r="G610" s="106">
        <f t="shared" si="18"/>
        <v>0</v>
      </c>
      <c r="H610" s="81">
        <v>0.4214</v>
      </c>
      <c r="I610" s="2619" t="s">
        <v>1146</v>
      </c>
    </row>
    <row r="611" spans="1:9" ht="16.5">
      <c r="A611" s="7" t="s">
        <v>1996</v>
      </c>
      <c r="B611" s="8" t="s">
        <v>6970</v>
      </c>
      <c r="C611" s="9" t="s">
        <v>3481</v>
      </c>
      <c r="D611" s="104"/>
      <c r="E611" s="104"/>
      <c r="F611" s="105">
        <f t="shared" si="19"/>
        <v>0</v>
      </c>
      <c r="G611" s="106">
        <f t="shared" si="18"/>
        <v>0</v>
      </c>
      <c r="H611" s="81">
        <v>0.6452</v>
      </c>
      <c r="I611" s="2619" t="s">
        <v>1146</v>
      </c>
    </row>
    <row r="612" spans="1:9" ht="16.5">
      <c r="A612" s="7" t="s">
        <v>1997</v>
      </c>
      <c r="B612" s="8" t="s">
        <v>6971</v>
      </c>
      <c r="C612" s="9" t="s">
        <v>3481</v>
      </c>
      <c r="D612" s="104"/>
      <c r="E612" s="104"/>
      <c r="F612" s="105">
        <f t="shared" si="19"/>
        <v>0</v>
      </c>
      <c r="G612" s="106">
        <f t="shared" si="18"/>
        <v>0</v>
      </c>
      <c r="H612" s="81">
        <v>0.80989999999999995</v>
      </c>
      <c r="I612" s="2619" t="s">
        <v>1146</v>
      </c>
    </row>
    <row r="613" spans="1:9" ht="16.5">
      <c r="A613" s="7" t="s">
        <v>1998</v>
      </c>
      <c r="B613" s="8" t="s">
        <v>6972</v>
      </c>
      <c r="C613" s="9" t="s">
        <v>3481</v>
      </c>
      <c r="D613" s="104"/>
      <c r="E613" s="104"/>
      <c r="F613" s="105">
        <f t="shared" si="19"/>
        <v>0</v>
      </c>
      <c r="G613" s="106">
        <f t="shared" si="18"/>
        <v>0</v>
      </c>
      <c r="H613" s="81">
        <v>0.81420000000000003</v>
      </c>
      <c r="I613" s="2619" t="s">
        <v>1146</v>
      </c>
    </row>
    <row r="614" spans="1:9" ht="16.5">
      <c r="A614" s="7" t="s">
        <v>1999</v>
      </c>
      <c r="B614" s="8" t="s">
        <v>6973</v>
      </c>
      <c r="C614" s="9" t="s">
        <v>3481</v>
      </c>
      <c r="D614" s="104"/>
      <c r="E614" s="104"/>
      <c r="F614" s="105">
        <f t="shared" si="19"/>
        <v>0</v>
      </c>
      <c r="G614" s="106">
        <f t="shared" si="18"/>
        <v>0</v>
      </c>
      <c r="H614" s="81">
        <v>0.4975</v>
      </c>
      <c r="I614" s="2619" t="s">
        <v>1146</v>
      </c>
    </row>
    <row r="615" spans="1:9" ht="16.5">
      <c r="A615" s="7" t="s">
        <v>2000</v>
      </c>
      <c r="B615" s="8" t="s">
        <v>6974</v>
      </c>
      <c r="C615" s="9" t="s">
        <v>3481</v>
      </c>
      <c r="D615" s="104"/>
      <c r="E615" s="104"/>
      <c r="F615" s="105">
        <f t="shared" si="19"/>
        <v>0</v>
      </c>
      <c r="G615" s="106">
        <f t="shared" si="18"/>
        <v>0</v>
      </c>
      <c r="H615" s="81">
        <v>0.72499999999999998</v>
      </c>
      <c r="I615" s="2619" t="s">
        <v>1146</v>
      </c>
    </row>
    <row r="616" spans="1:9" ht="16.5">
      <c r="A616" s="7" t="s">
        <v>2001</v>
      </c>
      <c r="B616" s="8" t="s">
        <v>6975</v>
      </c>
      <c r="C616" s="9" t="s">
        <v>3481</v>
      </c>
      <c r="D616" s="104"/>
      <c r="E616" s="104"/>
      <c r="F616" s="105">
        <f t="shared" si="19"/>
        <v>0</v>
      </c>
      <c r="G616" s="106">
        <f t="shared" si="18"/>
        <v>0</v>
      </c>
      <c r="H616" s="81">
        <v>0.40200000000000002</v>
      </c>
      <c r="I616" s="2619" t="s">
        <v>1146</v>
      </c>
    </row>
    <row r="617" spans="1:9" ht="16.5">
      <c r="A617" s="7" t="s">
        <v>2682</v>
      </c>
      <c r="B617" s="8" t="s">
        <v>6976</v>
      </c>
      <c r="C617" s="9" t="s">
        <v>3481</v>
      </c>
      <c r="D617" s="104"/>
      <c r="E617" s="104"/>
      <c r="F617" s="105">
        <f t="shared" si="19"/>
        <v>0</v>
      </c>
      <c r="G617" s="106">
        <f t="shared" si="18"/>
        <v>0</v>
      </c>
      <c r="H617" s="81">
        <v>0.79630000000000001</v>
      </c>
      <c r="I617" s="2619" t="s">
        <v>1146</v>
      </c>
    </row>
    <row r="618" spans="1:9" ht="16.5">
      <c r="A618" s="7" t="s">
        <v>2002</v>
      </c>
      <c r="B618" s="8" t="s">
        <v>6977</v>
      </c>
      <c r="C618" s="9" t="s">
        <v>3481</v>
      </c>
      <c r="D618" s="104"/>
      <c r="E618" s="104"/>
      <c r="F618" s="105">
        <f t="shared" si="19"/>
        <v>0</v>
      </c>
      <c r="G618" s="106">
        <f t="shared" si="18"/>
        <v>0</v>
      </c>
      <c r="H618" s="81">
        <v>1.1178999999999999</v>
      </c>
      <c r="I618" s="2619" t="s">
        <v>1146</v>
      </c>
    </row>
    <row r="619" spans="1:9" ht="16.5">
      <c r="A619" s="7" t="s">
        <v>2003</v>
      </c>
      <c r="B619" s="8" t="s">
        <v>6978</v>
      </c>
      <c r="C619" s="9" t="s">
        <v>3481</v>
      </c>
      <c r="D619" s="104"/>
      <c r="E619" s="104"/>
      <c r="F619" s="105">
        <f t="shared" si="19"/>
        <v>0</v>
      </c>
      <c r="G619" s="106">
        <f t="shared" si="18"/>
        <v>0</v>
      </c>
      <c r="H619" s="81">
        <v>5.6399999999999999E-2</v>
      </c>
      <c r="I619" s="2619" t="s">
        <v>1146</v>
      </c>
    </row>
    <row r="620" spans="1:9" ht="16.5">
      <c r="A620" s="7" t="s">
        <v>2587</v>
      </c>
      <c r="B620" s="8" t="s">
        <v>6979</v>
      </c>
      <c r="C620" s="9" t="s">
        <v>3481</v>
      </c>
      <c r="D620" s="104"/>
      <c r="E620" s="104"/>
      <c r="F620" s="105">
        <f t="shared" si="19"/>
        <v>0</v>
      </c>
      <c r="G620" s="106">
        <f t="shared" si="18"/>
        <v>0</v>
      </c>
      <c r="H620" s="81">
        <v>1.1495</v>
      </c>
      <c r="I620" s="2619" t="s">
        <v>1146</v>
      </c>
    </row>
    <row r="621" spans="1:9" ht="16.5">
      <c r="A621" s="7" t="s">
        <v>2004</v>
      </c>
      <c r="B621" s="8" t="s">
        <v>6980</v>
      </c>
      <c r="C621" s="9" t="s">
        <v>3481</v>
      </c>
      <c r="D621" s="104"/>
      <c r="E621" s="104"/>
      <c r="F621" s="105">
        <f t="shared" si="19"/>
        <v>0</v>
      </c>
      <c r="G621" s="106">
        <f t="shared" si="18"/>
        <v>0</v>
      </c>
      <c r="H621" s="81">
        <v>0.44679999999999997</v>
      </c>
      <c r="I621" s="2619" t="s">
        <v>1146</v>
      </c>
    </row>
    <row r="622" spans="1:9" ht="16.5">
      <c r="A622" s="7" t="s">
        <v>2005</v>
      </c>
      <c r="B622" s="8" t="s">
        <v>6981</v>
      </c>
      <c r="C622" s="9" t="s">
        <v>3481</v>
      </c>
      <c r="D622" s="104"/>
      <c r="E622" s="104"/>
      <c r="F622" s="105">
        <f t="shared" si="19"/>
        <v>0</v>
      </c>
      <c r="G622" s="106">
        <f t="shared" si="18"/>
        <v>0</v>
      </c>
      <c r="H622" s="81">
        <v>0.13919999999999999</v>
      </c>
      <c r="I622" s="2619" t="s">
        <v>1146</v>
      </c>
    </row>
    <row r="623" spans="1:9" ht="16.5">
      <c r="A623" s="7" t="s">
        <v>2006</v>
      </c>
      <c r="B623" s="8" t="s">
        <v>6982</v>
      </c>
      <c r="C623" s="9" t="s">
        <v>3481</v>
      </c>
      <c r="D623" s="104"/>
      <c r="E623" s="104"/>
      <c r="F623" s="105">
        <f t="shared" si="19"/>
        <v>0</v>
      </c>
      <c r="G623" s="106">
        <f t="shared" si="18"/>
        <v>0</v>
      </c>
      <c r="H623" s="81">
        <v>0.58020000000000005</v>
      </c>
      <c r="I623" s="2619" t="s">
        <v>1146</v>
      </c>
    </row>
    <row r="624" spans="1:9" ht="16.5">
      <c r="A624" s="7" t="s">
        <v>2007</v>
      </c>
      <c r="B624" s="8" t="s">
        <v>6983</v>
      </c>
      <c r="C624" s="9" t="s">
        <v>3481</v>
      </c>
      <c r="D624" s="104"/>
      <c r="E624" s="104"/>
      <c r="F624" s="105">
        <f t="shared" si="19"/>
        <v>0</v>
      </c>
      <c r="G624" s="106">
        <f t="shared" si="18"/>
        <v>0</v>
      </c>
      <c r="H624" s="81">
        <v>0.92579999999999996</v>
      </c>
      <c r="I624" s="2619" t="s">
        <v>1146</v>
      </c>
    </row>
    <row r="625" spans="1:9" ht="16.5">
      <c r="A625" s="7" t="s">
        <v>2008</v>
      </c>
      <c r="B625" s="8" t="s">
        <v>6984</v>
      </c>
      <c r="C625" s="9" t="s">
        <v>3481</v>
      </c>
      <c r="D625" s="104"/>
      <c r="E625" s="104"/>
      <c r="F625" s="105">
        <f t="shared" si="19"/>
        <v>0</v>
      </c>
      <c r="G625" s="106">
        <f t="shared" si="18"/>
        <v>0</v>
      </c>
      <c r="H625" s="81">
        <v>0.43959999999999999</v>
      </c>
      <c r="I625" s="2619" t="s">
        <v>1146</v>
      </c>
    </row>
    <row r="626" spans="1:9" ht="16.5">
      <c r="A626" s="7" t="s">
        <v>2009</v>
      </c>
      <c r="B626" s="8" t="s">
        <v>6985</v>
      </c>
      <c r="C626" s="9" t="s">
        <v>3481</v>
      </c>
      <c r="D626" s="104"/>
      <c r="E626" s="104"/>
      <c r="F626" s="105">
        <f t="shared" si="19"/>
        <v>0</v>
      </c>
      <c r="G626" s="106">
        <f t="shared" si="18"/>
        <v>0</v>
      </c>
      <c r="H626" s="81">
        <v>0.1424</v>
      </c>
      <c r="I626" s="2619" t="s">
        <v>1146</v>
      </c>
    </row>
    <row r="627" spans="1:9" ht="16.5">
      <c r="A627" s="7" t="s">
        <v>2010</v>
      </c>
      <c r="B627" s="8" t="s">
        <v>6986</v>
      </c>
      <c r="C627" s="9" t="s">
        <v>3481</v>
      </c>
      <c r="D627" s="104"/>
      <c r="E627" s="104"/>
      <c r="F627" s="105">
        <f t="shared" si="19"/>
        <v>0</v>
      </c>
      <c r="G627" s="106">
        <f t="shared" si="18"/>
        <v>0</v>
      </c>
      <c r="H627" s="81">
        <v>1.6967000000000001</v>
      </c>
      <c r="I627" s="2619" t="s">
        <v>1146</v>
      </c>
    </row>
    <row r="628" spans="1:9" ht="16.5">
      <c r="A628" s="7" t="s">
        <v>2011</v>
      </c>
      <c r="B628" s="8" t="s">
        <v>6987</v>
      </c>
      <c r="C628" s="9" t="s">
        <v>3481</v>
      </c>
      <c r="D628" s="104"/>
      <c r="E628" s="104"/>
      <c r="F628" s="105">
        <f t="shared" si="19"/>
        <v>0</v>
      </c>
      <c r="G628" s="106">
        <f t="shared" si="18"/>
        <v>0</v>
      </c>
      <c r="H628" s="81">
        <v>0.97160000000000002</v>
      </c>
      <c r="I628" s="2619" t="s">
        <v>1146</v>
      </c>
    </row>
    <row r="629" spans="1:9" ht="16.5">
      <c r="A629" s="7" t="s">
        <v>2012</v>
      </c>
      <c r="B629" s="8" t="s">
        <v>6988</v>
      </c>
      <c r="C629" s="9" t="s">
        <v>3481</v>
      </c>
      <c r="D629" s="104"/>
      <c r="E629" s="104"/>
      <c r="F629" s="105">
        <f t="shared" si="19"/>
        <v>0</v>
      </c>
      <c r="G629" s="106">
        <f t="shared" si="18"/>
        <v>0</v>
      </c>
      <c r="H629" s="81">
        <v>0.2772</v>
      </c>
      <c r="I629" s="2619" t="s">
        <v>1146</v>
      </c>
    </row>
    <row r="630" spans="1:9" ht="16.5">
      <c r="A630" s="7" t="s">
        <v>2013</v>
      </c>
      <c r="B630" s="8" t="s">
        <v>6989</v>
      </c>
      <c r="C630" s="9" t="s">
        <v>3481</v>
      </c>
      <c r="D630" s="104"/>
      <c r="E630" s="104"/>
      <c r="F630" s="105">
        <f t="shared" si="19"/>
        <v>0</v>
      </c>
      <c r="G630" s="106">
        <f t="shared" si="18"/>
        <v>0</v>
      </c>
      <c r="H630" s="81">
        <v>0.45279999999999998</v>
      </c>
      <c r="I630" s="2619" t="s">
        <v>1146</v>
      </c>
    </row>
    <row r="631" spans="1:9" ht="16.5">
      <c r="A631" s="7" t="s">
        <v>2014</v>
      </c>
      <c r="B631" s="8" t="s">
        <v>6990</v>
      </c>
      <c r="C631" s="9" t="s">
        <v>3481</v>
      </c>
      <c r="D631" s="104"/>
      <c r="E631" s="104"/>
      <c r="F631" s="105">
        <f t="shared" si="19"/>
        <v>0</v>
      </c>
      <c r="G631" s="106">
        <f t="shared" si="18"/>
        <v>0</v>
      </c>
      <c r="H631" s="81">
        <v>0.94020000000000004</v>
      </c>
      <c r="I631" s="2619" t="s">
        <v>1146</v>
      </c>
    </row>
    <row r="632" spans="1:9" ht="16.5">
      <c r="A632" s="7" t="s">
        <v>2015</v>
      </c>
      <c r="B632" s="8" t="s">
        <v>6991</v>
      </c>
      <c r="C632" s="9" t="s">
        <v>3481</v>
      </c>
      <c r="D632" s="104"/>
      <c r="E632" s="104"/>
      <c r="F632" s="105">
        <f t="shared" si="19"/>
        <v>0</v>
      </c>
      <c r="G632" s="106">
        <f t="shared" si="18"/>
        <v>0</v>
      </c>
      <c r="H632" s="81">
        <v>0.66169999999999995</v>
      </c>
      <c r="I632" s="2619" t="s">
        <v>1146</v>
      </c>
    </row>
    <row r="633" spans="1:9" ht="16.5">
      <c r="A633" s="7" t="s">
        <v>2016</v>
      </c>
      <c r="B633" s="8" t="s">
        <v>6992</v>
      </c>
      <c r="C633" s="9" t="s">
        <v>3481</v>
      </c>
      <c r="D633" s="104"/>
      <c r="E633" s="104"/>
      <c r="F633" s="105">
        <f t="shared" si="19"/>
        <v>0</v>
      </c>
      <c r="G633" s="106">
        <f t="shared" si="18"/>
        <v>0</v>
      </c>
      <c r="H633" s="81">
        <v>0.29470000000000002</v>
      </c>
      <c r="I633" s="2619" t="s">
        <v>1146</v>
      </c>
    </row>
    <row r="634" spans="1:9" ht="16.5">
      <c r="A634" s="7" t="s">
        <v>2017</v>
      </c>
      <c r="B634" s="8" t="s">
        <v>6993</v>
      </c>
      <c r="C634" s="9" t="s">
        <v>3481</v>
      </c>
      <c r="D634" s="104"/>
      <c r="E634" s="104"/>
      <c r="F634" s="105">
        <f t="shared" si="19"/>
        <v>0</v>
      </c>
      <c r="G634" s="106">
        <f t="shared" si="18"/>
        <v>0</v>
      </c>
      <c r="H634" s="81">
        <v>0.40539999999999998</v>
      </c>
      <c r="I634" s="2619" t="s">
        <v>1146</v>
      </c>
    </row>
    <row r="635" spans="1:9" ht="16.5">
      <c r="A635" s="7" t="s">
        <v>2018</v>
      </c>
      <c r="B635" s="8" t="s">
        <v>6994</v>
      </c>
      <c r="C635" s="9" t="s">
        <v>3481</v>
      </c>
      <c r="D635" s="104"/>
      <c r="E635" s="104"/>
      <c r="F635" s="105">
        <f t="shared" si="19"/>
        <v>0</v>
      </c>
      <c r="G635" s="106">
        <f t="shared" si="18"/>
        <v>0</v>
      </c>
      <c r="H635" s="81">
        <v>0.17269999999999999</v>
      </c>
      <c r="I635" s="2619" t="s">
        <v>1146</v>
      </c>
    </row>
    <row r="636" spans="1:9" ht="16.5">
      <c r="A636" s="7" t="s">
        <v>2019</v>
      </c>
      <c r="B636" s="8" t="s">
        <v>6995</v>
      </c>
      <c r="C636" s="9" t="s">
        <v>3481</v>
      </c>
      <c r="D636" s="104"/>
      <c r="E636" s="104"/>
      <c r="F636" s="105">
        <f t="shared" si="19"/>
        <v>0</v>
      </c>
      <c r="G636" s="106">
        <f t="shared" si="18"/>
        <v>0</v>
      </c>
      <c r="H636" s="81">
        <v>1.2719</v>
      </c>
      <c r="I636" s="2619" t="s">
        <v>1146</v>
      </c>
    </row>
    <row r="637" spans="1:9" ht="16.5">
      <c r="A637" s="7" t="s">
        <v>2020</v>
      </c>
      <c r="B637" s="8" t="s">
        <v>6996</v>
      </c>
      <c r="C637" s="9" t="s">
        <v>3481</v>
      </c>
      <c r="D637" s="104"/>
      <c r="E637" s="104"/>
      <c r="F637" s="105">
        <f t="shared" si="19"/>
        <v>0</v>
      </c>
      <c r="G637" s="106">
        <f t="shared" si="18"/>
        <v>0</v>
      </c>
      <c r="H637" s="81">
        <v>0.98860000000000003</v>
      </c>
      <c r="I637" s="2619" t="s">
        <v>1146</v>
      </c>
    </row>
    <row r="638" spans="1:9" ht="16.5">
      <c r="A638" s="7" t="s">
        <v>2021</v>
      </c>
      <c r="B638" s="8" t="s">
        <v>6997</v>
      </c>
      <c r="C638" s="9" t="s">
        <v>3481</v>
      </c>
      <c r="D638" s="104"/>
      <c r="E638" s="104"/>
      <c r="F638" s="105">
        <f t="shared" si="19"/>
        <v>0</v>
      </c>
      <c r="G638" s="106">
        <f t="shared" si="18"/>
        <v>0</v>
      </c>
      <c r="H638" s="81">
        <v>1.0657000000000001</v>
      </c>
      <c r="I638" s="2619" t="s">
        <v>1146</v>
      </c>
    </row>
    <row r="639" spans="1:9" ht="16.5">
      <c r="A639" s="7" t="s">
        <v>2022</v>
      </c>
      <c r="B639" s="8" t="s">
        <v>6998</v>
      </c>
      <c r="C639" s="9" t="s">
        <v>3481</v>
      </c>
      <c r="D639" s="104"/>
      <c r="E639" s="104"/>
      <c r="F639" s="105">
        <f t="shared" si="19"/>
        <v>0</v>
      </c>
      <c r="G639" s="106">
        <f t="shared" si="18"/>
        <v>0</v>
      </c>
      <c r="H639" s="81">
        <v>0.48570000000000002</v>
      </c>
      <c r="I639" s="2619" t="s">
        <v>1146</v>
      </c>
    </row>
    <row r="640" spans="1:9" ht="16.5">
      <c r="A640" s="7" t="s">
        <v>2023</v>
      </c>
      <c r="B640" s="8" t="s">
        <v>6999</v>
      </c>
      <c r="C640" s="9" t="s">
        <v>3481</v>
      </c>
      <c r="D640" s="104"/>
      <c r="E640" s="104"/>
      <c r="F640" s="105">
        <f t="shared" si="19"/>
        <v>0</v>
      </c>
      <c r="G640" s="106">
        <f t="shared" si="18"/>
        <v>0</v>
      </c>
      <c r="H640" s="81">
        <v>0.89849999999999997</v>
      </c>
      <c r="I640" s="2619" t="s">
        <v>1146</v>
      </c>
    </row>
    <row r="641" spans="1:9" ht="16.5">
      <c r="A641" s="7" t="s">
        <v>2024</v>
      </c>
      <c r="B641" s="8" t="s">
        <v>7000</v>
      </c>
      <c r="C641" s="9" t="s">
        <v>3481</v>
      </c>
      <c r="D641" s="104"/>
      <c r="E641" s="104"/>
      <c r="F641" s="105">
        <f t="shared" si="19"/>
        <v>0</v>
      </c>
      <c r="G641" s="106">
        <f t="shared" si="18"/>
        <v>0</v>
      </c>
      <c r="H641" s="81">
        <v>0.78080000000000005</v>
      </c>
      <c r="I641" s="2619" t="s">
        <v>1146</v>
      </c>
    </row>
    <row r="642" spans="1:9" ht="16.5">
      <c r="A642" s="7" t="s">
        <v>2025</v>
      </c>
      <c r="B642" s="8" t="s">
        <v>7001</v>
      </c>
      <c r="C642" s="9" t="s">
        <v>3481</v>
      </c>
      <c r="D642" s="104"/>
      <c r="E642" s="104"/>
      <c r="F642" s="105">
        <f t="shared" si="19"/>
        <v>0</v>
      </c>
      <c r="G642" s="106">
        <f t="shared" si="18"/>
        <v>0</v>
      </c>
      <c r="H642" s="81">
        <v>0.69710000000000005</v>
      </c>
      <c r="I642" s="2619" t="s">
        <v>1146</v>
      </c>
    </row>
    <row r="643" spans="1:9" ht="16.5">
      <c r="A643" s="7" t="s">
        <v>2026</v>
      </c>
      <c r="B643" s="8" t="s">
        <v>7002</v>
      </c>
      <c r="C643" s="9" t="s">
        <v>3481</v>
      </c>
      <c r="D643" s="104"/>
      <c r="E643" s="104"/>
      <c r="F643" s="105">
        <f t="shared" si="19"/>
        <v>0</v>
      </c>
      <c r="G643" s="106">
        <f t="shared" si="18"/>
        <v>0</v>
      </c>
      <c r="H643" s="81">
        <v>0.44400000000000001</v>
      </c>
      <c r="I643" s="2619" t="s">
        <v>1146</v>
      </c>
    </row>
    <row r="644" spans="1:9" ht="16.5">
      <c r="A644" s="7" t="s">
        <v>2027</v>
      </c>
      <c r="B644" s="8" t="s">
        <v>7003</v>
      </c>
      <c r="C644" s="9" t="s">
        <v>3481</v>
      </c>
      <c r="D644" s="104"/>
      <c r="E644" s="104"/>
      <c r="F644" s="105">
        <f t="shared" si="19"/>
        <v>0</v>
      </c>
      <c r="G644" s="106">
        <f t="shared" ref="G644:G707" si="20">IF($F$1265=0,0,F644/$F$1265)</f>
        <v>0</v>
      </c>
      <c r="H644" s="81">
        <v>0.4975</v>
      </c>
      <c r="I644" s="2619" t="s">
        <v>1146</v>
      </c>
    </row>
    <row r="645" spans="1:9" ht="16.5">
      <c r="A645" s="7" t="s">
        <v>2028</v>
      </c>
      <c r="B645" s="8" t="s">
        <v>7004</v>
      </c>
      <c r="C645" s="9" t="s">
        <v>3481</v>
      </c>
      <c r="D645" s="104"/>
      <c r="E645" s="104"/>
      <c r="F645" s="105">
        <f t="shared" ref="F645:F708" si="21">D645*E645</f>
        <v>0</v>
      </c>
      <c r="G645" s="106">
        <f t="shared" si="20"/>
        <v>0</v>
      </c>
      <c r="H645" s="81">
        <v>0.62570000000000003</v>
      </c>
      <c r="I645" s="2619" t="s">
        <v>1146</v>
      </c>
    </row>
    <row r="646" spans="1:9" ht="16.5">
      <c r="A646" s="7" t="s">
        <v>2029</v>
      </c>
      <c r="B646" s="8" t="s">
        <v>7005</v>
      </c>
      <c r="C646" s="9" t="s">
        <v>3481</v>
      </c>
      <c r="D646" s="104"/>
      <c r="E646" s="104"/>
      <c r="F646" s="105">
        <f t="shared" si="21"/>
        <v>0</v>
      </c>
      <c r="G646" s="106">
        <f t="shared" si="20"/>
        <v>0</v>
      </c>
      <c r="H646" s="81">
        <v>0.54069999999999996</v>
      </c>
      <c r="I646" s="2619" t="s">
        <v>1146</v>
      </c>
    </row>
    <row r="647" spans="1:9" ht="16.5">
      <c r="A647" s="7" t="s">
        <v>2030</v>
      </c>
      <c r="B647" s="8" t="s">
        <v>7006</v>
      </c>
      <c r="C647" s="9" t="s">
        <v>3481</v>
      </c>
      <c r="D647" s="104"/>
      <c r="E647" s="104"/>
      <c r="F647" s="105">
        <f t="shared" si="21"/>
        <v>0</v>
      </c>
      <c r="G647" s="106">
        <f t="shared" si="20"/>
        <v>0</v>
      </c>
      <c r="H647" s="81">
        <v>2.2614999999999998</v>
      </c>
      <c r="I647" s="2619" t="s">
        <v>1146</v>
      </c>
    </row>
    <row r="648" spans="1:9" ht="16.5">
      <c r="A648" s="7" t="s">
        <v>5000</v>
      </c>
      <c r="B648" s="8" t="s">
        <v>7007</v>
      </c>
      <c r="C648" s="9" t="s">
        <v>3481</v>
      </c>
      <c r="D648" s="104"/>
      <c r="E648" s="104"/>
      <c r="F648" s="105">
        <f t="shared" si="21"/>
        <v>0</v>
      </c>
      <c r="G648" s="106">
        <f t="shared" si="20"/>
        <v>0</v>
      </c>
      <c r="H648" s="81">
        <v>1.0172000000000001</v>
      </c>
      <c r="I648" s="2619" t="s">
        <v>1146</v>
      </c>
    </row>
    <row r="649" spans="1:9" ht="16.5">
      <c r="A649" s="7" t="s">
        <v>2031</v>
      </c>
      <c r="B649" s="8" t="s">
        <v>7008</v>
      </c>
      <c r="C649" s="9" t="s">
        <v>3481</v>
      </c>
      <c r="D649" s="104"/>
      <c r="E649" s="104"/>
      <c r="F649" s="105">
        <f t="shared" si="21"/>
        <v>0</v>
      </c>
      <c r="G649" s="106">
        <f t="shared" si="20"/>
        <v>0</v>
      </c>
      <c r="H649" s="81">
        <v>0.78639999999999999</v>
      </c>
      <c r="I649" s="2619" t="s">
        <v>1146</v>
      </c>
    </row>
    <row r="650" spans="1:9" ht="16.5">
      <c r="A650" s="7" t="s">
        <v>2032</v>
      </c>
      <c r="B650" s="8" t="s">
        <v>7009</v>
      </c>
      <c r="C650" s="9" t="s">
        <v>3481</v>
      </c>
      <c r="D650" s="104"/>
      <c r="E650" s="104"/>
      <c r="F650" s="105">
        <f t="shared" si="21"/>
        <v>0</v>
      </c>
      <c r="G650" s="106">
        <f t="shared" si="20"/>
        <v>0</v>
      </c>
      <c r="H650" s="81">
        <v>1.4306000000000001</v>
      </c>
      <c r="I650" s="2619" t="s">
        <v>1146</v>
      </c>
    </row>
    <row r="651" spans="1:9" ht="16.5">
      <c r="A651" s="7" t="s">
        <v>2033</v>
      </c>
      <c r="B651" s="8" t="s">
        <v>7010</v>
      </c>
      <c r="C651" s="9" t="s">
        <v>3481</v>
      </c>
      <c r="D651" s="104"/>
      <c r="E651" s="104"/>
      <c r="F651" s="105">
        <f t="shared" si="21"/>
        <v>0</v>
      </c>
      <c r="G651" s="106">
        <f t="shared" si="20"/>
        <v>0</v>
      </c>
      <c r="H651" s="81">
        <v>0.87729999999999997</v>
      </c>
      <c r="I651" s="2619" t="s">
        <v>1146</v>
      </c>
    </row>
    <row r="652" spans="1:9" ht="16.5">
      <c r="A652" s="7" t="s">
        <v>2034</v>
      </c>
      <c r="B652" s="8" t="s">
        <v>7011</v>
      </c>
      <c r="C652" s="9" t="s">
        <v>3481</v>
      </c>
      <c r="D652" s="104"/>
      <c r="E652" s="104"/>
      <c r="F652" s="105">
        <f t="shared" si="21"/>
        <v>0</v>
      </c>
      <c r="G652" s="106">
        <f t="shared" si="20"/>
        <v>0</v>
      </c>
      <c r="H652" s="81">
        <v>3.4799999999999998E-2</v>
      </c>
      <c r="I652" s="2619" t="s">
        <v>1146</v>
      </c>
    </row>
    <row r="653" spans="1:9" ht="16.5">
      <c r="A653" s="7" t="s">
        <v>2035</v>
      </c>
      <c r="B653" s="8" t="s">
        <v>7012</v>
      </c>
      <c r="C653" s="9" t="s">
        <v>3481</v>
      </c>
      <c r="D653" s="104"/>
      <c r="E653" s="104"/>
      <c r="F653" s="105">
        <f t="shared" si="21"/>
        <v>0</v>
      </c>
      <c r="G653" s="106">
        <f t="shared" si="20"/>
        <v>0</v>
      </c>
      <c r="H653" s="81">
        <v>0.24099999999999999</v>
      </c>
      <c r="I653" s="2619" t="s">
        <v>1146</v>
      </c>
    </row>
    <row r="654" spans="1:9" ht="16.5">
      <c r="A654" s="7" t="s">
        <v>2036</v>
      </c>
      <c r="B654" s="8" t="s">
        <v>7013</v>
      </c>
      <c r="C654" s="9" t="s">
        <v>3481</v>
      </c>
      <c r="D654" s="104"/>
      <c r="E654" s="104"/>
      <c r="F654" s="105">
        <f t="shared" si="21"/>
        <v>0</v>
      </c>
      <c r="G654" s="106">
        <f t="shared" si="20"/>
        <v>0</v>
      </c>
      <c r="H654" s="81">
        <v>0.8871</v>
      </c>
      <c r="I654" s="2619" t="s">
        <v>1146</v>
      </c>
    </row>
    <row r="655" spans="1:9" ht="16.5">
      <c r="A655" s="7" t="s">
        <v>2037</v>
      </c>
      <c r="B655" s="8" t="s">
        <v>7014</v>
      </c>
      <c r="C655" s="9" t="s">
        <v>3481</v>
      </c>
      <c r="D655" s="104"/>
      <c r="E655" s="104"/>
      <c r="F655" s="105">
        <f t="shared" si="21"/>
        <v>0</v>
      </c>
      <c r="G655" s="106">
        <f t="shared" si="20"/>
        <v>0</v>
      </c>
      <c r="H655" s="81">
        <v>1.6268</v>
      </c>
      <c r="I655" s="2619" t="s">
        <v>1146</v>
      </c>
    </row>
    <row r="656" spans="1:9" ht="16.5">
      <c r="A656" s="7" t="s">
        <v>2038</v>
      </c>
      <c r="B656" s="8" t="s">
        <v>7015</v>
      </c>
      <c r="C656" s="9" t="s">
        <v>3481</v>
      </c>
      <c r="D656" s="104"/>
      <c r="E656" s="104"/>
      <c r="F656" s="105">
        <f t="shared" si="21"/>
        <v>0</v>
      </c>
      <c r="G656" s="106">
        <f t="shared" si="20"/>
        <v>0</v>
      </c>
      <c r="H656" s="81">
        <v>1.1851</v>
      </c>
      <c r="I656" s="2619" t="s">
        <v>1146</v>
      </c>
    </row>
    <row r="657" spans="1:9" ht="16.5">
      <c r="A657" s="7" t="s">
        <v>2039</v>
      </c>
      <c r="B657" s="8" t="s">
        <v>7016</v>
      </c>
      <c r="C657" s="9" t="s">
        <v>3481</v>
      </c>
      <c r="D657" s="104"/>
      <c r="E657" s="104"/>
      <c r="F657" s="105">
        <f t="shared" si="21"/>
        <v>0</v>
      </c>
      <c r="G657" s="106">
        <f t="shared" si="20"/>
        <v>0</v>
      </c>
      <c r="H657" s="81">
        <v>0.29599999999999999</v>
      </c>
      <c r="I657" s="2619" t="s">
        <v>1146</v>
      </c>
    </row>
    <row r="658" spans="1:9" ht="16.5">
      <c r="A658" s="7" t="s">
        <v>2040</v>
      </c>
      <c r="B658" s="8" t="s">
        <v>7017</v>
      </c>
      <c r="C658" s="9" t="s">
        <v>3481</v>
      </c>
      <c r="D658" s="104"/>
      <c r="E658" s="104"/>
      <c r="F658" s="105">
        <f t="shared" si="21"/>
        <v>0</v>
      </c>
      <c r="G658" s="106">
        <f t="shared" si="20"/>
        <v>0</v>
      </c>
      <c r="H658" s="81">
        <v>0.83379999999999999</v>
      </c>
      <c r="I658" s="2619" t="s">
        <v>1146</v>
      </c>
    </row>
    <row r="659" spans="1:9" ht="16.5">
      <c r="A659" s="7" t="s">
        <v>2041</v>
      </c>
      <c r="B659" s="8" t="s">
        <v>7018</v>
      </c>
      <c r="C659" s="9" t="s">
        <v>3481</v>
      </c>
      <c r="D659" s="104"/>
      <c r="E659" s="104"/>
      <c r="F659" s="105">
        <f t="shared" si="21"/>
        <v>0</v>
      </c>
      <c r="G659" s="106">
        <f t="shared" si="20"/>
        <v>0</v>
      </c>
      <c r="H659" s="81">
        <v>0.9385</v>
      </c>
      <c r="I659" s="2619" t="s">
        <v>1146</v>
      </c>
    </row>
    <row r="660" spans="1:9" ht="16.5">
      <c r="A660" s="7" t="s">
        <v>2042</v>
      </c>
      <c r="B660" s="8" t="s">
        <v>7019</v>
      </c>
      <c r="C660" s="9" t="s">
        <v>3481</v>
      </c>
      <c r="D660" s="104"/>
      <c r="E660" s="104"/>
      <c r="F660" s="105">
        <f t="shared" si="21"/>
        <v>0</v>
      </c>
      <c r="G660" s="106">
        <f t="shared" si="20"/>
        <v>0</v>
      </c>
      <c r="H660" s="81">
        <v>0.88770000000000004</v>
      </c>
      <c r="I660" s="2619" t="s">
        <v>1146</v>
      </c>
    </row>
    <row r="661" spans="1:9" ht="16.5">
      <c r="A661" s="7" t="s">
        <v>2043</v>
      </c>
      <c r="B661" s="8" t="s">
        <v>7020</v>
      </c>
      <c r="C661" s="9" t="s">
        <v>3481</v>
      </c>
      <c r="D661" s="104"/>
      <c r="E661" s="104"/>
      <c r="F661" s="105">
        <f t="shared" si="21"/>
        <v>0</v>
      </c>
      <c r="G661" s="106">
        <f t="shared" si="20"/>
        <v>0</v>
      </c>
      <c r="H661" s="81">
        <v>0.70230000000000004</v>
      </c>
      <c r="I661" s="2619" t="s">
        <v>1146</v>
      </c>
    </row>
    <row r="662" spans="1:9" ht="16.5">
      <c r="A662" s="7" t="s">
        <v>2588</v>
      </c>
      <c r="B662" s="8" t="s">
        <v>7021</v>
      </c>
      <c r="C662" s="9" t="s">
        <v>3481</v>
      </c>
      <c r="D662" s="104"/>
      <c r="E662" s="104"/>
      <c r="F662" s="105">
        <f t="shared" si="21"/>
        <v>0</v>
      </c>
      <c r="G662" s="106">
        <f t="shared" si="20"/>
        <v>0</v>
      </c>
      <c r="H662" s="81">
        <v>0.25290000000000001</v>
      </c>
      <c r="I662" s="2619" t="s">
        <v>1146</v>
      </c>
    </row>
    <row r="663" spans="1:9" ht="16.5">
      <c r="A663" s="7" t="s">
        <v>2044</v>
      </c>
      <c r="B663" s="8" t="s">
        <v>7022</v>
      </c>
      <c r="C663" s="9" t="s">
        <v>3481</v>
      </c>
      <c r="D663" s="104"/>
      <c r="E663" s="104"/>
      <c r="F663" s="105">
        <f t="shared" si="21"/>
        <v>0</v>
      </c>
      <c r="G663" s="106">
        <f t="shared" si="20"/>
        <v>0</v>
      </c>
      <c r="H663" s="81">
        <v>0.97460000000000002</v>
      </c>
      <c r="I663" s="2619" t="s">
        <v>1146</v>
      </c>
    </row>
    <row r="664" spans="1:9" ht="16.5">
      <c r="A664" s="7" t="s">
        <v>2045</v>
      </c>
      <c r="B664" s="8" t="s">
        <v>7023</v>
      </c>
      <c r="C664" s="9" t="s">
        <v>3481</v>
      </c>
      <c r="D664" s="104"/>
      <c r="E664" s="104"/>
      <c r="F664" s="105">
        <f t="shared" si="21"/>
        <v>0</v>
      </c>
      <c r="G664" s="106">
        <f t="shared" si="20"/>
        <v>0</v>
      </c>
      <c r="H664" s="81">
        <v>0.30599999999999999</v>
      </c>
      <c r="I664" s="2619" t="s">
        <v>1146</v>
      </c>
    </row>
    <row r="665" spans="1:9" ht="16.5">
      <c r="A665" s="7" t="s">
        <v>2046</v>
      </c>
      <c r="B665" s="8" t="s">
        <v>7024</v>
      </c>
      <c r="C665" s="9" t="s">
        <v>3481</v>
      </c>
      <c r="D665" s="104"/>
      <c r="E665" s="104"/>
      <c r="F665" s="105">
        <f t="shared" si="21"/>
        <v>0</v>
      </c>
      <c r="G665" s="106">
        <f t="shared" si="20"/>
        <v>0</v>
      </c>
      <c r="H665" s="81">
        <v>0.65659999999999996</v>
      </c>
      <c r="I665" s="2619" t="s">
        <v>1146</v>
      </c>
    </row>
    <row r="666" spans="1:9" ht="16.5">
      <c r="A666" s="7" t="s">
        <v>2047</v>
      </c>
      <c r="B666" s="8" t="s">
        <v>7025</v>
      </c>
      <c r="C666" s="9" t="s">
        <v>3481</v>
      </c>
      <c r="D666" s="104"/>
      <c r="E666" s="104"/>
      <c r="F666" s="105">
        <f t="shared" si="21"/>
        <v>0</v>
      </c>
      <c r="G666" s="106">
        <f t="shared" si="20"/>
        <v>0</v>
      </c>
      <c r="H666" s="81">
        <v>1.0021</v>
      </c>
      <c r="I666" s="2619" t="s">
        <v>1146</v>
      </c>
    </row>
    <row r="667" spans="1:9" ht="16.5">
      <c r="A667" s="7" t="s">
        <v>2048</v>
      </c>
      <c r="B667" s="8" t="s">
        <v>7026</v>
      </c>
      <c r="C667" s="9" t="s">
        <v>3481</v>
      </c>
      <c r="D667" s="104"/>
      <c r="E667" s="104"/>
      <c r="F667" s="105">
        <f t="shared" si="21"/>
        <v>0</v>
      </c>
      <c r="G667" s="106">
        <f t="shared" si="20"/>
        <v>0</v>
      </c>
      <c r="H667" s="81">
        <v>0.376</v>
      </c>
      <c r="I667" s="2619" t="s">
        <v>1146</v>
      </c>
    </row>
    <row r="668" spans="1:9" ht="16.5">
      <c r="A668" s="7" t="s">
        <v>2049</v>
      </c>
      <c r="B668" s="8" t="s">
        <v>7027</v>
      </c>
      <c r="C668" s="9" t="s">
        <v>3481</v>
      </c>
      <c r="D668" s="104"/>
      <c r="E668" s="104"/>
      <c r="F668" s="105">
        <f t="shared" si="21"/>
        <v>0</v>
      </c>
      <c r="G668" s="106">
        <f t="shared" si="20"/>
        <v>0</v>
      </c>
      <c r="H668" s="81">
        <v>1.5879000000000001</v>
      </c>
      <c r="I668" s="2619" t="s">
        <v>1146</v>
      </c>
    </row>
    <row r="669" spans="1:9" ht="16.5">
      <c r="A669" s="7" t="s">
        <v>2050</v>
      </c>
      <c r="B669" s="8" t="s">
        <v>7028</v>
      </c>
      <c r="C669" s="9" t="s">
        <v>3481</v>
      </c>
      <c r="D669" s="104"/>
      <c r="E669" s="104"/>
      <c r="F669" s="105">
        <f t="shared" si="21"/>
        <v>0</v>
      </c>
      <c r="G669" s="106">
        <f t="shared" si="20"/>
        <v>0</v>
      </c>
      <c r="H669" s="81">
        <v>1.2523</v>
      </c>
      <c r="I669" s="2619" t="s">
        <v>1146</v>
      </c>
    </row>
    <row r="670" spans="1:9" ht="16.5">
      <c r="A670" s="7" t="s">
        <v>2051</v>
      </c>
      <c r="B670" s="8" t="s">
        <v>7029</v>
      </c>
      <c r="C670" s="9" t="s">
        <v>3481</v>
      </c>
      <c r="D670" s="104"/>
      <c r="E670" s="104"/>
      <c r="F670" s="105">
        <f t="shared" si="21"/>
        <v>0</v>
      </c>
      <c r="G670" s="106">
        <f t="shared" si="20"/>
        <v>0</v>
      </c>
      <c r="H670" s="81">
        <v>1.0108999999999999</v>
      </c>
      <c r="I670" s="2619" t="s">
        <v>1146</v>
      </c>
    </row>
    <row r="671" spans="1:9" ht="16.5">
      <c r="A671" s="7" t="s">
        <v>5001</v>
      </c>
      <c r="B671" s="8" t="s">
        <v>7030</v>
      </c>
      <c r="C671" s="9" t="s">
        <v>3481</v>
      </c>
      <c r="D671" s="104"/>
      <c r="E671" s="104"/>
      <c r="F671" s="105">
        <f t="shared" si="21"/>
        <v>0</v>
      </c>
      <c r="G671" s="106">
        <f t="shared" si="20"/>
        <v>0</v>
      </c>
      <c r="H671" s="81">
        <v>0.85850000000000004</v>
      </c>
      <c r="I671" s="2619" t="s">
        <v>1146</v>
      </c>
    </row>
    <row r="672" spans="1:9" ht="16.5">
      <c r="A672" s="7" t="s">
        <v>2052</v>
      </c>
      <c r="B672" s="8" t="s">
        <v>7031</v>
      </c>
      <c r="C672" s="9" t="s">
        <v>3481</v>
      </c>
      <c r="D672" s="104"/>
      <c r="E672" s="104"/>
      <c r="F672" s="105">
        <f t="shared" si="21"/>
        <v>0</v>
      </c>
      <c r="G672" s="106">
        <f t="shared" si="20"/>
        <v>0</v>
      </c>
      <c r="H672" s="81">
        <v>2.3599999999999999E-2</v>
      </c>
      <c r="I672" s="2619" t="s">
        <v>1146</v>
      </c>
    </row>
    <row r="673" spans="1:9" ht="16.5">
      <c r="A673" s="7" t="s">
        <v>2053</v>
      </c>
      <c r="B673" s="8" t="s">
        <v>7032</v>
      </c>
      <c r="C673" s="9" t="s">
        <v>3481</v>
      </c>
      <c r="D673" s="104"/>
      <c r="E673" s="104"/>
      <c r="F673" s="105">
        <f t="shared" si="21"/>
        <v>0</v>
      </c>
      <c r="G673" s="106">
        <f t="shared" si="20"/>
        <v>0</v>
      </c>
      <c r="H673" s="81">
        <v>0.49509999999999998</v>
      </c>
      <c r="I673" s="2619" t="s">
        <v>1146</v>
      </c>
    </row>
    <row r="674" spans="1:9" ht="16.5">
      <c r="A674" s="7" t="s">
        <v>2054</v>
      </c>
      <c r="B674" s="8" t="s">
        <v>7033</v>
      </c>
      <c r="C674" s="9" t="s">
        <v>3481</v>
      </c>
      <c r="D674" s="104"/>
      <c r="E674" s="104"/>
      <c r="F674" s="105">
        <f t="shared" si="21"/>
        <v>0</v>
      </c>
      <c r="G674" s="106">
        <f t="shared" si="20"/>
        <v>0</v>
      </c>
      <c r="H674" s="81">
        <v>0.51270000000000004</v>
      </c>
      <c r="I674" s="2619" t="s">
        <v>1146</v>
      </c>
    </row>
    <row r="675" spans="1:9" ht="16.5">
      <c r="A675" s="7" t="s">
        <v>2055</v>
      </c>
      <c r="B675" s="8" t="s">
        <v>7034</v>
      </c>
      <c r="C675" s="9" t="s">
        <v>3481</v>
      </c>
      <c r="D675" s="104"/>
      <c r="E675" s="104"/>
      <c r="F675" s="105">
        <f t="shared" si="21"/>
        <v>0</v>
      </c>
      <c r="G675" s="106">
        <f t="shared" si="20"/>
        <v>0</v>
      </c>
      <c r="H675" s="81">
        <v>0.43140000000000001</v>
      </c>
      <c r="I675" s="2619" t="s">
        <v>1146</v>
      </c>
    </row>
    <row r="676" spans="1:9" ht="16.5">
      <c r="A676" s="7" t="s">
        <v>2056</v>
      </c>
      <c r="B676" s="8" t="s">
        <v>7035</v>
      </c>
      <c r="C676" s="9" t="s">
        <v>3481</v>
      </c>
      <c r="D676" s="104"/>
      <c r="E676" s="104"/>
      <c r="F676" s="105">
        <f t="shared" si="21"/>
        <v>0</v>
      </c>
      <c r="G676" s="106">
        <f t="shared" si="20"/>
        <v>0</v>
      </c>
      <c r="H676" s="81">
        <v>1.3925000000000001</v>
      </c>
      <c r="I676" s="2619" t="s">
        <v>1146</v>
      </c>
    </row>
    <row r="677" spans="1:9" ht="16.5">
      <c r="A677" s="7" t="s">
        <v>2057</v>
      </c>
      <c r="B677" s="8" t="s">
        <v>7036</v>
      </c>
      <c r="C677" s="9" t="s">
        <v>3481</v>
      </c>
      <c r="D677" s="104"/>
      <c r="E677" s="104"/>
      <c r="F677" s="105">
        <f t="shared" si="21"/>
        <v>0</v>
      </c>
      <c r="G677" s="106">
        <f t="shared" si="20"/>
        <v>0</v>
      </c>
      <c r="H677" s="81">
        <v>0.45889999999999997</v>
      </c>
      <c r="I677" s="2619" t="s">
        <v>1146</v>
      </c>
    </row>
    <row r="678" spans="1:9" ht="16.5">
      <c r="A678" s="7" t="s">
        <v>2058</v>
      </c>
      <c r="B678" s="8" t="s">
        <v>7037</v>
      </c>
      <c r="C678" s="9" t="s">
        <v>3481</v>
      </c>
      <c r="D678" s="104"/>
      <c r="E678" s="104"/>
      <c r="F678" s="105">
        <f t="shared" si="21"/>
        <v>0</v>
      </c>
      <c r="G678" s="106">
        <f t="shared" si="20"/>
        <v>0</v>
      </c>
      <c r="H678" s="81">
        <v>0.75029999999999997</v>
      </c>
      <c r="I678" s="2619" t="s">
        <v>1146</v>
      </c>
    </row>
    <row r="679" spans="1:9" ht="16.5">
      <c r="A679" s="7" t="s">
        <v>2820</v>
      </c>
      <c r="B679" s="8" t="s">
        <v>7038</v>
      </c>
      <c r="C679" s="9" t="s">
        <v>3481</v>
      </c>
      <c r="D679" s="104"/>
      <c r="E679" s="104"/>
      <c r="F679" s="105">
        <f t="shared" si="21"/>
        <v>0</v>
      </c>
      <c r="G679" s="106">
        <f t="shared" si="20"/>
        <v>0</v>
      </c>
      <c r="H679" s="81">
        <v>1.0599000000000001</v>
      </c>
      <c r="I679" s="2619" t="s">
        <v>1146</v>
      </c>
    </row>
    <row r="680" spans="1:9" ht="16.5">
      <c r="A680" s="7" t="s">
        <v>2059</v>
      </c>
      <c r="B680" s="8" t="s">
        <v>7039</v>
      </c>
      <c r="C680" s="9" t="s">
        <v>3481</v>
      </c>
      <c r="D680" s="104"/>
      <c r="E680" s="104"/>
      <c r="F680" s="105">
        <f t="shared" si="21"/>
        <v>0</v>
      </c>
      <c r="G680" s="106">
        <f t="shared" si="20"/>
        <v>0</v>
      </c>
      <c r="H680" s="81">
        <v>1.3144</v>
      </c>
      <c r="I680" s="2619" t="s">
        <v>1146</v>
      </c>
    </row>
    <row r="681" spans="1:9" ht="16.5">
      <c r="A681" s="7" t="s">
        <v>2060</v>
      </c>
      <c r="B681" s="8" t="s">
        <v>7040</v>
      </c>
      <c r="C681" s="9" t="s">
        <v>3481</v>
      </c>
      <c r="D681" s="104"/>
      <c r="E681" s="104"/>
      <c r="F681" s="105">
        <f t="shared" si="21"/>
        <v>0</v>
      </c>
      <c r="G681" s="106">
        <f t="shared" si="20"/>
        <v>0</v>
      </c>
      <c r="H681" s="81">
        <v>1.6818</v>
      </c>
      <c r="I681" s="2619" t="s">
        <v>1146</v>
      </c>
    </row>
    <row r="682" spans="1:9" ht="16.5">
      <c r="A682" s="7" t="s">
        <v>2061</v>
      </c>
      <c r="B682" s="8" t="s">
        <v>7041</v>
      </c>
      <c r="C682" s="9" t="s">
        <v>3481</v>
      </c>
      <c r="D682" s="104"/>
      <c r="E682" s="104"/>
      <c r="F682" s="105">
        <f t="shared" si="21"/>
        <v>0</v>
      </c>
      <c r="G682" s="106">
        <f t="shared" si="20"/>
        <v>0</v>
      </c>
      <c r="H682" s="81">
        <v>0.84740000000000004</v>
      </c>
      <c r="I682" s="2619" t="s">
        <v>1146</v>
      </c>
    </row>
    <row r="683" spans="1:9" ht="16.5">
      <c r="A683" s="7" t="s">
        <v>2062</v>
      </c>
      <c r="B683" s="8" t="s">
        <v>7042</v>
      </c>
      <c r="C683" s="9" t="s">
        <v>3481</v>
      </c>
      <c r="D683" s="104"/>
      <c r="E683" s="104"/>
      <c r="F683" s="105">
        <f t="shared" si="21"/>
        <v>0</v>
      </c>
      <c r="G683" s="106">
        <f t="shared" si="20"/>
        <v>0</v>
      </c>
      <c r="H683" s="81">
        <v>0.6119</v>
      </c>
      <c r="I683" s="2619" t="s">
        <v>1146</v>
      </c>
    </row>
    <row r="684" spans="1:9" ht="16.5">
      <c r="A684" s="7" t="s">
        <v>2063</v>
      </c>
      <c r="B684" s="8" t="s">
        <v>5002</v>
      </c>
      <c r="C684" s="9" t="s">
        <v>3481</v>
      </c>
      <c r="D684" s="104"/>
      <c r="E684" s="104"/>
      <c r="F684" s="105">
        <f t="shared" si="21"/>
        <v>0</v>
      </c>
      <c r="G684" s="106">
        <f t="shared" si="20"/>
        <v>0</v>
      </c>
      <c r="H684" s="81">
        <v>0.82950000000000002</v>
      </c>
      <c r="I684" s="2619" t="s">
        <v>1146</v>
      </c>
    </row>
    <row r="685" spans="1:9" ht="16.5">
      <c r="A685" s="7" t="s">
        <v>2064</v>
      </c>
      <c r="B685" s="8" t="s">
        <v>7043</v>
      </c>
      <c r="C685" s="9" t="s">
        <v>3481</v>
      </c>
      <c r="D685" s="104"/>
      <c r="E685" s="104"/>
      <c r="F685" s="105">
        <f t="shared" si="21"/>
        <v>0</v>
      </c>
      <c r="G685" s="106">
        <f t="shared" si="20"/>
        <v>0</v>
      </c>
      <c r="H685" s="81">
        <v>0.36599999999999999</v>
      </c>
      <c r="I685" s="2619" t="s">
        <v>1146</v>
      </c>
    </row>
    <row r="686" spans="1:9" ht="16.5">
      <c r="A686" s="7" t="s">
        <v>2065</v>
      </c>
      <c r="B686" s="8" t="s">
        <v>7044</v>
      </c>
      <c r="C686" s="9" t="s">
        <v>3481</v>
      </c>
      <c r="D686" s="104"/>
      <c r="E686" s="104"/>
      <c r="F686" s="105">
        <f t="shared" si="21"/>
        <v>0</v>
      </c>
      <c r="G686" s="106">
        <f t="shared" si="20"/>
        <v>0</v>
      </c>
      <c r="H686" s="81">
        <v>0.15840000000000001</v>
      </c>
      <c r="I686" s="2619" t="s">
        <v>1146</v>
      </c>
    </row>
    <row r="687" spans="1:9" ht="16.5">
      <c r="A687" s="7" t="s">
        <v>2066</v>
      </c>
      <c r="B687" s="8" t="s">
        <v>7045</v>
      </c>
      <c r="C687" s="9" t="s">
        <v>3481</v>
      </c>
      <c r="D687" s="104"/>
      <c r="E687" s="104"/>
      <c r="F687" s="105">
        <f t="shared" si="21"/>
        <v>0</v>
      </c>
      <c r="G687" s="106">
        <f t="shared" si="20"/>
        <v>0</v>
      </c>
      <c r="H687" s="81">
        <v>0.7087</v>
      </c>
      <c r="I687" s="2619" t="s">
        <v>1146</v>
      </c>
    </row>
    <row r="688" spans="1:9" ht="16.5">
      <c r="A688" s="7" t="s">
        <v>2067</v>
      </c>
      <c r="B688" s="8" t="s">
        <v>7046</v>
      </c>
      <c r="C688" s="9" t="s">
        <v>3481</v>
      </c>
      <c r="D688" s="104"/>
      <c r="E688" s="104"/>
      <c r="F688" s="105">
        <f t="shared" si="21"/>
        <v>0</v>
      </c>
      <c r="G688" s="106">
        <f t="shared" si="20"/>
        <v>0</v>
      </c>
      <c r="H688" s="81">
        <v>1.1351</v>
      </c>
      <c r="I688" s="2619" t="s">
        <v>1146</v>
      </c>
    </row>
    <row r="689" spans="1:9" ht="16.5">
      <c r="A689" s="7" t="s">
        <v>2068</v>
      </c>
      <c r="B689" s="8" t="s">
        <v>7047</v>
      </c>
      <c r="C689" s="9" t="s">
        <v>3481</v>
      </c>
      <c r="D689" s="104"/>
      <c r="E689" s="104"/>
      <c r="F689" s="105">
        <f t="shared" si="21"/>
        <v>0</v>
      </c>
      <c r="G689" s="106">
        <f t="shared" si="20"/>
        <v>0</v>
      </c>
      <c r="H689" s="81">
        <v>0.17660000000000001</v>
      </c>
      <c r="I689" s="2619" t="s">
        <v>1146</v>
      </c>
    </row>
    <row r="690" spans="1:9" ht="16.5">
      <c r="A690" s="7" t="s">
        <v>2069</v>
      </c>
      <c r="B690" s="8" t="s">
        <v>7048</v>
      </c>
      <c r="C690" s="9" t="s">
        <v>3481</v>
      </c>
      <c r="D690" s="104"/>
      <c r="E690" s="104"/>
      <c r="F690" s="105">
        <f t="shared" si="21"/>
        <v>0</v>
      </c>
      <c r="G690" s="106">
        <f t="shared" si="20"/>
        <v>0</v>
      </c>
      <c r="H690" s="81">
        <v>0.38769999999999999</v>
      </c>
      <c r="I690" s="2619" t="s">
        <v>1146</v>
      </c>
    </row>
    <row r="691" spans="1:9" ht="16.5">
      <c r="A691" s="7" t="s">
        <v>2070</v>
      </c>
      <c r="B691" s="8" t="s">
        <v>7049</v>
      </c>
      <c r="C691" s="9" t="s">
        <v>3481</v>
      </c>
      <c r="D691" s="104"/>
      <c r="E691" s="104"/>
      <c r="F691" s="105">
        <f t="shared" si="21"/>
        <v>0</v>
      </c>
      <c r="G691" s="106">
        <f t="shared" si="20"/>
        <v>0</v>
      </c>
      <c r="H691" s="81">
        <v>1.0548999999999999</v>
      </c>
      <c r="I691" s="2619" t="s">
        <v>1146</v>
      </c>
    </row>
    <row r="692" spans="1:9" ht="16.5">
      <c r="A692" s="7" t="s">
        <v>2071</v>
      </c>
      <c r="B692" s="8" t="s">
        <v>7050</v>
      </c>
      <c r="C692" s="9" t="s">
        <v>3481</v>
      </c>
      <c r="D692" s="104"/>
      <c r="E692" s="104"/>
      <c r="F692" s="105">
        <f t="shared" si="21"/>
        <v>0</v>
      </c>
      <c r="G692" s="106">
        <f t="shared" si="20"/>
        <v>0</v>
      </c>
      <c r="H692" s="81">
        <v>0.19919999999999999</v>
      </c>
      <c r="I692" s="2619" t="s">
        <v>1146</v>
      </c>
    </row>
    <row r="693" spans="1:9" ht="16.5">
      <c r="A693" s="7" t="s">
        <v>2072</v>
      </c>
      <c r="B693" s="8" t="s">
        <v>7051</v>
      </c>
      <c r="C693" s="9" t="s">
        <v>3481</v>
      </c>
      <c r="D693" s="104"/>
      <c r="E693" s="104"/>
      <c r="F693" s="105">
        <f t="shared" si="21"/>
        <v>0</v>
      </c>
      <c r="G693" s="106">
        <f t="shared" si="20"/>
        <v>0</v>
      </c>
      <c r="H693" s="81">
        <v>1.0914999999999999</v>
      </c>
      <c r="I693" s="2619" t="s">
        <v>1146</v>
      </c>
    </row>
    <row r="694" spans="1:9" ht="16.5">
      <c r="A694" s="7" t="s">
        <v>2073</v>
      </c>
      <c r="B694" s="8" t="s">
        <v>7052</v>
      </c>
      <c r="C694" s="9" t="s">
        <v>3481</v>
      </c>
      <c r="D694" s="104"/>
      <c r="E694" s="104"/>
      <c r="F694" s="105">
        <f t="shared" si="21"/>
        <v>0</v>
      </c>
      <c r="G694" s="106">
        <f t="shared" si="20"/>
        <v>0</v>
      </c>
      <c r="H694" s="81">
        <v>0.61639999999999995</v>
      </c>
      <c r="I694" s="2619" t="s">
        <v>1146</v>
      </c>
    </row>
    <row r="695" spans="1:9" ht="16.5">
      <c r="A695" s="7" t="s">
        <v>2074</v>
      </c>
      <c r="B695" s="8" t="s">
        <v>7053</v>
      </c>
      <c r="C695" s="9" t="s">
        <v>3481</v>
      </c>
      <c r="D695" s="104"/>
      <c r="E695" s="104"/>
      <c r="F695" s="105">
        <f t="shared" si="21"/>
        <v>0</v>
      </c>
      <c r="G695" s="106">
        <f t="shared" si="20"/>
        <v>0</v>
      </c>
      <c r="H695" s="81">
        <v>1.2244999999999999</v>
      </c>
      <c r="I695" s="2619" t="s">
        <v>1146</v>
      </c>
    </row>
    <row r="696" spans="1:9" ht="16.5">
      <c r="A696" s="7" t="s">
        <v>2075</v>
      </c>
      <c r="B696" s="8" t="s">
        <v>7054</v>
      </c>
      <c r="C696" s="9" t="s">
        <v>3481</v>
      </c>
      <c r="D696" s="104"/>
      <c r="E696" s="104"/>
      <c r="F696" s="105">
        <f t="shared" si="21"/>
        <v>0</v>
      </c>
      <c r="G696" s="106">
        <f t="shared" si="20"/>
        <v>0</v>
      </c>
      <c r="H696" s="81">
        <v>0.49430000000000002</v>
      </c>
      <c r="I696" s="2619" t="s">
        <v>1146</v>
      </c>
    </row>
    <row r="697" spans="1:9" ht="16.5">
      <c r="A697" s="7" t="s">
        <v>3392</v>
      </c>
      <c r="B697" s="8" t="s">
        <v>7055</v>
      </c>
      <c r="C697" s="9" t="s">
        <v>3481</v>
      </c>
      <c r="D697" s="104"/>
      <c r="E697" s="104"/>
      <c r="F697" s="105">
        <f t="shared" si="21"/>
        <v>0</v>
      </c>
      <c r="G697" s="106">
        <f t="shared" si="20"/>
        <v>0</v>
      </c>
      <c r="H697" s="81">
        <v>0.93440000000000001</v>
      </c>
      <c r="I697" s="2619" t="s">
        <v>1146</v>
      </c>
    </row>
    <row r="698" spans="1:9" ht="16.5">
      <c r="A698" s="7" t="s">
        <v>5003</v>
      </c>
      <c r="B698" s="8" t="s">
        <v>7056</v>
      </c>
      <c r="C698" s="9" t="s">
        <v>3481</v>
      </c>
      <c r="D698" s="104"/>
      <c r="E698" s="104"/>
      <c r="F698" s="105">
        <f t="shared" si="21"/>
        <v>0</v>
      </c>
      <c r="G698" s="106">
        <f t="shared" si="20"/>
        <v>0</v>
      </c>
      <c r="H698" s="81">
        <v>0.78439999999999999</v>
      </c>
      <c r="I698" s="2619" t="s">
        <v>1146</v>
      </c>
    </row>
    <row r="699" spans="1:9" ht="16.5">
      <c r="A699" s="7" t="s">
        <v>2076</v>
      </c>
      <c r="B699" s="8" t="s">
        <v>7057</v>
      </c>
      <c r="C699" s="9" t="s">
        <v>3481</v>
      </c>
      <c r="D699" s="104"/>
      <c r="E699" s="104"/>
      <c r="F699" s="105">
        <f t="shared" si="21"/>
        <v>0</v>
      </c>
      <c r="G699" s="106">
        <f t="shared" si="20"/>
        <v>0</v>
      </c>
      <c r="H699" s="81">
        <v>0.35199999999999998</v>
      </c>
      <c r="I699" s="2619" t="s">
        <v>1146</v>
      </c>
    </row>
    <row r="700" spans="1:9" ht="16.5">
      <c r="A700" s="7" t="s">
        <v>2077</v>
      </c>
      <c r="B700" s="8" t="s">
        <v>7058</v>
      </c>
      <c r="C700" s="9" t="s">
        <v>3481</v>
      </c>
      <c r="D700" s="104"/>
      <c r="E700" s="104"/>
      <c r="F700" s="105">
        <f t="shared" si="21"/>
        <v>0</v>
      </c>
      <c r="G700" s="106">
        <f t="shared" si="20"/>
        <v>0</v>
      </c>
      <c r="H700" s="81">
        <v>0.20910000000000001</v>
      </c>
      <c r="I700" s="2619" t="s">
        <v>1146</v>
      </c>
    </row>
    <row r="701" spans="1:9" ht="16.5">
      <c r="A701" s="7" t="s">
        <v>2078</v>
      </c>
      <c r="B701" s="8" t="s">
        <v>7059</v>
      </c>
      <c r="C701" s="9" t="s">
        <v>3481</v>
      </c>
      <c r="D701" s="104"/>
      <c r="E701" s="104"/>
      <c r="F701" s="105">
        <f t="shared" si="21"/>
        <v>0</v>
      </c>
      <c r="G701" s="106">
        <f t="shared" si="20"/>
        <v>0</v>
      </c>
      <c r="H701" s="81">
        <v>-5.1999999999999998E-2</v>
      </c>
      <c r="I701" s="2619" t="s">
        <v>1146</v>
      </c>
    </row>
    <row r="702" spans="1:9" ht="16.5">
      <c r="A702" s="7" t="s">
        <v>2079</v>
      </c>
      <c r="B702" s="8" t="s">
        <v>7060</v>
      </c>
      <c r="C702" s="9" t="s">
        <v>3481</v>
      </c>
      <c r="D702" s="104"/>
      <c r="E702" s="104"/>
      <c r="F702" s="105">
        <f t="shared" si="21"/>
        <v>0</v>
      </c>
      <c r="G702" s="106">
        <f t="shared" si="20"/>
        <v>0</v>
      </c>
      <c r="H702" s="81">
        <v>0.28399999999999997</v>
      </c>
      <c r="I702" s="2619" t="s">
        <v>1146</v>
      </c>
    </row>
    <row r="703" spans="1:9" ht="16.5">
      <c r="A703" s="7" t="s">
        <v>2080</v>
      </c>
      <c r="B703" s="8" t="s">
        <v>7061</v>
      </c>
      <c r="C703" s="9" t="s">
        <v>3481</v>
      </c>
      <c r="D703" s="104"/>
      <c r="E703" s="104"/>
      <c r="F703" s="105">
        <f t="shared" si="21"/>
        <v>0</v>
      </c>
      <c r="G703" s="106">
        <f t="shared" si="20"/>
        <v>0</v>
      </c>
      <c r="H703" s="81">
        <v>0.2964</v>
      </c>
      <c r="I703" s="2619" t="s">
        <v>1146</v>
      </c>
    </row>
    <row r="704" spans="1:9" ht="16.5">
      <c r="A704" s="7" t="s">
        <v>2081</v>
      </c>
      <c r="B704" s="8" t="s">
        <v>7062</v>
      </c>
      <c r="C704" s="9" t="s">
        <v>3481</v>
      </c>
      <c r="D704" s="104"/>
      <c r="E704" s="104"/>
      <c r="F704" s="105">
        <f t="shared" si="21"/>
        <v>0</v>
      </c>
      <c r="G704" s="106">
        <f t="shared" si="20"/>
        <v>0</v>
      </c>
      <c r="H704" s="81">
        <v>0.5081</v>
      </c>
      <c r="I704" s="2619" t="s">
        <v>1146</v>
      </c>
    </row>
    <row r="705" spans="1:9" ht="16.5">
      <c r="A705" s="7" t="s">
        <v>2082</v>
      </c>
      <c r="B705" s="8" t="s">
        <v>7063</v>
      </c>
      <c r="C705" s="9" t="s">
        <v>3481</v>
      </c>
      <c r="D705" s="104"/>
      <c r="E705" s="104"/>
      <c r="F705" s="105">
        <f t="shared" si="21"/>
        <v>0</v>
      </c>
      <c r="G705" s="106">
        <f t="shared" si="20"/>
        <v>0</v>
      </c>
      <c r="H705" s="81">
        <v>0.43130000000000002</v>
      </c>
      <c r="I705" s="2619" t="s">
        <v>1146</v>
      </c>
    </row>
    <row r="706" spans="1:9" ht="16.5">
      <c r="A706" s="7" t="s">
        <v>2083</v>
      </c>
      <c r="B706" s="8" t="s">
        <v>7064</v>
      </c>
      <c r="C706" s="9" t="s">
        <v>3481</v>
      </c>
      <c r="D706" s="104"/>
      <c r="E706" s="104"/>
      <c r="F706" s="105">
        <f t="shared" si="21"/>
        <v>0</v>
      </c>
      <c r="G706" s="106">
        <f t="shared" si="20"/>
        <v>0</v>
      </c>
      <c r="H706" s="81">
        <v>0.2316</v>
      </c>
      <c r="I706" s="2619" t="s">
        <v>1146</v>
      </c>
    </row>
    <row r="707" spans="1:9" ht="16.5">
      <c r="A707" s="7" t="s">
        <v>2084</v>
      </c>
      <c r="B707" s="8" t="s">
        <v>7065</v>
      </c>
      <c r="C707" s="9" t="s">
        <v>3481</v>
      </c>
      <c r="D707" s="104"/>
      <c r="E707" s="104"/>
      <c r="F707" s="105">
        <f t="shared" si="21"/>
        <v>0</v>
      </c>
      <c r="G707" s="106">
        <f t="shared" si="20"/>
        <v>0</v>
      </c>
      <c r="H707" s="81">
        <v>0.57330000000000003</v>
      </c>
      <c r="I707" s="2619" t="s">
        <v>1146</v>
      </c>
    </row>
    <row r="708" spans="1:9" ht="16.5">
      <c r="A708" s="7" t="s">
        <v>2085</v>
      </c>
      <c r="B708" s="8" t="s">
        <v>7066</v>
      </c>
      <c r="C708" s="9" t="s">
        <v>3481</v>
      </c>
      <c r="D708" s="104"/>
      <c r="E708" s="104"/>
      <c r="F708" s="105">
        <f t="shared" si="21"/>
        <v>0</v>
      </c>
      <c r="G708" s="106">
        <f t="shared" ref="G708:G771" si="22">IF($F$1265=0,0,F708/$F$1265)</f>
        <v>0</v>
      </c>
      <c r="H708" s="81">
        <v>0.49980000000000002</v>
      </c>
      <c r="I708" s="2619" t="s">
        <v>1146</v>
      </c>
    </row>
    <row r="709" spans="1:9" ht="16.5">
      <c r="A709" s="7" t="s">
        <v>2086</v>
      </c>
      <c r="B709" s="8" t="s">
        <v>7067</v>
      </c>
      <c r="C709" s="9" t="s">
        <v>3481</v>
      </c>
      <c r="D709" s="104"/>
      <c r="E709" s="104"/>
      <c r="F709" s="105">
        <f t="shared" ref="F709:F772" si="23">D709*E709</f>
        <v>0</v>
      </c>
      <c r="G709" s="106">
        <f t="shared" si="22"/>
        <v>0</v>
      </c>
      <c r="H709" s="81">
        <v>0.47289999999999999</v>
      </c>
      <c r="I709" s="2619" t="s">
        <v>1146</v>
      </c>
    </row>
    <row r="710" spans="1:9" ht="16.5">
      <c r="A710" s="7" t="s">
        <v>2087</v>
      </c>
      <c r="B710" s="8" t="s">
        <v>7068</v>
      </c>
      <c r="C710" s="9" t="s">
        <v>3481</v>
      </c>
      <c r="D710" s="104"/>
      <c r="E710" s="104"/>
      <c r="F710" s="105">
        <f t="shared" si="23"/>
        <v>0</v>
      </c>
      <c r="G710" s="106">
        <f t="shared" si="22"/>
        <v>0</v>
      </c>
      <c r="H710" s="81">
        <v>0.21829999999999999</v>
      </c>
      <c r="I710" s="2619" t="s">
        <v>1146</v>
      </c>
    </row>
    <row r="711" spans="1:9" ht="16.5">
      <c r="A711" s="7" t="s">
        <v>2088</v>
      </c>
      <c r="B711" s="8" t="s">
        <v>7069</v>
      </c>
      <c r="C711" s="9" t="s">
        <v>3481</v>
      </c>
      <c r="D711" s="104"/>
      <c r="E711" s="104"/>
      <c r="F711" s="105">
        <f t="shared" si="23"/>
        <v>0</v>
      </c>
      <c r="G711" s="106">
        <f t="shared" si="22"/>
        <v>0</v>
      </c>
      <c r="H711" s="81">
        <v>0.25700000000000001</v>
      </c>
      <c r="I711" s="2619" t="s">
        <v>1146</v>
      </c>
    </row>
    <row r="712" spans="1:9" ht="16.5">
      <c r="A712" s="7" t="s">
        <v>2089</v>
      </c>
      <c r="B712" s="8" t="s">
        <v>7070</v>
      </c>
      <c r="C712" s="9" t="s">
        <v>3481</v>
      </c>
      <c r="D712" s="104"/>
      <c r="E712" s="104"/>
      <c r="F712" s="105">
        <f t="shared" si="23"/>
        <v>0</v>
      </c>
      <c r="G712" s="106">
        <f t="shared" si="22"/>
        <v>0</v>
      </c>
      <c r="H712" s="81">
        <v>0.29609999999999997</v>
      </c>
      <c r="I712" s="2619" t="s">
        <v>1146</v>
      </c>
    </row>
    <row r="713" spans="1:9" ht="16.5">
      <c r="A713" s="7" t="s">
        <v>2090</v>
      </c>
      <c r="B713" s="8" t="s">
        <v>7071</v>
      </c>
      <c r="C713" s="9" t="s">
        <v>3481</v>
      </c>
      <c r="D713" s="104"/>
      <c r="E713" s="104"/>
      <c r="F713" s="105">
        <f t="shared" si="23"/>
        <v>0</v>
      </c>
      <c r="G713" s="106">
        <f t="shared" si="22"/>
        <v>0</v>
      </c>
      <c r="H713" s="81">
        <v>0.42970000000000003</v>
      </c>
      <c r="I713" s="2619" t="s">
        <v>1146</v>
      </c>
    </row>
    <row r="714" spans="1:9" ht="16.5">
      <c r="A714" s="7" t="s">
        <v>2091</v>
      </c>
      <c r="B714" s="8" t="s">
        <v>7072</v>
      </c>
      <c r="C714" s="9" t="s">
        <v>3481</v>
      </c>
      <c r="D714" s="104"/>
      <c r="E714" s="104"/>
      <c r="F714" s="105">
        <f t="shared" si="23"/>
        <v>0</v>
      </c>
      <c r="G714" s="106">
        <f t="shared" si="22"/>
        <v>0</v>
      </c>
      <c r="H714" s="81">
        <v>0.57589999999999997</v>
      </c>
      <c r="I714" s="2619" t="s">
        <v>1146</v>
      </c>
    </row>
    <row r="715" spans="1:9" ht="16.5">
      <c r="A715" s="7" t="s">
        <v>3393</v>
      </c>
      <c r="B715" s="8" t="s">
        <v>7073</v>
      </c>
      <c r="C715" s="9" t="s">
        <v>3481</v>
      </c>
      <c r="D715" s="104"/>
      <c r="E715" s="104"/>
      <c r="F715" s="105">
        <f t="shared" si="23"/>
        <v>0</v>
      </c>
      <c r="G715" s="106">
        <f t="shared" si="22"/>
        <v>0</v>
      </c>
      <c r="H715" s="81">
        <v>0.121</v>
      </c>
      <c r="I715" s="2619" t="s">
        <v>1146</v>
      </c>
    </row>
    <row r="716" spans="1:9" ht="16.5">
      <c r="A716" s="7" t="s">
        <v>2092</v>
      </c>
      <c r="B716" s="8" t="s">
        <v>7074</v>
      </c>
      <c r="C716" s="9" t="s">
        <v>3481</v>
      </c>
      <c r="D716" s="104"/>
      <c r="E716" s="104"/>
      <c r="F716" s="105">
        <f t="shared" si="23"/>
        <v>0</v>
      </c>
      <c r="G716" s="106">
        <f t="shared" si="22"/>
        <v>0</v>
      </c>
      <c r="H716" s="81">
        <v>0.35930000000000001</v>
      </c>
      <c r="I716" s="2619" t="s">
        <v>1146</v>
      </c>
    </row>
    <row r="717" spans="1:9" ht="16.5">
      <c r="A717" s="7" t="s">
        <v>2093</v>
      </c>
      <c r="B717" s="8" t="s">
        <v>7075</v>
      </c>
      <c r="C717" s="9" t="s">
        <v>3481</v>
      </c>
      <c r="D717" s="104"/>
      <c r="E717" s="104"/>
      <c r="F717" s="105">
        <f t="shared" si="23"/>
        <v>0</v>
      </c>
      <c r="G717" s="106">
        <f t="shared" si="22"/>
        <v>0</v>
      </c>
      <c r="H717" s="81">
        <v>0.2999</v>
      </c>
      <c r="I717" s="2619" t="s">
        <v>1146</v>
      </c>
    </row>
    <row r="718" spans="1:9" ht="16.5">
      <c r="A718" s="7" t="s">
        <v>2094</v>
      </c>
      <c r="B718" s="8" t="s">
        <v>7076</v>
      </c>
      <c r="C718" s="9" t="s">
        <v>3481</v>
      </c>
      <c r="D718" s="104"/>
      <c r="E718" s="104"/>
      <c r="F718" s="105">
        <f t="shared" si="23"/>
        <v>0</v>
      </c>
      <c r="G718" s="106">
        <f t="shared" si="22"/>
        <v>0</v>
      </c>
      <c r="H718" s="81">
        <v>0.47299999999999998</v>
      </c>
      <c r="I718" s="2619" t="s">
        <v>1146</v>
      </c>
    </row>
    <row r="719" spans="1:9" ht="16.5">
      <c r="A719" s="7" t="s">
        <v>2095</v>
      </c>
      <c r="B719" s="8" t="s">
        <v>7077</v>
      </c>
      <c r="C719" s="9" t="s">
        <v>3481</v>
      </c>
      <c r="D719" s="104"/>
      <c r="E719" s="104"/>
      <c r="F719" s="105">
        <f t="shared" si="23"/>
        <v>0</v>
      </c>
      <c r="G719" s="106">
        <f t="shared" si="22"/>
        <v>0</v>
      </c>
      <c r="H719" s="81">
        <v>0.63560000000000005</v>
      </c>
      <c r="I719" s="2619" t="s">
        <v>1146</v>
      </c>
    </row>
    <row r="720" spans="1:9" ht="16.5">
      <c r="A720" s="7" t="s">
        <v>2096</v>
      </c>
      <c r="B720" s="8" t="s">
        <v>7078</v>
      </c>
      <c r="C720" s="9" t="s">
        <v>3481</v>
      </c>
      <c r="D720" s="104"/>
      <c r="E720" s="104"/>
      <c r="F720" s="105">
        <f t="shared" si="23"/>
        <v>0</v>
      </c>
      <c r="G720" s="106">
        <f t="shared" si="22"/>
        <v>0</v>
      </c>
      <c r="H720" s="81">
        <v>0.2298</v>
      </c>
      <c r="I720" s="2619" t="s">
        <v>1146</v>
      </c>
    </row>
    <row r="721" spans="1:9" ht="16.5">
      <c r="A721" s="7" t="s">
        <v>2097</v>
      </c>
      <c r="B721" s="8" t="s">
        <v>7079</v>
      </c>
      <c r="C721" s="9" t="s">
        <v>3481</v>
      </c>
      <c r="D721" s="104"/>
      <c r="E721" s="104"/>
      <c r="F721" s="105">
        <f t="shared" si="23"/>
        <v>0</v>
      </c>
      <c r="G721" s="106">
        <f t="shared" si="22"/>
        <v>0</v>
      </c>
      <c r="H721" s="81">
        <v>0.5726</v>
      </c>
      <c r="I721" s="2619" t="s">
        <v>1146</v>
      </c>
    </row>
    <row r="722" spans="1:9" ht="16.5">
      <c r="A722" s="7" t="s">
        <v>2098</v>
      </c>
      <c r="B722" s="8" t="s">
        <v>7080</v>
      </c>
      <c r="C722" s="9" t="s">
        <v>3481</v>
      </c>
      <c r="D722" s="104"/>
      <c r="E722" s="104"/>
      <c r="F722" s="105">
        <f t="shared" si="23"/>
        <v>0</v>
      </c>
      <c r="G722" s="106">
        <f t="shared" si="22"/>
        <v>0</v>
      </c>
      <c r="H722" s="81">
        <v>0.42780000000000001</v>
      </c>
      <c r="I722" s="2619" t="s">
        <v>1146</v>
      </c>
    </row>
    <row r="723" spans="1:9" ht="16.5">
      <c r="A723" s="7" t="s">
        <v>2099</v>
      </c>
      <c r="B723" s="8" t="s">
        <v>7081</v>
      </c>
      <c r="C723" s="9" t="s">
        <v>3481</v>
      </c>
      <c r="D723" s="104"/>
      <c r="E723" s="104"/>
      <c r="F723" s="105">
        <f t="shared" si="23"/>
        <v>0</v>
      </c>
      <c r="G723" s="106">
        <f t="shared" si="22"/>
        <v>0</v>
      </c>
      <c r="H723" s="81">
        <v>0.2843</v>
      </c>
      <c r="I723" s="2619" t="s">
        <v>1146</v>
      </c>
    </row>
    <row r="724" spans="1:9" ht="16.5">
      <c r="A724" s="7" t="s">
        <v>2100</v>
      </c>
      <c r="B724" s="8" t="s">
        <v>7082</v>
      </c>
      <c r="C724" s="9" t="s">
        <v>3481</v>
      </c>
      <c r="D724" s="104"/>
      <c r="E724" s="104"/>
      <c r="F724" s="105">
        <f t="shared" si="23"/>
        <v>0</v>
      </c>
      <c r="G724" s="106">
        <f t="shared" si="22"/>
        <v>0</v>
      </c>
      <c r="H724" s="81">
        <v>0.1825</v>
      </c>
      <c r="I724" s="2619" t="s">
        <v>1146</v>
      </c>
    </row>
    <row r="725" spans="1:9" ht="16.5">
      <c r="A725" s="7" t="s">
        <v>2101</v>
      </c>
      <c r="B725" s="8" t="s">
        <v>7083</v>
      </c>
      <c r="C725" s="9" t="s">
        <v>3481</v>
      </c>
      <c r="D725" s="104"/>
      <c r="E725" s="104"/>
      <c r="F725" s="105">
        <f t="shared" si="23"/>
        <v>0</v>
      </c>
      <c r="G725" s="106">
        <f t="shared" si="22"/>
        <v>0</v>
      </c>
      <c r="H725" s="81">
        <v>9.01E-2</v>
      </c>
      <c r="I725" s="2619" t="s">
        <v>1146</v>
      </c>
    </row>
    <row r="726" spans="1:9" ht="16.5">
      <c r="A726" s="7" t="s">
        <v>2102</v>
      </c>
      <c r="B726" s="8" t="s">
        <v>7084</v>
      </c>
      <c r="C726" s="9" t="s">
        <v>3481</v>
      </c>
      <c r="D726" s="104"/>
      <c r="E726" s="104"/>
      <c r="F726" s="105">
        <f t="shared" si="23"/>
        <v>0</v>
      </c>
      <c r="G726" s="106">
        <f t="shared" si="22"/>
        <v>0</v>
      </c>
      <c r="H726" s="81">
        <v>0.29360000000000003</v>
      </c>
      <c r="I726" s="2619" t="s">
        <v>1146</v>
      </c>
    </row>
    <row r="727" spans="1:9" ht="16.5">
      <c r="A727" s="7" t="s">
        <v>2103</v>
      </c>
      <c r="B727" s="8" t="s">
        <v>7085</v>
      </c>
      <c r="C727" s="9" t="s">
        <v>3481</v>
      </c>
      <c r="D727" s="104"/>
      <c r="E727" s="104"/>
      <c r="F727" s="105">
        <f t="shared" si="23"/>
        <v>0</v>
      </c>
      <c r="G727" s="106">
        <f t="shared" si="22"/>
        <v>0</v>
      </c>
      <c r="H727" s="81">
        <v>0.36009999999999998</v>
      </c>
      <c r="I727" s="2619" t="s">
        <v>1146</v>
      </c>
    </row>
    <row r="728" spans="1:9" ht="16.5">
      <c r="A728" s="7" t="s">
        <v>2104</v>
      </c>
      <c r="B728" s="8" t="s">
        <v>7086</v>
      </c>
      <c r="C728" s="9" t="s">
        <v>3481</v>
      </c>
      <c r="D728" s="104"/>
      <c r="E728" s="104"/>
      <c r="F728" s="105">
        <f t="shared" si="23"/>
        <v>0</v>
      </c>
      <c r="G728" s="106">
        <f t="shared" si="22"/>
        <v>0</v>
      </c>
      <c r="H728" s="81">
        <v>0.75149999999999995</v>
      </c>
      <c r="I728" s="2619" t="s">
        <v>1146</v>
      </c>
    </row>
    <row r="729" spans="1:9" ht="16.5">
      <c r="A729" s="7" t="s">
        <v>5746</v>
      </c>
      <c r="B729" s="8" t="s">
        <v>7087</v>
      </c>
      <c r="C729" s="9" t="s">
        <v>3481</v>
      </c>
      <c r="D729" s="104"/>
      <c r="E729" s="104"/>
      <c r="F729" s="105">
        <f t="shared" si="23"/>
        <v>0</v>
      </c>
      <c r="G729" s="106">
        <f t="shared" si="22"/>
        <v>0</v>
      </c>
      <c r="H729" s="81">
        <v>1</v>
      </c>
      <c r="I729" s="2619" t="s">
        <v>6861</v>
      </c>
    </row>
    <row r="730" spans="1:9" ht="16.5">
      <c r="A730" s="7" t="s">
        <v>2105</v>
      </c>
      <c r="B730" s="8" t="s">
        <v>7088</v>
      </c>
      <c r="C730" s="9" t="s">
        <v>3481</v>
      </c>
      <c r="D730" s="104"/>
      <c r="E730" s="104"/>
      <c r="F730" s="105">
        <f t="shared" si="23"/>
        <v>0</v>
      </c>
      <c r="G730" s="106">
        <f t="shared" si="22"/>
        <v>0</v>
      </c>
      <c r="H730" s="81">
        <v>0.1527</v>
      </c>
      <c r="I730" s="2619" t="s">
        <v>1146</v>
      </c>
    </row>
    <row r="731" spans="1:9" ht="16.5">
      <c r="A731" s="7" t="s">
        <v>2106</v>
      </c>
      <c r="B731" s="8" t="s">
        <v>7089</v>
      </c>
      <c r="C731" s="9" t="s">
        <v>3481</v>
      </c>
      <c r="D731" s="104"/>
      <c r="E731" s="104"/>
      <c r="F731" s="105">
        <f t="shared" si="23"/>
        <v>0</v>
      </c>
      <c r="G731" s="106">
        <f t="shared" si="22"/>
        <v>0</v>
      </c>
      <c r="H731" s="81">
        <v>0.64870000000000005</v>
      </c>
      <c r="I731" s="2619" t="s">
        <v>1146</v>
      </c>
    </row>
    <row r="732" spans="1:9" ht="16.5">
      <c r="A732" s="7" t="s">
        <v>2107</v>
      </c>
      <c r="B732" s="8" t="s">
        <v>7090</v>
      </c>
      <c r="C732" s="9" t="s">
        <v>3481</v>
      </c>
      <c r="D732" s="104"/>
      <c r="E732" s="104"/>
      <c r="F732" s="105">
        <f t="shared" si="23"/>
        <v>0</v>
      </c>
      <c r="G732" s="106">
        <f t="shared" si="22"/>
        <v>0</v>
      </c>
      <c r="H732" s="81">
        <v>0.74270000000000003</v>
      </c>
      <c r="I732" s="2619" t="s">
        <v>1146</v>
      </c>
    </row>
    <row r="733" spans="1:9" ht="16.5">
      <c r="A733" s="7" t="s">
        <v>2589</v>
      </c>
      <c r="B733" s="8" t="s">
        <v>7091</v>
      </c>
      <c r="C733" s="9" t="s">
        <v>3481</v>
      </c>
      <c r="D733" s="104"/>
      <c r="E733" s="104"/>
      <c r="F733" s="105">
        <f t="shared" si="23"/>
        <v>0</v>
      </c>
      <c r="G733" s="106">
        <f t="shared" si="22"/>
        <v>0</v>
      </c>
      <c r="H733" s="81">
        <v>0.86270000000000002</v>
      </c>
      <c r="I733" s="2619" t="s">
        <v>1146</v>
      </c>
    </row>
    <row r="734" spans="1:9" ht="16.5">
      <c r="A734" s="7" t="s">
        <v>5004</v>
      </c>
      <c r="B734" s="8" t="s">
        <v>7092</v>
      </c>
      <c r="C734" s="9" t="s">
        <v>3481</v>
      </c>
      <c r="D734" s="104"/>
      <c r="E734" s="104"/>
      <c r="F734" s="105">
        <f t="shared" si="23"/>
        <v>0</v>
      </c>
      <c r="G734" s="106">
        <f t="shared" si="22"/>
        <v>0</v>
      </c>
      <c r="H734" s="81">
        <v>0.8851</v>
      </c>
      <c r="I734" s="2619" t="s">
        <v>1146</v>
      </c>
    </row>
    <row r="735" spans="1:9" ht="16.5">
      <c r="A735" s="7" t="s">
        <v>2108</v>
      </c>
      <c r="B735" s="8" t="s">
        <v>7093</v>
      </c>
      <c r="C735" s="9" t="s">
        <v>3481</v>
      </c>
      <c r="D735" s="104"/>
      <c r="E735" s="104"/>
      <c r="F735" s="105">
        <f t="shared" si="23"/>
        <v>0</v>
      </c>
      <c r="G735" s="106">
        <f t="shared" si="22"/>
        <v>0</v>
      </c>
      <c r="H735" s="81">
        <v>0.27529999999999999</v>
      </c>
      <c r="I735" s="2619" t="s">
        <v>1146</v>
      </c>
    </row>
    <row r="736" spans="1:9" ht="16.5">
      <c r="A736" s="7" t="s">
        <v>2109</v>
      </c>
      <c r="B736" s="8" t="s">
        <v>7094</v>
      </c>
      <c r="C736" s="9" t="s">
        <v>3481</v>
      </c>
      <c r="D736" s="104"/>
      <c r="E736" s="104"/>
      <c r="F736" s="105">
        <f t="shared" si="23"/>
        <v>0</v>
      </c>
      <c r="G736" s="106">
        <f t="shared" si="22"/>
        <v>0</v>
      </c>
      <c r="H736" s="81">
        <v>0.23280000000000001</v>
      </c>
      <c r="I736" s="2619" t="s">
        <v>1146</v>
      </c>
    </row>
    <row r="737" spans="1:9" ht="16.5">
      <c r="A737" s="7" t="s">
        <v>2928</v>
      </c>
      <c r="B737" s="8" t="s">
        <v>7095</v>
      </c>
      <c r="C737" s="9" t="s">
        <v>3481</v>
      </c>
      <c r="D737" s="104"/>
      <c r="E737" s="104"/>
      <c r="F737" s="105">
        <f t="shared" si="23"/>
        <v>0</v>
      </c>
      <c r="G737" s="106">
        <f t="shared" si="22"/>
        <v>0</v>
      </c>
      <c r="H737" s="81">
        <v>1</v>
      </c>
      <c r="I737" s="2619" t="s">
        <v>6861</v>
      </c>
    </row>
    <row r="738" spans="1:9" ht="16.5">
      <c r="A738" s="7" t="s">
        <v>2110</v>
      </c>
      <c r="B738" s="8" t="s">
        <v>7096</v>
      </c>
      <c r="C738" s="9" t="s">
        <v>3481</v>
      </c>
      <c r="D738" s="104"/>
      <c r="E738" s="104"/>
      <c r="F738" s="105">
        <f t="shared" si="23"/>
        <v>0</v>
      </c>
      <c r="G738" s="106">
        <f t="shared" si="22"/>
        <v>0</v>
      </c>
      <c r="H738" s="81">
        <v>0.27779999999999999</v>
      </c>
      <c r="I738" s="2619" t="s">
        <v>1146</v>
      </c>
    </row>
    <row r="739" spans="1:9" ht="16.5">
      <c r="A739" s="7" t="s">
        <v>2111</v>
      </c>
      <c r="B739" s="8" t="s">
        <v>7097</v>
      </c>
      <c r="C739" s="9" t="s">
        <v>3481</v>
      </c>
      <c r="D739" s="104"/>
      <c r="E739" s="104"/>
      <c r="F739" s="105">
        <f t="shared" si="23"/>
        <v>0</v>
      </c>
      <c r="G739" s="106">
        <f t="shared" si="22"/>
        <v>0</v>
      </c>
      <c r="H739" s="81">
        <v>0.93510000000000004</v>
      </c>
      <c r="I739" s="2619" t="s">
        <v>1146</v>
      </c>
    </row>
    <row r="740" spans="1:9" ht="16.5">
      <c r="A740" s="7" t="s">
        <v>2112</v>
      </c>
      <c r="B740" s="8" t="s">
        <v>7098</v>
      </c>
      <c r="C740" s="9" t="s">
        <v>3481</v>
      </c>
      <c r="D740" s="104"/>
      <c r="E740" s="104"/>
      <c r="F740" s="105">
        <f t="shared" si="23"/>
        <v>0</v>
      </c>
      <c r="G740" s="106">
        <f t="shared" si="22"/>
        <v>0</v>
      </c>
      <c r="H740" s="81">
        <v>0.35460000000000003</v>
      </c>
      <c r="I740" s="2619" t="s">
        <v>1146</v>
      </c>
    </row>
    <row r="741" spans="1:9" ht="16.5">
      <c r="A741" s="7" t="s">
        <v>2113</v>
      </c>
      <c r="B741" s="8" t="s">
        <v>7099</v>
      </c>
      <c r="C741" s="9" t="s">
        <v>3481</v>
      </c>
      <c r="D741" s="104"/>
      <c r="E741" s="104"/>
      <c r="F741" s="105">
        <f t="shared" si="23"/>
        <v>0</v>
      </c>
      <c r="G741" s="106">
        <f t="shared" si="22"/>
        <v>0</v>
      </c>
      <c r="H741" s="81">
        <v>1.1638999999999999</v>
      </c>
      <c r="I741" s="2619" t="s">
        <v>1146</v>
      </c>
    </row>
    <row r="742" spans="1:9" ht="16.5">
      <c r="A742" s="7" t="s">
        <v>2114</v>
      </c>
      <c r="B742" s="8" t="s">
        <v>7100</v>
      </c>
      <c r="C742" s="9" t="s">
        <v>3481</v>
      </c>
      <c r="D742" s="104"/>
      <c r="E742" s="104"/>
      <c r="F742" s="105">
        <f t="shared" si="23"/>
        <v>0</v>
      </c>
      <c r="G742" s="106">
        <f t="shared" si="22"/>
        <v>0</v>
      </c>
      <c r="H742" s="81">
        <v>1.5474000000000001</v>
      </c>
      <c r="I742" s="2619" t="s">
        <v>1146</v>
      </c>
    </row>
    <row r="743" spans="1:9" ht="16.5">
      <c r="A743" s="7" t="s">
        <v>2115</v>
      </c>
      <c r="B743" s="8" t="s">
        <v>7101</v>
      </c>
      <c r="C743" s="9" t="s">
        <v>3481</v>
      </c>
      <c r="D743" s="104"/>
      <c r="E743" s="104"/>
      <c r="F743" s="105">
        <f t="shared" si="23"/>
        <v>0</v>
      </c>
      <c r="G743" s="106">
        <f t="shared" si="22"/>
        <v>0</v>
      </c>
      <c r="H743" s="81">
        <v>0.10199999999999999</v>
      </c>
      <c r="I743" s="2619" t="s">
        <v>1146</v>
      </c>
    </row>
    <row r="744" spans="1:9" ht="16.5">
      <c r="A744" s="7" t="s">
        <v>2116</v>
      </c>
      <c r="B744" s="8" t="s">
        <v>7102</v>
      </c>
      <c r="C744" s="9" t="s">
        <v>3481</v>
      </c>
      <c r="D744" s="104"/>
      <c r="E744" s="104"/>
      <c r="F744" s="105">
        <f t="shared" si="23"/>
        <v>0</v>
      </c>
      <c r="G744" s="106">
        <f t="shared" si="22"/>
        <v>0</v>
      </c>
      <c r="H744" s="81">
        <v>0.31069999999999998</v>
      </c>
      <c r="I744" s="2619" t="s">
        <v>1146</v>
      </c>
    </row>
    <row r="745" spans="1:9" ht="16.5">
      <c r="A745" s="7" t="s">
        <v>3394</v>
      </c>
      <c r="B745" s="8" t="s">
        <v>7103</v>
      </c>
      <c r="C745" s="9" t="s">
        <v>3481</v>
      </c>
      <c r="D745" s="104"/>
      <c r="E745" s="104"/>
      <c r="F745" s="105">
        <f t="shared" si="23"/>
        <v>0</v>
      </c>
      <c r="G745" s="106">
        <f t="shared" si="22"/>
        <v>0</v>
      </c>
      <c r="H745" s="81">
        <v>1.0109999999999999</v>
      </c>
      <c r="I745" s="2619" t="s">
        <v>1146</v>
      </c>
    </row>
    <row r="746" spans="1:9" ht="16.5">
      <c r="A746" s="7" t="s">
        <v>2117</v>
      </c>
      <c r="B746" s="8" t="s">
        <v>7104</v>
      </c>
      <c r="C746" s="9" t="s">
        <v>3481</v>
      </c>
      <c r="D746" s="104"/>
      <c r="E746" s="104"/>
      <c r="F746" s="105">
        <f t="shared" si="23"/>
        <v>0</v>
      </c>
      <c r="G746" s="106">
        <f t="shared" si="22"/>
        <v>0</v>
      </c>
      <c r="H746" s="81">
        <v>0.21479999999999999</v>
      </c>
      <c r="I746" s="2619" t="s">
        <v>1146</v>
      </c>
    </row>
    <row r="747" spans="1:9" ht="16.5">
      <c r="A747" s="7" t="s">
        <v>2118</v>
      </c>
      <c r="B747" s="8" t="s">
        <v>7105</v>
      </c>
      <c r="C747" s="9" t="s">
        <v>3481</v>
      </c>
      <c r="D747" s="104"/>
      <c r="E747" s="104"/>
      <c r="F747" s="105">
        <f t="shared" si="23"/>
        <v>0</v>
      </c>
      <c r="G747" s="106">
        <f t="shared" si="22"/>
        <v>0</v>
      </c>
      <c r="H747" s="81">
        <v>0.28039999999999998</v>
      </c>
      <c r="I747" s="2619" t="s">
        <v>1146</v>
      </c>
    </row>
    <row r="748" spans="1:9" ht="16.5">
      <c r="A748" s="7" t="s">
        <v>2119</v>
      </c>
      <c r="B748" s="8" t="s">
        <v>7106</v>
      </c>
      <c r="C748" s="9" t="s">
        <v>3481</v>
      </c>
      <c r="D748" s="104"/>
      <c r="E748" s="104"/>
      <c r="F748" s="105">
        <f t="shared" si="23"/>
        <v>0</v>
      </c>
      <c r="G748" s="106">
        <f t="shared" si="22"/>
        <v>0</v>
      </c>
      <c r="H748" s="81">
        <v>0.50790000000000002</v>
      </c>
      <c r="I748" s="2619" t="s">
        <v>1146</v>
      </c>
    </row>
    <row r="749" spans="1:9" ht="16.5">
      <c r="A749" s="7" t="s">
        <v>2120</v>
      </c>
      <c r="B749" s="8" t="s">
        <v>7107</v>
      </c>
      <c r="C749" s="9" t="s">
        <v>3481</v>
      </c>
      <c r="D749" s="104"/>
      <c r="E749" s="104"/>
      <c r="F749" s="105">
        <f t="shared" si="23"/>
        <v>0</v>
      </c>
      <c r="G749" s="106">
        <f t="shared" si="22"/>
        <v>0</v>
      </c>
      <c r="H749" s="81">
        <v>0.44829999999999998</v>
      </c>
      <c r="I749" s="2619" t="s">
        <v>1146</v>
      </c>
    </row>
    <row r="750" spans="1:9" ht="16.5">
      <c r="A750" s="7" t="s">
        <v>2121</v>
      </c>
      <c r="B750" s="8" t="s">
        <v>7108</v>
      </c>
      <c r="C750" s="9" t="s">
        <v>3481</v>
      </c>
      <c r="D750" s="104"/>
      <c r="E750" s="104"/>
      <c r="F750" s="105">
        <f t="shared" si="23"/>
        <v>0</v>
      </c>
      <c r="G750" s="106">
        <f t="shared" si="22"/>
        <v>0</v>
      </c>
      <c r="H750" s="81">
        <v>0.54649999999999999</v>
      </c>
      <c r="I750" s="2619" t="s">
        <v>1146</v>
      </c>
    </row>
    <row r="751" spans="1:9" ht="16.5">
      <c r="A751" s="7" t="s">
        <v>2122</v>
      </c>
      <c r="B751" s="8" t="s">
        <v>7109</v>
      </c>
      <c r="C751" s="9" t="s">
        <v>3481</v>
      </c>
      <c r="D751" s="104"/>
      <c r="E751" s="104"/>
      <c r="F751" s="105">
        <f t="shared" si="23"/>
        <v>0</v>
      </c>
      <c r="G751" s="106">
        <f t="shared" si="22"/>
        <v>0</v>
      </c>
      <c r="H751" s="81">
        <v>0.98340000000000005</v>
      </c>
      <c r="I751" s="2619" t="s">
        <v>1146</v>
      </c>
    </row>
    <row r="752" spans="1:9" ht="16.5">
      <c r="A752" s="7" t="s">
        <v>2123</v>
      </c>
      <c r="B752" s="8" t="s">
        <v>7110</v>
      </c>
      <c r="C752" s="9" t="s">
        <v>3481</v>
      </c>
      <c r="D752" s="104"/>
      <c r="E752" s="104"/>
      <c r="F752" s="105">
        <f t="shared" si="23"/>
        <v>0</v>
      </c>
      <c r="G752" s="106">
        <f t="shared" si="22"/>
        <v>0</v>
      </c>
      <c r="H752" s="81">
        <v>1.2103999999999999</v>
      </c>
      <c r="I752" s="2619" t="s">
        <v>1146</v>
      </c>
    </row>
    <row r="753" spans="1:9" ht="16.5">
      <c r="A753" s="7" t="s">
        <v>2124</v>
      </c>
      <c r="B753" s="8" t="s">
        <v>7111</v>
      </c>
      <c r="C753" s="9" t="s">
        <v>3481</v>
      </c>
      <c r="D753" s="104"/>
      <c r="E753" s="104"/>
      <c r="F753" s="105">
        <f t="shared" si="23"/>
        <v>0</v>
      </c>
      <c r="G753" s="106">
        <f t="shared" si="22"/>
        <v>0</v>
      </c>
      <c r="H753" s="81">
        <v>1.1011</v>
      </c>
      <c r="I753" s="2619" t="s">
        <v>1146</v>
      </c>
    </row>
    <row r="754" spans="1:9" ht="16.5">
      <c r="A754" s="7" t="s">
        <v>2125</v>
      </c>
      <c r="B754" s="8" t="s">
        <v>7112</v>
      </c>
      <c r="C754" s="9" t="s">
        <v>3481</v>
      </c>
      <c r="D754" s="104"/>
      <c r="E754" s="104"/>
      <c r="F754" s="105">
        <f t="shared" si="23"/>
        <v>0</v>
      </c>
      <c r="G754" s="106">
        <f t="shared" si="22"/>
        <v>0</v>
      </c>
      <c r="H754" s="81">
        <v>0.21410000000000001</v>
      </c>
      <c r="I754" s="2619" t="s">
        <v>1146</v>
      </c>
    </row>
    <row r="755" spans="1:9" ht="16.5">
      <c r="A755" s="7" t="s">
        <v>2126</v>
      </c>
      <c r="B755" s="8" t="s">
        <v>7113</v>
      </c>
      <c r="C755" s="9" t="s">
        <v>3481</v>
      </c>
      <c r="D755" s="104"/>
      <c r="E755" s="104"/>
      <c r="F755" s="105">
        <f t="shared" si="23"/>
        <v>0</v>
      </c>
      <c r="G755" s="106">
        <f t="shared" si="22"/>
        <v>0</v>
      </c>
      <c r="H755" s="81">
        <v>0.41949999999999998</v>
      </c>
      <c r="I755" s="2619" t="s">
        <v>1146</v>
      </c>
    </row>
    <row r="756" spans="1:9" ht="16.5">
      <c r="A756" s="7" t="s">
        <v>2127</v>
      </c>
      <c r="B756" s="8" t="s">
        <v>7114</v>
      </c>
      <c r="C756" s="9" t="s">
        <v>3481</v>
      </c>
      <c r="D756" s="104"/>
      <c r="E756" s="104"/>
      <c r="F756" s="105">
        <f t="shared" si="23"/>
        <v>0</v>
      </c>
      <c r="G756" s="106">
        <f t="shared" si="22"/>
        <v>0</v>
      </c>
      <c r="H756" s="81">
        <v>0.52710000000000001</v>
      </c>
      <c r="I756" s="2619" t="s">
        <v>1146</v>
      </c>
    </row>
    <row r="757" spans="1:9" ht="16.5">
      <c r="A757" s="7" t="s">
        <v>2128</v>
      </c>
      <c r="B757" s="8" t="s">
        <v>7115</v>
      </c>
      <c r="C757" s="9" t="s">
        <v>3481</v>
      </c>
      <c r="D757" s="104"/>
      <c r="E757" s="104"/>
      <c r="F757" s="105">
        <f t="shared" si="23"/>
        <v>0</v>
      </c>
      <c r="G757" s="106">
        <f t="shared" si="22"/>
        <v>0</v>
      </c>
      <c r="H757" s="81">
        <v>0.6351</v>
      </c>
      <c r="I757" s="2619" t="s">
        <v>1146</v>
      </c>
    </row>
    <row r="758" spans="1:9" ht="16.5">
      <c r="A758" s="7" t="s">
        <v>2129</v>
      </c>
      <c r="B758" s="8" t="s">
        <v>7116</v>
      </c>
      <c r="C758" s="9" t="s">
        <v>3481</v>
      </c>
      <c r="D758" s="104"/>
      <c r="E758" s="104"/>
      <c r="F758" s="105">
        <f t="shared" si="23"/>
        <v>0</v>
      </c>
      <c r="G758" s="106">
        <f t="shared" si="22"/>
        <v>0</v>
      </c>
      <c r="H758" s="81">
        <v>0.33900000000000002</v>
      </c>
      <c r="I758" s="2619" t="s">
        <v>1146</v>
      </c>
    </row>
    <row r="759" spans="1:9" ht="16.5">
      <c r="A759" s="7" t="s">
        <v>2130</v>
      </c>
      <c r="B759" s="8" t="s">
        <v>7117</v>
      </c>
      <c r="C759" s="9" t="s">
        <v>3481</v>
      </c>
      <c r="D759" s="104"/>
      <c r="E759" s="104"/>
      <c r="F759" s="105">
        <f t="shared" si="23"/>
        <v>0</v>
      </c>
      <c r="G759" s="106">
        <f t="shared" si="22"/>
        <v>0</v>
      </c>
      <c r="H759" s="81">
        <v>0.3483</v>
      </c>
      <c r="I759" s="2619" t="s">
        <v>1146</v>
      </c>
    </row>
    <row r="760" spans="1:9" ht="16.5">
      <c r="A760" s="7" t="s">
        <v>2131</v>
      </c>
      <c r="B760" s="8" t="s">
        <v>7118</v>
      </c>
      <c r="C760" s="9" t="s">
        <v>3481</v>
      </c>
      <c r="D760" s="104"/>
      <c r="E760" s="104"/>
      <c r="F760" s="105">
        <f t="shared" si="23"/>
        <v>0</v>
      </c>
      <c r="G760" s="106">
        <f t="shared" si="22"/>
        <v>0</v>
      </c>
      <c r="H760" s="81">
        <v>0.58489999999999998</v>
      </c>
      <c r="I760" s="2619" t="s">
        <v>1146</v>
      </c>
    </row>
    <row r="761" spans="1:9" ht="16.5">
      <c r="A761" s="7" t="s">
        <v>2132</v>
      </c>
      <c r="B761" s="8" t="s">
        <v>7119</v>
      </c>
      <c r="C761" s="9" t="s">
        <v>3481</v>
      </c>
      <c r="D761" s="104"/>
      <c r="E761" s="104"/>
      <c r="F761" s="105">
        <f t="shared" si="23"/>
        <v>0</v>
      </c>
      <c r="G761" s="106">
        <f t="shared" si="22"/>
        <v>0</v>
      </c>
      <c r="H761" s="81">
        <v>0.66739999999999999</v>
      </c>
      <c r="I761" s="2619" t="s">
        <v>1146</v>
      </c>
    </row>
    <row r="762" spans="1:9" ht="16.5">
      <c r="A762" s="7" t="s">
        <v>2133</v>
      </c>
      <c r="B762" s="8" t="s">
        <v>7120</v>
      </c>
      <c r="C762" s="9" t="s">
        <v>3481</v>
      </c>
      <c r="D762" s="104"/>
      <c r="E762" s="104"/>
      <c r="F762" s="105">
        <f t="shared" si="23"/>
        <v>0</v>
      </c>
      <c r="G762" s="106">
        <f t="shared" si="22"/>
        <v>0</v>
      </c>
      <c r="H762" s="81">
        <v>0.92589999999999995</v>
      </c>
      <c r="I762" s="2619" t="s">
        <v>1146</v>
      </c>
    </row>
    <row r="763" spans="1:9" ht="16.5">
      <c r="A763" s="7" t="s">
        <v>2134</v>
      </c>
      <c r="B763" s="8" t="s">
        <v>7121</v>
      </c>
      <c r="C763" s="9" t="s">
        <v>3481</v>
      </c>
      <c r="D763" s="104"/>
      <c r="E763" s="104"/>
      <c r="F763" s="105">
        <f t="shared" si="23"/>
        <v>0</v>
      </c>
      <c r="G763" s="106">
        <f t="shared" si="22"/>
        <v>0</v>
      </c>
      <c r="H763" s="81">
        <v>0.43430000000000002</v>
      </c>
      <c r="I763" s="2619" t="s">
        <v>1146</v>
      </c>
    </row>
    <row r="764" spans="1:9" ht="16.5">
      <c r="A764" s="7" t="s">
        <v>2135</v>
      </c>
      <c r="B764" s="8" t="s">
        <v>7122</v>
      </c>
      <c r="C764" s="9" t="s">
        <v>3481</v>
      </c>
      <c r="D764" s="104"/>
      <c r="E764" s="104"/>
      <c r="F764" s="105">
        <f t="shared" si="23"/>
        <v>0</v>
      </c>
      <c r="G764" s="106">
        <f t="shared" si="22"/>
        <v>0</v>
      </c>
      <c r="H764" s="81">
        <v>0.872</v>
      </c>
      <c r="I764" s="2619" t="s">
        <v>1146</v>
      </c>
    </row>
    <row r="765" spans="1:9" ht="16.5">
      <c r="A765" s="7" t="s">
        <v>2136</v>
      </c>
      <c r="B765" s="8" t="s">
        <v>7123</v>
      </c>
      <c r="C765" s="9" t="s">
        <v>3481</v>
      </c>
      <c r="D765" s="104"/>
      <c r="E765" s="104"/>
      <c r="F765" s="105">
        <f t="shared" si="23"/>
        <v>0</v>
      </c>
      <c r="G765" s="106">
        <f t="shared" si="22"/>
        <v>0</v>
      </c>
      <c r="H765" s="81">
        <v>1.0057</v>
      </c>
      <c r="I765" s="2619" t="s">
        <v>1146</v>
      </c>
    </row>
    <row r="766" spans="1:9" ht="16.5">
      <c r="A766" s="7" t="s">
        <v>2137</v>
      </c>
      <c r="B766" s="8" t="s">
        <v>7124</v>
      </c>
      <c r="C766" s="9" t="s">
        <v>3481</v>
      </c>
      <c r="D766" s="104"/>
      <c r="E766" s="104"/>
      <c r="F766" s="105">
        <f t="shared" si="23"/>
        <v>0</v>
      </c>
      <c r="G766" s="106">
        <f t="shared" si="22"/>
        <v>0</v>
      </c>
      <c r="H766" s="81">
        <v>1.2181999999999999</v>
      </c>
      <c r="I766" s="2619" t="s">
        <v>1146</v>
      </c>
    </row>
    <row r="767" spans="1:9" ht="16.5">
      <c r="A767" s="7" t="s">
        <v>2138</v>
      </c>
      <c r="B767" s="8" t="s">
        <v>7125</v>
      </c>
      <c r="C767" s="9" t="s">
        <v>3481</v>
      </c>
      <c r="D767" s="104"/>
      <c r="E767" s="104"/>
      <c r="F767" s="105">
        <f t="shared" si="23"/>
        <v>0</v>
      </c>
      <c r="G767" s="106">
        <f t="shared" si="22"/>
        <v>0</v>
      </c>
      <c r="H767" s="81">
        <v>0.8286</v>
      </c>
      <c r="I767" s="2619" t="s">
        <v>1146</v>
      </c>
    </row>
    <row r="768" spans="1:9" ht="16.5">
      <c r="A768" s="7" t="s">
        <v>2139</v>
      </c>
      <c r="B768" s="8" t="s">
        <v>7126</v>
      </c>
      <c r="C768" s="9" t="s">
        <v>3481</v>
      </c>
      <c r="D768" s="104"/>
      <c r="E768" s="104"/>
      <c r="F768" s="105">
        <f t="shared" si="23"/>
        <v>0</v>
      </c>
      <c r="G768" s="106">
        <f t="shared" si="22"/>
        <v>0</v>
      </c>
      <c r="H768" s="81">
        <v>1.2234</v>
      </c>
      <c r="I768" s="2619" t="s">
        <v>1146</v>
      </c>
    </row>
    <row r="769" spans="1:9" ht="16.5">
      <c r="A769" s="7" t="s">
        <v>2140</v>
      </c>
      <c r="B769" s="8" t="s">
        <v>7127</v>
      </c>
      <c r="C769" s="9" t="s">
        <v>3481</v>
      </c>
      <c r="D769" s="104"/>
      <c r="E769" s="104"/>
      <c r="F769" s="105">
        <f t="shared" si="23"/>
        <v>0</v>
      </c>
      <c r="G769" s="106">
        <f t="shared" si="22"/>
        <v>0</v>
      </c>
      <c r="H769" s="81">
        <v>0.76590000000000003</v>
      </c>
      <c r="I769" s="2619" t="s">
        <v>1146</v>
      </c>
    </row>
    <row r="770" spans="1:9" ht="16.5">
      <c r="A770" s="7" t="s">
        <v>2141</v>
      </c>
      <c r="B770" s="8" t="s">
        <v>7128</v>
      </c>
      <c r="C770" s="9" t="s">
        <v>3481</v>
      </c>
      <c r="D770" s="104"/>
      <c r="E770" s="104"/>
      <c r="F770" s="105">
        <f t="shared" si="23"/>
        <v>0</v>
      </c>
      <c r="G770" s="106">
        <f t="shared" si="22"/>
        <v>0</v>
      </c>
      <c r="H770" s="81">
        <v>0.30099999999999999</v>
      </c>
      <c r="I770" s="2619" t="s">
        <v>1146</v>
      </c>
    </row>
    <row r="771" spans="1:9" ht="16.5">
      <c r="A771" s="7" t="s">
        <v>2142</v>
      </c>
      <c r="B771" s="8" t="s">
        <v>7129</v>
      </c>
      <c r="C771" s="9" t="s">
        <v>3481</v>
      </c>
      <c r="D771" s="104"/>
      <c r="E771" s="104"/>
      <c r="F771" s="105">
        <f t="shared" si="23"/>
        <v>0</v>
      </c>
      <c r="G771" s="106">
        <f t="shared" si="22"/>
        <v>0</v>
      </c>
      <c r="H771" s="81">
        <v>0.14360000000000001</v>
      </c>
      <c r="I771" s="2619" t="s">
        <v>1146</v>
      </c>
    </row>
    <row r="772" spans="1:9" ht="16.5">
      <c r="A772" s="7" t="s">
        <v>2143</v>
      </c>
      <c r="B772" s="8" t="s">
        <v>7130</v>
      </c>
      <c r="C772" s="9" t="s">
        <v>3481</v>
      </c>
      <c r="D772" s="104"/>
      <c r="E772" s="104"/>
      <c r="F772" s="105">
        <f t="shared" si="23"/>
        <v>0</v>
      </c>
      <c r="G772" s="106">
        <f t="shared" ref="G772:G835" si="24">IF($F$1265=0,0,F772/$F$1265)</f>
        <v>0</v>
      </c>
      <c r="H772" s="81">
        <v>0.27250000000000002</v>
      </c>
      <c r="I772" s="2619" t="s">
        <v>1146</v>
      </c>
    </row>
    <row r="773" spans="1:9" ht="16.5">
      <c r="A773" s="7" t="s">
        <v>2144</v>
      </c>
      <c r="B773" s="8" t="s">
        <v>7131</v>
      </c>
      <c r="C773" s="9" t="s">
        <v>3481</v>
      </c>
      <c r="D773" s="104"/>
      <c r="E773" s="104"/>
      <c r="F773" s="105">
        <f t="shared" ref="F773:F836" si="25">D773*E773</f>
        <v>0</v>
      </c>
      <c r="G773" s="106">
        <f t="shared" si="24"/>
        <v>0</v>
      </c>
      <c r="H773" s="81">
        <v>0.96689999999999998</v>
      </c>
      <c r="I773" s="2619" t="s">
        <v>1146</v>
      </c>
    </row>
    <row r="774" spans="1:9" ht="16.5">
      <c r="A774" s="7" t="s">
        <v>2145</v>
      </c>
      <c r="B774" s="8" t="s">
        <v>7132</v>
      </c>
      <c r="C774" s="9" t="s">
        <v>3481</v>
      </c>
      <c r="D774" s="104"/>
      <c r="E774" s="104"/>
      <c r="F774" s="105">
        <f t="shared" si="25"/>
        <v>0</v>
      </c>
      <c r="G774" s="106">
        <f t="shared" si="24"/>
        <v>0</v>
      </c>
      <c r="H774" s="81">
        <v>0.73</v>
      </c>
      <c r="I774" s="2619" t="s">
        <v>1146</v>
      </c>
    </row>
    <row r="775" spans="1:9" ht="16.5">
      <c r="A775" s="7" t="s">
        <v>3395</v>
      </c>
      <c r="B775" s="8" t="s">
        <v>7133</v>
      </c>
      <c r="C775" s="9" t="s">
        <v>3481</v>
      </c>
      <c r="D775" s="104"/>
      <c r="E775" s="104"/>
      <c r="F775" s="105">
        <f t="shared" si="25"/>
        <v>0</v>
      </c>
      <c r="G775" s="106">
        <f t="shared" si="24"/>
        <v>0</v>
      </c>
      <c r="H775" s="81">
        <v>0.80579999999999996</v>
      </c>
      <c r="I775" s="2619" t="s">
        <v>1146</v>
      </c>
    </row>
    <row r="776" spans="1:9" ht="16.5">
      <c r="A776" s="7" t="s">
        <v>2146</v>
      </c>
      <c r="B776" s="8" t="s">
        <v>7134</v>
      </c>
      <c r="C776" s="9" t="s">
        <v>3481</v>
      </c>
      <c r="D776" s="104"/>
      <c r="E776" s="104"/>
      <c r="F776" s="105">
        <f t="shared" si="25"/>
        <v>0</v>
      </c>
      <c r="G776" s="106">
        <f t="shared" si="24"/>
        <v>0</v>
      </c>
      <c r="H776" s="81">
        <v>0.45710000000000001</v>
      </c>
      <c r="I776" s="2619" t="s">
        <v>1146</v>
      </c>
    </row>
    <row r="777" spans="1:9" ht="16.5">
      <c r="A777" s="7" t="s">
        <v>2147</v>
      </c>
      <c r="B777" s="8" t="s">
        <v>7135</v>
      </c>
      <c r="C777" s="9" t="s">
        <v>3481</v>
      </c>
      <c r="D777" s="104"/>
      <c r="E777" s="104"/>
      <c r="F777" s="105">
        <f t="shared" si="25"/>
        <v>0</v>
      </c>
      <c r="G777" s="106">
        <f t="shared" si="24"/>
        <v>0</v>
      </c>
      <c r="H777" s="81">
        <v>0.90129999999999999</v>
      </c>
      <c r="I777" s="2619" t="s">
        <v>1146</v>
      </c>
    </row>
    <row r="778" spans="1:9" ht="16.5">
      <c r="A778" s="7" t="s">
        <v>2148</v>
      </c>
      <c r="B778" s="8" t="s">
        <v>7136</v>
      </c>
      <c r="C778" s="9" t="s">
        <v>3481</v>
      </c>
      <c r="D778" s="104"/>
      <c r="E778" s="104"/>
      <c r="F778" s="105">
        <f t="shared" si="25"/>
        <v>0</v>
      </c>
      <c r="G778" s="106">
        <f t="shared" si="24"/>
        <v>0</v>
      </c>
      <c r="H778" s="81">
        <v>0.95889999999999997</v>
      </c>
      <c r="I778" s="2619" t="s">
        <v>1146</v>
      </c>
    </row>
    <row r="779" spans="1:9" ht="16.5">
      <c r="A779" s="7" t="s">
        <v>5005</v>
      </c>
      <c r="B779" s="8" t="s">
        <v>7137</v>
      </c>
      <c r="C779" s="9" t="s">
        <v>3481</v>
      </c>
      <c r="D779" s="104"/>
      <c r="E779" s="104"/>
      <c r="F779" s="105">
        <f t="shared" si="25"/>
        <v>0</v>
      </c>
      <c r="G779" s="106">
        <f t="shared" si="24"/>
        <v>0</v>
      </c>
      <c r="H779" s="81">
        <v>0.38319999999999999</v>
      </c>
      <c r="I779" s="2619" t="s">
        <v>1146</v>
      </c>
    </row>
    <row r="780" spans="1:9" ht="16.5">
      <c r="A780" s="7" t="s">
        <v>2149</v>
      </c>
      <c r="B780" s="8" t="s">
        <v>7138</v>
      </c>
      <c r="C780" s="9" t="s">
        <v>3481</v>
      </c>
      <c r="D780" s="104"/>
      <c r="E780" s="104"/>
      <c r="F780" s="105">
        <f t="shared" si="25"/>
        <v>0</v>
      </c>
      <c r="G780" s="106">
        <f t="shared" si="24"/>
        <v>0</v>
      </c>
      <c r="H780" s="81">
        <v>1.3461000000000001</v>
      </c>
      <c r="I780" s="2619" t="s">
        <v>1146</v>
      </c>
    </row>
    <row r="781" spans="1:9" ht="16.5">
      <c r="A781" s="7" t="s">
        <v>2150</v>
      </c>
      <c r="B781" s="8" t="s">
        <v>7139</v>
      </c>
      <c r="C781" s="9" t="s">
        <v>3481</v>
      </c>
      <c r="D781" s="104"/>
      <c r="E781" s="104"/>
      <c r="F781" s="105">
        <f t="shared" si="25"/>
        <v>0</v>
      </c>
      <c r="G781" s="106">
        <f t="shared" si="24"/>
        <v>0</v>
      </c>
      <c r="H781" s="81">
        <v>1.5861000000000001</v>
      </c>
      <c r="I781" s="2619" t="s">
        <v>1146</v>
      </c>
    </row>
    <row r="782" spans="1:9" ht="16.5">
      <c r="A782" s="7" t="s">
        <v>2151</v>
      </c>
      <c r="B782" s="8" t="s">
        <v>7140</v>
      </c>
      <c r="C782" s="9" t="s">
        <v>3481</v>
      </c>
      <c r="D782" s="104"/>
      <c r="E782" s="104"/>
      <c r="F782" s="105">
        <f t="shared" si="25"/>
        <v>0</v>
      </c>
      <c r="G782" s="106">
        <f t="shared" si="24"/>
        <v>0</v>
      </c>
      <c r="H782" s="81">
        <v>0.19339999999999999</v>
      </c>
      <c r="I782" s="2619" t="s">
        <v>1146</v>
      </c>
    </row>
    <row r="783" spans="1:9" ht="16.5">
      <c r="A783" s="7" t="s">
        <v>2152</v>
      </c>
      <c r="B783" s="8" t="s">
        <v>5006</v>
      </c>
      <c r="C783" s="9" t="s">
        <v>3481</v>
      </c>
      <c r="D783" s="104"/>
      <c r="E783" s="104"/>
      <c r="F783" s="105">
        <f t="shared" si="25"/>
        <v>0</v>
      </c>
      <c r="G783" s="106">
        <f t="shared" si="24"/>
        <v>0</v>
      </c>
      <c r="H783" s="81">
        <v>0.82630000000000003</v>
      </c>
      <c r="I783" s="2619" t="s">
        <v>1146</v>
      </c>
    </row>
    <row r="784" spans="1:9" ht="16.5">
      <c r="A784" s="7" t="s">
        <v>2153</v>
      </c>
      <c r="B784" s="8" t="s">
        <v>7141</v>
      </c>
      <c r="C784" s="9" t="s">
        <v>3481</v>
      </c>
      <c r="D784" s="104"/>
      <c r="E784" s="104"/>
      <c r="F784" s="105">
        <f t="shared" si="25"/>
        <v>0</v>
      </c>
      <c r="G784" s="106">
        <f t="shared" si="24"/>
        <v>0</v>
      </c>
      <c r="H784" s="81">
        <v>0.85670000000000002</v>
      </c>
      <c r="I784" s="2619" t="s">
        <v>1146</v>
      </c>
    </row>
    <row r="785" spans="1:9" ht="16.5">
      <c r="A785" s="7" t="s">
        <v>2154</v>
      </c>
      <c r="B785" s="8" t="s">
        <v>7142</v>
      </c>
      <c r="C785" s="9" t="s">
        <v>3481</v>
      </c>
      <c r="D785" s="104"/>
      <c r="E785" s="104"/>
      <c r="F785" s="105">
        <f t="shared" si="25"/>
        <v>0</v>
      </c>
      <c r="G785" s="106">
        <f t="shared" si="24"/>
        <v>0</v>
      </c>
      <c r="H785" s="81">
        <v>0.60499999999999998</v>
      </c>
      <c r="I785" s="2619" t="s">
        <v>1146</v>
      </c>
    </row>
    <row r="786" spans="1:9" ht="16.5">
      <c r="A786" s="7" t="s">
        <v>5747</v>
      </c>
      <c r="B786" s="8" t="s">
        <v>7143</v>
      </c>
      <c r="C786" s="9" t="s">
        <v>3481</v>
      </c>
      <c r="D786" s="104"/>
      <c r="E786" s="104"/>
      <c r="F786" s="105">
        <f t="shared" si="25"/>
        <v>0</v>
      </c>
      <c r="G786" s="106">
        <f t="shared" si="24"/>
        <v>0</v>
      </c>
      <c r="H786" s="81">
        <v>1</v>
      </c>
      <c r="I786" s="2619" t="s">
        <v>6861</v>
      </c>
    </row>
    <row r="787" spans="1:9" ht="16.5">
      <c r="A787" s="7" t="s">
        <v>2994</v>
      </c>
      <c r="B787" s="8" t="s">
        <v>7144</v>
      </c>
      <c r="C787" s="9" t="s">
        <v>3481</v>
      </c>
      <c r="D787" s="104"/>
      <c r="E787" s="104"/>
      <c r="F787" s="105">
        <f t="shared" si="25"/>
        <v>0</v>
      </c>
      <c r="G787" s="106">
        <f t="shared" si="24"/>
        <v>0</v>
      </c>
      <c r="H787" s="81">
        <v>0.41560000000000002</v>
      </c>
      <c r="I787" s="2619" t="s">
        <v>1146</v>
      </c>
    </row>
    <row r="788" spans="1:9" ht="16.5">
      <c r="A788" s="7" t="s">
        <v>2155</v>
      </c>
      <c r="B788" s="8" t="s">
        <v>7145</v>
      </c>
      <c r="C788" s="9" t="s">
        <v>3481</v>
      </c>
      <c r="D788" s="104"/>
      <c r="E788" s="104"/>
      <c r="F788" s="105">
        <f t="shared" si="25"/>
        <v>0</v>
      </c>
      <c r="G788" s="106">
        <f t="shared" si="24"/>
        <v>0</v>
      </c>
      <c r="H788" s="81">
        <v>0.67530000000000001</v>
      </c>
      <c r="I788" s="2619" t="s">
        <v>1146</v>
      </c>
    </row>
    <row r="789" spans="1:9" ht="16.5">
      <c r="A789" s="7" t="s">
        <v>2156</v>
      </c>
      <c r="B789" s="8" t="s">
        <v>7146</v>
      </c>
      <c r="C789" s="9" t="s">
        <v>3481</v>
      </c>
      <c r="D789" s="104"/>
      <c r="E789" s="104"/>
      <c r="F789" s="105">
        <f t="shared" si="25"/>
        <v>0</v>
      </c>
      <c r="G789" s="106">
        <f t="shared" si="24"/>
        <v>0</v>
      </c>
      <c r="H789" s="81">
        <v>0.67859999999999998</v>
      </c>
      <c r="I789" s="2619" t="s">
        <v>1146</v>
      </c>
    </row>
    <row r="790" spans="1:9" ht="16.5">
      <c r="A790" s="7" t="s">
        <v>2157</v>
      </c>
      <c r="B790" s="8" t="s">
        <v>7147</v>
      </c>
      <c r="C790" s="9" t="s">
        <v>3481</v>
      </c>
      <c r="D790" s="104"/>
      <c r="E790" s="104"/>
      <c r="F790" s="105">
        <f t="shared" si="25"/>
        <v>0</v>
      </c>
      <c r="G790" s="106">
        <f t="shared" si="24"/>
        <v>0</v>
      </c>
      <c r="H790" s="81">
        <v>0.58919999999999995</v>
      </c>
      <c r="I790" s="2619" t="s">
        <v>1146</v>
      </c>
    </row>
    <row r="791" spans="1:9" ht="16.5">
      <c r="A791" s="7" t="s">
        <v>2158</v>
      </c>
      <c r="B791" s="8" t="s">
        <v>7148</v>
      </c>
      <c r="C791" s="9" t="s">
        <v>3481</v>
      </c>
      <c r="D791" s="104"/>
      <c r="E791" s="104"/>
      <c r="F791" s="105">
        <f t="shared" si="25"/>
        <v>0</v>
      </c>
      <c r="G791" s="106">
        <f t="shared" si="24"/>
        <v>0</v>
      </c>
      <c r="H791" s="81">
        <v>0.56440000000000001</v>
      </c>
      <c r="I791" s="2619" t="s">
        <v>1146</v>
      </c>
    </row>
    <row r="792" spans="1:9" ht="16.5">
      <c r="A792" s="7" t="s">
        <v>2159</v>
      </c>
      <c r="B792" s="8" t="s">
        <v>7149</v>
      </c>
      <c r="C792" s="9" t="s">
        <v>3481</v>
      </c>
      <c r="D792" s="104"/>
      <c r="E792" s="104"/>
      <c r="F792" s="105">
        <f t="shared" si="25"/>
        <v>0</v>
      </c>
      <c r="G792" s="106">
        <f t="shared" si="24"/>
        <v>0</v>
      </c>
      <c r="H792" s="81">
        <v>0.70840000000000003</v>
      </c>
      <c r="I792" s="2619" t="s">
        <v>1146</v>
      </c>
    </row>
    <row r="793" spans="1:9" ht="16.5">
      <c r="A793" s="7" t="s">
        <v>2160</v>
      </c>
      <c r="B793" s="8" t="s">
        <v>7150</v>
      </c>
      <c r="C793" s="9" t="s">
        <v>3481</v>
      </c>
      <c r="D793" s="104"/>
      <c r="E793" s="104"/>
      <c r="F793" s="105">
        <f t="shared" si="25"/>
        <v>0</v>
      </c>
      <c r="G793" s="106">
        <f t="shared" si="24"/>
        <v>0</v>
      </c>
      <c r="H793" s="81">
        <v>0.19139999999999999</v>
      </c>
      <c r="I793" s="2619" t="s">
        <v>1146</v>
      </c>
    </row>
    <row r="794" spans="1:9" ht="16.5">
      <c r="A794" s="7" t="s">
        <v>2161</v>
      </c>
      <c r="B794" s="8" t="s">
        <v>7151</v>
      </c>
      <c r="C794" s="9" t="s">
        <v>3481</v>
      </c>
      <c r="D794" s="104"/>
      <c r="E794" s="104"/>
      <c r="F794" s="105">
        <f t="shared" si="25"/>
        <v>0</v>
      </c>
      <c r="G794" s="106">
        <f t="shared" si="24"/>
        <v>0</v>
      </c>
      <c r="H794" s="81">
        <v>0.21940000000000001</v>
      </c>
      <c r="I794" s="2619" t="s">
        <v>1146</v>
      </c>
    </row>
    <row r="795" spans="1:9" ht="16.5">
      <c r="A795" s="7" t="s">
        <v>2162</v>
      </c>
      <c r="B795" s="8" t="s">
        <v>7152</v>
      </c>
      <c r="C795" s="9" t="s">
        <v>3481</v>
      </c>
      <c r="D795" s="104"/>
      <c r="E795" s="104"/>
      <c r="F795" s="105">
        <f t="shared" si="25"/>
        <v>0</v>
      </c>
      <c r="G795" s="106">
        <f t="shared" si="24"/>
        <v>0</v>
      </c>
      <c r="H795" s="81">
        <v>0.29859999999999998</v>
      </c>
      <c r="I795" s="2619" t="s">
        <v>1146</v>
      </c>
    </row>
    <row r="796" spans="1:9" ht="16.5">
      <c r="A796" s="7" t="s">
        <v>2163</v>
      </c>
      <c r="B796" s="8" t="s">
        <v>7153</v>
      </c>
      <c r="C796" s="9" t="s">
        <v>3481</v>
      </c>
      <c r="D796" s="104"/>
      <c r="E796" s="104"/>
      <c r="F796" s="105">
        <f t="shared" si="25"/>
        <v>0</v>
      </c>
      <c r="G796" s="106">
        <f t="shared" si="24"/>
        <v>0</v>
      </c>
      <c r="H796" s="81">
        <v>0.14530000000000001</v>
      </c>
      <c r="I796" s="2619" t="s">
        <v>1146</v>
      </c>
    </row>
    <row r="797" spans="1:9" ht="16.5">
      <c r="A797" s="7" t="s">
        <v>2164</v>
      </c>
      <c r="B797" s="8" t="s">
        <v>7154</v>
      </c>
      <c r="C797" s="9" t="s">
        <v>3481</v>
      </c>
      <c r="D797" s="104"/>
      <c r="E797" s="104"/>
      <c r="F797" s="105">
        <f t="shared" si="25"/>
        <v>0</v>
      </c>
      <c r="G797" s="106">
        <f t="shared" si="24"/>
        <v>0</v>
      </c>
      <c r="H797" s="81">
        <v>0.1454</v>
      </c>
      <c r="I797" s="2619" t="s">
        <v>1146</v>
      </c>
    </row>
    <row r="798" spans="1:9" ht="16.5">
      <c r="A798" s="7" t="s">
        <v>2165</v>
      </c>
      <c r="B798" s="8" t="s">
        <v>7155</v>
      </c>
      <c r="C798" s="9" t="s">
        <v>3481</v>
      </c>
      <c r="D798" s="104"/>
      <c r="E798" s="104"/>
      <c r="F798" s="105">
        <f t="shared" si="25"/>
        <v>0</v>
      </c>
      <c r="G798" s="106">
        <f t="shared" si="24"/>
        <v>0</v>
      </c>
      <c r="H798" s="81">
        <v>0.40479999999999999</v>
      </c>
      <c r="I798" s="2619" t="s">
        <v>1146</v>
      </c>
    </row>
    <row r="799" spans="1:9" ht="16.5">
      <c r="A799" s="7" t="s">
        <v>2166</v>
      </c>
      <c r="B799" s="8" t="s">
        <v>7156</v>
      </c>
      <c r="C799" s="9" t="s">
        <v>3481</v>
      </c>
      <c r="D799" s="104"/>
      <c r="E799" s="104"/>
      <c r="F799" s="105">
        <f t="shared" si="25"/>
        <v>0</v>
      </c>
      <c r="G799" s="106">
        <f t="shared" si="24"/>
        <v>0</v>
      </c>
      <c r="H799" s="81">
        <v>0.32579999999999998</v>
      </c>
      <c r="I799" s="2619" t="s">
        <v>1146</v>
      </c>
    </row>
    <row r="800" spans="1:9" ht="16.5">
      <c r="A800" s="7" t="s">
        <v>2167</v>
      </c>
      <c r="B800" s="8" t="s">
        <v>7157</v>
      </c>
      <c r="C800" s="9" t="s">
        <v>3481</v>
      </c>
      <c r="D800" s="104"/>
      <c r="E800" s="104"/>
      <c r="F800" s="105">
        <f t="shared" si="25"/>
        <v>0</v>
      </c>
      <c r="G800" s="106">
        <f t="shared" si="24"/>
        <v>0</v>
      </c>
      <c r="H800" s="81">
        <v>0.20300000000000001</v>
      </c>
      <c r="I800" s="2619" t="s">
        <v>1146</v>
      </c>
    </row>
    <row r="801" spans="1:9" ht="16.5">
      <c r="A801" s="7" t="s">
        <v>2168</v>
      </c>
      <c r="B801" s="8" t="s">
        <v>7158</v>
      </c>
      <c r="C801" s="9" t="s">
        <v>3481</v>
      </c>
      <c r="D801" s="104"/>
      <c r="E801" s="104"/>
      <c r="F801" s="105">
        <f t="shared" si="25"/>
        <v>0</v>
      </c>
      <c r="G801" s="106">
        <f t="shared" si="24"/>
        <v>0</v>
      </c>
      <c r="H801" s="81">
        <v>0.53879999999999995</v>
      </c>
      <c r="I801" s="2619" t="s">
        <v>1146</v>
      </c>
    </row>
    <row r="802" spans="1:9" ht="16.5">
      <c r="A802" s="7" t="s">
        <v>2590</v>
      </c>
      <c r="B802" s="8" t="s">
        <v>7159</v>
      </c>
      <c r="C802" s="9" t="s">
        <v>3481</v>
      </c>
      <c r="D802" s="104"/>
      <c r="E802" s="104"/>
      <c r="F802" s="105">
        <f t="shared" si="25"/>
        <v>0</v>
      </c>
      <c r="G802" s="106">
        <f t="shared" si="24"/>
        <v>0</v>
      </c>
      <c r="H802" s="81">
        <v>7.5700000000000003E-2</v>
      </c>
      <c r="I802" s="2619" t="s">
        <v>1146</v>
      </c>
    </row>
    <row r="803" spans="1:9" ht="16.5">
      <c r="A803" s="7" t="s">
        <v>2169</v>
      </c>
      <c r="B803" s="8" t="s">
        <v>7160</v>
      </c>
      <c r="C803" s="9" t="s">
        <v>3481</v>
      </c>
      <c r="D803" s="104"/>
      <c r="E803" s="104"/>
      <c r="F803" s="105">
        <f t="shared" si="25"/>
        <v>0</v>
      </c>
      <c r="G803" s="106">
        <f t="shared" si="24"/>
        <v>0</v>
      </c>
      <c r="H803" s="81">
        <v>0.74080000000000001</v>
      </c>
      <c r="I803" s="2619" t="s">
        <v>1146</v>
      </c>
    </row>
    <row r="804" spans="1:9" ht="16.5">
      <c r="A804" s="7" t="s">
        <v>2170</v>
      </c>
      <c r="B804" s="8" t="s">
        <v>7161</v>
      </c>
      <c r="C804" s="9" t="s">
        <v>3481</v>
      </c>
      <c r="D804" s="104"/>
      <c r="E804" s="104"/>
      <c r="F804" s="105">
        <f t="shared" si="25"/>
        <v>0</v>
      </c>
      <c r="G804" s="106">
        <f t="shared" si="24"/>
        <v>0</v>
      </c>
      <c r="H804" s="81">
        <v>0.4254</v>
      </c>
      <c r="I804" s="2619" t="s">
        <v>1146</v>
      </c>
    </row>
    <row r="805" spans="1:9" ht="16.5">
      <c r="A805" s="7" t="s">
        <v>2171</v>
      </c>
      <c r="B805" s="8" t="s">
        <v>7162</v>
      </c>
      <c r="C805" s="9" t="s">
        <v>3481</v>
      </c>
      <c r="D805" s="104"/>
      <c r="E805" s="104"/>
      <c r="F805" s="105">
        <f t="shared" si="25"/>
        <v>0</v>
      </c>
      <c r="G805" s="106">
        <f t="shared" si="24"/>
        <v>0</v>
      </c>
      <c r="H805" s="81">
        <v>0.72460000000000002</v>
      </c>
      <c r="I805" s="2619" t="s">
        <v>1146</v>
      </c>
    </row>
    <row r="806" spans="1:9" ht="16.5">
      <c r="A806" s="7" t="s">
        <v>2172</v>
      </c>
      <c r="B806" s="8" t="s">
        <v>7163</v>
      </c>
      <c r="C806" s="9" t="s">
        <v>3481</v>
      </c>
      <c r="D806" s="104"/>
      <c r="E806" s="104"/>
      <c r="F806" s="105">
        <f t="shared" si="25"/>
        <v>0</v>
      </c>
      <c r="G806" s="106">
        <f t="shared" si="24"/>
        <v>0</v>
      </c>
      <c r="H806" s="81">
        <v>0.93200000000000005</v>
      </c>
      <c r="I806" s="2619" t="s">
        <v>1146</v>
      </c>
    </row>
    <row r="807" spans="1:9" ht="16.5">
      <c r="A807" s="7" t="s">
        <v>2173</v>
      </c>
      <c r="B807" s="8" t="s">
        <v>7164</v>
      </c>
      <c r="C807" s="9" t="s">
        <v>3481</v>
      </c>
      <c r="D807" s="104"/>
      <c r="E807" s="104"/>
      <c r="F807" s="105">
        <f t="shared" si="25"/>
        <v>0</v>
      </c>
      <c r="G807" s="106">
        <f t="shared" si="24"/>
        <v>0</v>
      </c>
      <c r="H807" s="81">
        <v>0.57410000000000005</v>
      </c>
      <c r="I807" s="2619" t="s">
        <v>1146</v>
      </c>
    </row>
    <row r="808" spans="1:9" ht="16.5">
      <c r="A808" s="7" t="s">
        <v>2174</v>
      </c>
      <c r="B808" s="8" t="s">
        <v>7165</v>
      </c>
      <c r="C808" s="9" t="s">
        <v>3481</v>
      </c>
      <c r="D808" s="104"/>
      <c r="E808" s="104"/>
      <c r="F808" s="105">
        <f t="shared" si="25"/>
        <v>0</v>
      </c>
      <c r="G808" s="106">
        <f t="shared" si="24"/>
        <v>0</v>
      </c>
      <c r="H808" s="81">
        <v>0.58099999999999996</v>
      </c>
      <c r="I808" s="2619" t="s">
        <v>1146</v>
      </c>
    </row>
    <row r="809" spans="1:9" ht="16.5">
      <c r="A809" s="7" t="s">
        <v>2175</v>
      </c>
      <c r="B809" s="8" t="s">
        <v>7166</v>
      </c>
      <c r="C809" s="9" t="s">
        <v>3481</v>
      </c>
      <c r="D809" s="104"/>
      <c r="E809" s="104"/>
      <c r="F809" s="105">
        <f t="shared" si="25"/>
        <v>0</v>
      </c>
      <c r="G809" s="106">
        <f t="shared" si="24"/>
        <v>0</v>
      </c>
      <c r="H809" s="81">
        <v>0.1201</v>
      </c>
      <c r="I809" s="2619" t="s">
        <v>1146</v>
      </c>
    </row>
    <row r="810" spans="1:9" ht="16.5">
      <c r="A810" s="7" t="s">
        <v>2176</v>
      </c>
      <c r="B810" s="8" t="s">
        <v>7167</v>
      </c>
      <c r="C810" s="9" t="s">
        <v>3481</v>
      </c>
      <c r="D810" s="104"/>
      <c r="E810" s="104"/>
      <c r="F810" s="105">
        <f t="shared" si="25"/>
        <v>0</v>
      </c>
      <c r="G810" s="106">
        <f t="shared" si="24"/>
        <v>0</v>
      </c>
      <c r="H810" s="81">
        <v>0.44340000000000002</v>
      </c>
      <c r="I810" s="2619" t="s">
        <v>1146</v>
      </c>
    </row>
    <row r="811" spans="1:9" ht="16.5">
      <c r="A811" s="7" t="s">
        <v>2177</v>
      </c>
      <c r="B811" s="8" t="s">
        <v>7168</v>
      </c>
      <c r="C811" s="9" t="s">
        <v>3481</v>
      </c>
      <c r="D811" s="104"/>
      <c r="E811" s="104"/>
      <c r="F811" s="105">
        <f t="shared" si="25"/>
        <v>0</v>
      </c>
      <c r="G811" s="106">
        <f t="shared" si="24"/>
        <v>0</v>
      </c>
      <c r="H811" s="81">
        <v>0.81359999999999999</v>
      </c>
      <c r="I811" s="2619" t="s">
        <v>1146</v>
      </c>
    </row>
    <row r="812" spans="1:9" ht="16.5">
      <c r="A812" s="7" t="s">
        <v>2178</v>
      </c>
      <c r="B812" s="8" t="s">
        <v>7169</v>
      </c>
      <c r="C812" s="9" t="s">
        <v>3481</v>
      </c>
      <c r="D812" s="104"/>
      <c r="E812" s="104"/>
      <c r="F812" s="105">
        <f t="shared" si="25"/>
        <v>0</v>
      </c>
      <c r="G812" s="106">
        <f t="shared" si="24"/>
        <v>0</v>
      </c>
      <c r="H812" s="81">
        <v>0.39400000000000002</v>
      </c>
      <c r="I812" s="2619" t="s">
        <v>1146</v>
      </c>
    </row>
    <row r="813" spans="1:9" ht="16.5">
      <c r="A813" s="7" t="s">
        <v>2179</v>
      </c>
      <c r="B813" s="8" t="s">
        <v>7170</v>
      </c>
      <c r="C813" s="9" t="s">
        <v>3481</v>
      </c>
      <c r="D813" s="104"/>
      <c r="E813" s="104"/>
      <c r="F813" s="105">
        <f t="shared" si="25"/>
        <v>0</v>
      </c>
      <c r="G813" s="106">
        <f t="shared" si="24"/>
        <v>0</v>
      </c>
      <c r="H813" s="81">
        <v>0.36230000000000001</v>
      </c>
      <c r="I813" s="2619" t="s">
        <v>1146</v>
      </c>
    </row>
    <row r="814" spans="1:9" ht="16.5">
      <c r="A814" s="7" t="s">
        <v>2180</v>
      </c>
      <c r="B814" s="8" t="s">
        <v>7171</v>
      </c>
      <c r="C814" s="9" t="s">
        <v>3481</v>
      </c>
      <c r="D814" s="104"/>
      <c r="E814" s="104"/>
      <c r="F814" s="105">
        <f t="shared" si="25"/>
        <v>0</v>
      </c>
      <c r="G814" s="106">
        <f t="shared" si="24"/>
        <v>0</v>
      </c>
      <c r="H814" s="81">
        <v>1.165</v>
      </c>
      <c r="I814" s="2619" t="s">
        <v>1146</v>
      </c>
    </row>
    <row r="815" spans="1:9" ht="16.5">
      <c r="A815" s="7" t="s">
        <v>2181</v>
      </c>
      <c r="B815" s="8" t="s">
        <v>7172</v>
      </c>
      <c r="C815" s="9" t="s">
        <v>3481</v>
      </c>
      <c r="D815" s="104"/>
      <c r="E815" s="104"/>
      <c r="F815" s="105">
        <f t="shared" si="25"/>
        <v>0</v>
      </c>
      <c r="G815" s="106">
        <f t="shared" si="24"/>
        <v>0</v>
      </c>
      <c r="H815" s="81">
        <v>0.111</v>
      </c>
      <c r="I815" s="2619" t="s">
        <v>1146</v>
      </c>
    </row>
    <row r="816" spans="1:9" ht="16.5">
      <c r="A816" s="7" t="s">
        <v>2182</v>
      </c>
      <c r="B816" s="8" t="s">
        <v>7173</v>
      </c>
      <c r="C816" s="9" t="s">
        <v>3481</v>
      </c>
      <c r="D816" s="104"/>
      <c r="E816" s="104"/>
      <c r="F816" s="105">
        <f t="shared" si="25"/>
        <v>0</v>
      </c>
      <c r="G816" s="106">
        <f t="shared" si="24"/>
        <v>0</v>
      </c>
      <c r="H816" s="81">
        <v>1.0428999999999999</v>
      </c>
      <c r="I816" s="2619" t="s">
        <v>1146</v>
      </c>
    </row>
    <row r="817" spans="1:9" ht="16.5">
      <c r="A817" s="7" t="s">
        <v>2183</v>
      </c>
      <c r="B817" s="8" t="s">
        <v>7174</v>
      </c>
      <c r="C817" s="9" t="s">
        <v>3481</v>
      </c>
      <c r="D817" s="104"/>
      <c r="E817" s="104"/>
      <c r="F817" s="105">
        <f t="shared" si="25"/>
        <v>0</v>
      </c>
      <c r="G817" s="106">
        <f t="shared" si="24"/>
        <v>0</v>
      </c>
      <c r="H817" s="81">
        <v>0.91210000000000002</v>
      </c>
      <c r="I817" s="2619" t="s">
        <v>1146</v>
      </c>
    </row>
    <row r="818" spans="1:9" ht="16.5">
      <c r="A818" s="7" t="s">
        <v>2184</v>
      </c>
      <c r="B818" s="8" t="s">
        <v>7175</v>
      </c>
      <c r="C818" s="9" t="s">
        <v>3481</v>
      </c>
      <c r="D818" s="104"/>
      <c r="E818" s="104"/>
      <c r="F818" s="105">
        <f t="shared" si="25"/>
        <v>0</v>
      </c>
      <c r="G818" s="106">
        <f t="shared" si="24"/>
        <v>0</v>
      </c>
      <c r="H818" s="81">
        <v>0.48820000000000002</v>
      </c>
      <c r="I818" s="2619" t="s">
        <v>1146</v>
      </c>
    </row>
    <row r="819" spans="1:9" ht="16.5">
      <c r="A819" s="7" t="s">
        <v>2185</v>
      </c>
      <c r="B819" s="8" t="s">
        <v>7176</v>
      </c>
      <c r="C819" s="9" t="s">
        <v>3481</v>
      </c>
      <c r="D819" s="104"/>
      <c r="E819" s="104"/>
      <c r="F819" s="105">
        <f t="shared" si="25"/>
        <v>0</v>
      </c>
      <c r="G819" s="106">
        <f t="shared" si="24"/>
        <v>0</v>
      </c>
      <c r="H819" s="81">
        <v>0.3402</v>
      </c>
      <c r="I819" s="2619" t="s">
        <v>1146</v>
      </c>
    </row>
    <row r="820" spans="1:9" ht="16.5">
      <c r="A820" s="7" t="s">
        <v>2186</v>
      </c>
      <c r="B820" s="8" t="s">
        <v>7177</v>
      </c>
      <c r="C820" s="9" t="s">
        <v>3481</v>
      </c>
      <c r="D820" s="104"/>
      <c r="E820" s="104"/>
      <c r="F820" s="105">
        <f t="shared" si="25"/>
        <v>0</v>
      </c>
      <c r="G820" s="106">
        <f t="shared" si="24"/>
        <v>0</v>
      </c>
      <c r="H820" s="81">
        <v>0.67779999999999996</v>
      </c>
      <c r="I820" s="2619" t="s">
        <v>1146</v>
      </c>
    </row>
    <row r="821" spans="1:9" ht="16.5">
      <c r="A821" s="7" t="s">
        <v>2187</v>
      </c>
      <c r="B821" s="8" t="s">
        <v>7178</v>
      </c>
      <c r="C821" s="9" t="s">
        <v>3481</v>
      </c>
      <c r="D821" s="104"/>
      <c r="E821" s="104"/>
      <c r="F821" s="105">
        <f t="shared" si="25"/>
        <v>0</v>
      </c>
      <c r="G821" s="106">
        <f t="shared" si="24"/>
        <v>0</v>
      </c>
      <c r="H821" s="81">
        <v>0.1542</v>
      </c>
      <c r="I821" s="2619" t="s">
        <v>1146</v>
      </c>
    </row>
    <row r="822" spans="1:9" ht="16.5">
      <c r="A822" s="7" t="s">
        <v>2188</v>
      </c>
      <c r="B822" s="8" t="s">
        <v>7179</v>
      </c>
      <c r="C822" s="9" t="s">
        <v>3481</v>
      </c>
      <c r="D822" s="104"/>
      <c r="E822" s="104"/>
      <c r="F822" s="105">
        <f t="shared" si="25"/>
        <v>0</v>
      </c>
      <c r="G822" s="106">
        <f t="shared" si="24"/>
        <v>0</v>
      </c>
      <c r="H822" s="81">
        <v>1.0239</v>
      </c>
      <c r="I822" s="2619" t="s">
        <v>1146</v>
      </c>
    </row>
    <row r="823" spans="1:9" ht="16.5">
      <c r="A823" s="7" t="s">
        <v>2189</v>
      </c>
      <c r="B823" s="8" t="s">
        <v>7180</v>
      </c>
      <c r="C823" s="9" t="s">
        <v>3481</v>
      </c>
      <c r="D823" s="104"/>
      <c r="E823" s="104"/>
      <c r="F823" s="105">
        <f t="shared" si="25"/>
        <v>0</v>
      </c>
      <c r="G823" s="106">
        <f t="shared" si="24"/>
        <v>0</v>
      </c>
      <c r="H823" s="81">
        <v>2.12E-2</v>
      </c>
      <c r="I823" s="2619" t="s">
        <v>1146</v>
      </c>
    </row>
    <row r="824" spans="1:9" ht="16.5">
      <c r="A824" s="7" t="s">
        <v>2190</v>
      </c>
      <c r="B824" s="8" t="s">
        <v>7181</v>
      </c>
      <c r="C824" s="9" t="s">
        <v>3481</v>
      </c>
      <c r="D824" s="104"/>
      <c r="E824" s="104"/>
      <c r="F824" s="105">
        <f t="shared" si="25"/>
        <v>0</v>
      </c>
      <c r="G824" s="106">
        <f t="shared" si="24"/>
        <v>0</v>
      </c>
      <c r="H824" s="81">
        <v>0.48970000000000002</v>
      </c>
      <c r="I824" s="2619" t="s">
        <v>1146</v>
      </c>
    </row>
    <row r="825" spans="1:9" ht="16.5">
      <c r="A825" s="7" t="s">
        <v>2191</v>
      </c>
      <c r="B825" s="8" t="s">
        <v>7182</v>
      </c>
      <c r="C825" s="9" t="s">
        <v>3481</v>
      </c>
      <c r="D825" s="104"/>
      <c r="E825" s="104"/>
      <c r="F825" s="105">
        <f t="shared" si="25"/>
        <v>0</v>
      </c>
      <c r="G825" s="106">
        <f t="shared" si="24"/>
        <v>0</v>
      </c>
      <c r="H825" s="81">
        <v>0.52280000000000004</v>
      </c>
      <c r="I825" s="2619" t="s">
        <v>1146</v>
      </c>
    </row>
    <row r="826" spans="1:9" ht="16.5">
      <c r="A826" s="7" t="s">
        <v>2192</v>
      </c>
      <c r="B826" s="8" t="s">
        <v>7183</v>
      </c>
      <c r="C826" s="9" t="s">
        <v>3481</v>
      </c>
      <c r="D826" s="104"/>
      <c r="E826" s="104"/>
      <c r="F826" s="105">
        <f t="shared" si="25"/>
        <v>0</v>
      </c>
      <c r="G826" s="106">
        <f t="shared" si="24"/>
        <v>0</v>
      </c>
      <c r="H826" s="81">
        <v>0.55889999999999995</v>
      </c>
      <c r="I826" s="2619" t="s">
        <v>1146</v>
      </c>
    </row>
    <row r="827" spans="1:9" ht="16.5">
      <c r="A827" s="7" t="s">
        <v>2193</v>
      </c>
      <c r="B827" s="8" t="s">
        <v>7184</v>
      </c>
      <c r="C827" s="9" t="s">
        <v>3481</v>
      </c>
      <c r="D827" s="104"/>
      <c r="E827" s="104"/>
      <c r="F827" s="105">
        <f t="shared" si="25"/>
        <v>0</v>
      </c>
      <c r="G827" s="106">
        <f t="shared" si="24"/>
        <v>0</v>
      </c>
      <c r="H827" s="81">
        <v>0.4743</v>
      </c>
      <c r="I827" s="2619" t="s">
        <v>1146</v>
      </c>
    </row>
    <row r="828" spans="1:9" ht="16.5">
      <c r="A828" s="7" t="s">
        <v>2194</v>
      </c>
      <c r="B828" s="8" t="s">
        <v>7185</v>
      </c>
      <c r="C828" s="9" t="s">
        <v>3481</v>
      </c>
      <c r="D828" s="104"/>
      <c r="E828" s="104"/>
      <c r="F828" s="105">
        <f t="shared" si="25"/>
        <v>0</v>
      </c>
      <c r="G828" s="106">
        <f t="shared" si="24"/>
        <v>0</v>
      </c>
      <c r="H828" s="81">
        <v>0.46739999999999998</v>
      </c>
      <c r="I828" s="2619" t="s">
        <v>1146</v>
      </c>
    </row>
    <row r="829" spans="1:9" ht="16.5">
      <c r="A829" s="7" t="s">
        <v>2195</v>
      </c>
      <c r="B829" s="8" t="s">
        <v>7186</v>
      </c>
      <c r="C829" s="9" t="s">
        <v>3481</v>
      </c>
      <c r="D829" s="104"/>
      <c r="E829" s="104"/>
      <c r="F829" s="105">
        <f t="shared" si="25"/>
        <v>0</v>
      </c>
      <c r="G829" s="106">
        <f t="shared" si="24"/>
        <v>0</v>
      </c>
      <c r="H829" s="81">
        <v>0.21410000000000001</v>
      </c>
      <c r="I829" s="2619" t="s">
        <v>1146</v>
      </c>
    </row>
    <row r="830" spans="1:9" ht="16.5">
      <c r="A830" s="7" t="s">
        <v>2196</v>
      </c>
      <c r="B830" s="8" t="s">
        <v>7187</v>
      </c>
      <c r="C830" s="9" t="s">
        <v>3481</v>
      </c>
      <c r="D830" s="104"/>
      <c r="E830" s="104"/>
      <c r="F830" s="105">
        <f t="shared" si="25"/>
        <v>0</v>
      </c>
      <c r="G830" s="106">
        <f t="shared" si="24"/>
        <v>0</v>
      </c>
      <c r="H830" s="81">
        <v>0.71989999999999998</v>
      </c>
      <c r="I830" s="2619" t="s">
        <v>1146</v>
      </c>
    </row>
    <row r="831" spans="1:9" ht="16.5">
      <c r="A831" s="7" t="s">
        <v>2197</v>
      </c>
      <c r="B831" s="8" t="s">
        <v>7188</v>
      </c>
      <c r="C831" s="9" t="s">
        <v>3481</v>
      </c>
      <c r="D831" s="104"/>
      <c r="E831" s="104"/>
      <c r="F831" s="105">
        <f t="shared" si="25"/>
        <v>0</v>
      </c>
      <c r="G831" s="106">
        <f t="shared" si="24"/>
        <v>0</v>
      </c>
      <c r="H831" s="81">
        <v>0.74719999999999998</v>
      </c>
      <c r="I831" s="2619" t="s">
        <v>1146</v>
      </c>
    </row>
    <row r="832" spans="1:9" ht="16.5">
      <c r="A832" s="7" t="s">
        <v>2198</v>
      </c>
      <c r="B832" s="8" t="s">
        <v>7189</v>
      </c>
      <c r="C832" s="9" t="s">
        <v>3481</v>
      </c>
      <c r="D832" s="104"/>
      <c r="E832" s="104"/>
      <c r="F832" s="105">
        <f t="shared" si="25"/>
        <v>0</v>
      </c>
      <c r="G832" s="106">
        <f t="shared" si="24"/>
        <v>0</v>
      </c>
      <c r="H832" s="81">
        <v>0.1739</v>
      </c>
      <c r="I832" s="2619" t="s">
        <v>1146</v>
      </c>
    </row>
    <row r="833" spans="1:9" ht="16.5">
      <c r="A833" s="7" t="s">
        <v>2199</v>
      </c>
      <c r="B833" s="8" t="s">
        <v>7190</v>
      </c>
      <c r="C833" s="9" t="s">
        <v>3481</v>
      </c>
      <c r="D833" s="104"/>
      <c r="E833" s="104"/>
      <c r="F833" s="105">
        <f t="shared" si="25"/>
        <v>0</v>
      </c>
      <c r="G833" s="106">
        <f t="shared" si="24"/>
        <v>0</v>
      </c>
      <c r="H833" s="81">
        <v>0.13980000000000001</v>
      </c>
      <c r="I833" s="2619" t="s">
        <v>1146</v>
      </c>
    </row>
    <row r="834" spans="1:9" ht="16.5">
      <c r="A834" s="7" t="s">
        <v>2200</v>
      </c>
      <c r="B834" s="8" t="s">
        <v>7191</v>
      </c>
      <c r="C834" s="9" t="s">
        <v>3481</v>
      </c>
      <c r="D834" s="104"/>
      <c r="E834" s="104"/>
      <c r="F834" s="105">
        <f t="shared" si="25"/>
        <v>0</v>
      </c>
      <c r="G834" s="106">
        <f t="shared" si="24"/>
        <v>0</v>
      </c>
      <c r="H834" s="81">
        <v>0.17449999999999999</v>
      </c>
      <c r="I834" s="2619" t="s">
        <v>1146</v>
      </c>
    </row>
    <row r="835" spans="1:9" ht="16.5">
      <c r="A835" s="7" t="s">
        <v>2201</v>
      </c>
      <c r="B835" s="8" t="s">
        <v>7192</v>
      </c>
      <c r="C835" s="9" t="s">
        <v>3481</v>
      </c>
      <c r="D835" s="104"/>
      <c r="E835" s="104"/>
      <c r="F835" s="105">
        <f t="shared" si="25"/>
        <v>0</v>
      </c>
      <c r="G835" s="106">
        <f t="shared" si="24"/>
        <v>0</v>
      </c>
      <c r="H835" s="81">
        <v>0.1082</v>
      </c>
      <c r="I835" s="2619" t="s">
        <v>1146</v>
      </c>
    </row>
    <row r="836" spans="1:9" ht="16.5">
      <c r="A836" s="7" t="s">
        <v>2202</v>
      </c>
      <c r="B836" s="8" t="s">
        <v>7193</v>
      </c>
      <c r="C836" s="9" t="s">
        <v>3481</v>
      </c>
      <c r="D836" s="104"/>
      <c r="E836" s="104"/>
      <c r="F836" s="105">
        <f t="shared" si="25"/>
        <v>0</v>
      </c>
      <c r="G836" s="106">
        <f t="shared" ref="G836:G899" si="26">IF($F$1265=0,0,F836/$F$1265)</f>
        <v>0</v>
      </c>
      <c r="H836" s="81">
        <v>0.24940000000000001</v>
      </c>
      <c r="I836" s="2619" t="s">
        <v>1146</v>
      </c>
    </row>
    <row r="837" spans="1:9" ht="16.5">
      <c r="A837" s="7" t="s">
        <v>2203</v>
      </c>
      <c r="B837" s="8" t="s">
        <v>7194</v>
      </c>
      <c r="C837" s="9" t="s">
        <v>3481</v>
      </c>
      <c r="D837" s="104"/>
      <c r="E837" s="104"/>
      <c r="F837" s="105">
        <f t="shared" ref="F837:F900" si="27">D837*E837</f>
        <v>0</v>
      </c>
      <c r="G837" s="106">
        <f t="shared" si="26"/>
        <v>0</v>
      </c>
      <c r="H837" s="81">
        <v>0.62050000000000005</v>
      </c>
      <c r="I837" s="2619" t="s">
        <v>1146</v>
      </c>
    </row>
    <row r="838" spans="1:9" ht="16.5">
      <c r="A838" s="7" t="s">
        <v>2204</v>
      </c>
      <c r="B838" s="8" t="s">
        <v>7195</v>
      </c>
      <c r="C838" s="9" t="s">
        <v>3481</v>
      </c>
      <c r="D838" s="104"/>
      <c r="E838" s="104"/>
      <c r="F838" s="105">
        <f t="shared" si="27"/>
        <v>0</v>
      </c>
      <c r="G838" s="106">
        <f t="shared" si="26"/>
        <v>0</v>
      </c>
      <c r="H838" s="81">
        <v>0.2974</v>
      </c>
      <c r="I838" s="2619" t="s">
        <v>1146</v>
      </c>
    </row>
    <row r="839" spans="1:9" ht="16.5">
      <c r="A839" s="7" t="s">
        <v>2205</v>
      </c>
      <c r="B839" s="8" t="s">
        <v>7196</v>
      </c>
      <c r="C839" s="9" t="s">
        <v>3481</v>
      </c>
      <c r="D839" s="104"/>
      <c r="E839" s="104"/>
      <c r="F839" s="105">
        <f t="shared" si="27"/>
        <v>0</v>
      </c>
      <c r="G839" s="106">
        <f t="shared" si="26"/>
        <v>0</v>
      </c>
      <c r="H839" s="81">
        <v>0.99609999999999999</v>
      </c>
      <c r="I839" s="2619" t="s">
        <v>1146</v>
      </c>
    </row>
    <row r="840" spans="1:9" ht="16.5">
      <c r="A840" s="7" t="s">
        <v>2206</v>
      </c>
      <c r="B840" s="8" t="s">
        <v>7197</v>
      </c>
      <c r="C840" s="9" t="s">
        <v>3481</v>
      </c>
      <c r="D840" s="104"/>
      <c r="E840" s="104"/>
      <c r="F840" s="105">
        <f t="shared" si="27"/>
        <v>0</v>
      </c>
      <c r="G840" s="106">
        <f t="shared" si="26"/>
        <v>0</v>
      </c>
      <c r="H840" s="81">
        <v>0.96099999999999997</v>
      </c>
      <c r="I840" s="2619" t="s">
        <v>1146</v>
      </c>
    </row>
    <row r="841" spans="1:9" ht="16.5">
      <c r="A841" s="7" t="s">
        <v>2207</v>
      </c>
      <c r="B841" s="8" t="s">
        <v>7198</v>
      </c>
      <c r="C841" s="9" t="s">
        <v>3481</v>
      </c>
      <c r="D841" s="104"/>
      <c r="E841" s="104"/>
      <c r="F841" s="105">
        <f t="shared" si="27"/>
        <v>0</v>
      </c>
      <c r="G841" s="106">
        <f t="shared" si="26"/>
        <v>0</v>
      </c>
      <c r="H841" s="81">
        <v>0.21410000000000001</v>
      </c>
      <c r="I841" s="2619" t="s">
        <v>1146</v>
      </c>
    </row>
    <row r="842" spans="1:9" ht="16.5">
      <c r="A842" s="7" t="s">
        <v>2208</v>
      </c>
      <c r="B842" s="8" t="s">
        <v>7199</v>
      </c>
      <c r="C842" s="9" t="s">
        <v>3481</v>
      </c>
      <c r="D842" s="104"/>
      <c r="E842" s="104"/>
      <c r="F842" s="105">
        <f t="shared" si="27"/>
        <v>0</v>
      </c>
      <c r="G842" s="106">
        <f t="shared" si="26"/>
        <v>0</v>
      </c>
      <c r="H842" s="81">
        <v>0.6845</v>
      </c>
      <c r="I842" s="2619" t="s">
        <v>1146</v>
      </c>
    </row>
    <row r="843" spans="1:9" ht="16.5">
      <c r="A843" s="7" t="s">
        <v>2209</v>
      </c>
      <c r="B843" s="8" t="s">
        <v>7200</v>
      </c>
      <c r="C843" s="9" t="s">
        <v>3481</v>
      </c>
      <c r="D843" s="104"/>
      <c r="E843" s="104"/>
      <c r="F843" s="105">
        <f t="shared" si="27"/>
        <v>0</v>
      </c>
      <c r="G843" s="106">
        <f t="shared" si="26"/>
        <v>0</v>
      </c>
      <c r="H843" s="81">
        <v>0.9708</v>
      </c>
      <c r="I843" s="2619" t="s">
        <v>1146</v>
      </c>
    </row>
    <row r="844" spans="1:9" ht="16.5">
      <c r="A844" s="7" t="s">
        <v>2210</v>
      </c>
      <c r="B844" s="8" t="s">
        <v>7201</v>
      </c>
      <c r="C844" s="9" t="s">
        <v>3481</v>
      </c>
      <c r="D844" s="104"/>
      <c r="E844" s="104"/>
      <c r="F844" s="105">
        <f t="shared" si="27"/>
        <v>0</v>
      </c>
      <c r="G844" s="106">
        <f t="shared" si="26"/>
        <v>0</v>
      </c>
      <c r="H844" s="81">
        <v>0.43809999999999999</v>
      </c>
      <c r="I844" s="2619" t="s">
        <v>1146</v>
      </c>
    </row>
    <row r="845" spans="1:9" ht="16.5">
      <c r="A845" s="7" t="s">
        <v>2211</v>
      </c>
      <c r="B845" s="8" t="s">
        <v>7202</v>
      </c>
      <c r="C845" s="9" t="s">
        <v>3481</v>
      </c>
      <c r="D845" s="104"/>
      <c r="E845" s="104"/>
      <c r="F845" s="105">
        <f t="shared" si="27"/>
        <v>0</v>
      </c>
      <c r="G845" s="106">
        <f t="shared" si="26"/>
        <v>0</v>
      </c>
      <c r="H845" s="81">
        <v>0.63560000000000005</v>
      </c>
      <c r="I845" s="2619" t="s">
        <v>1146</v>
      </c>
    </row>
    <row r="846" spans="1:9" ht="16.5">
      <c r="A846" s="7" t="s">
        <v>2212</v>
      </c>
      <c r="B846" s="8" t="s">
        <v>7203</v>
      </c>
      <c r="C846" s="9" t="s">
        <v>3481</v>
      </c>
      <c r="D846" s="104"/>
      <c r="E846" s="104"/>
      <c r="F846" s="105">
        <f t="shared" si="27"/>
        <v>0</v>
      </c>
      <c r="G846" s="106">
        <f t="shared" si="26"/>
        <v>0</v>
      </c>
      <c r="H846" s="81">
        <v>1.2954000000000001</v>
      </c>
      <c r="I846" s="2619" t="s">
        <v>1146</v>
      </c>
    </row>
    <row r="847" spans="1:9" ht="16.5">
      <c r="A847" s="7" t="s">
        <v>2213</v>
      </c>
      <c r="B847" s="8" t="s">
        <v>7204</v>
      </c>
      <c r="C847" s="9" t="s">
        <v>3481</v>
      </c>
      <c r="D847" s="104"/>
      <c r="E847" s="104"/>
      <c r="F847" s="105">
        <f t="shared" si="27"/>
        <v>0</v>
      </c>
      <c r="G847" s="106">
        <f t="shared" si="26"/>
        <v>0</v>
      </c>
      <c r="H847" s="81">
        <v>0.91679999999999995</v>
      </c>
      <c r="I847" s="2619" t="s">
        <v>1146</v>
      </c>
    </row>
    <row r="848" spans="1:9" ht="16.5">
      <c r="A848" s="7" t="s">
        <v>2214</v>
      </c>
      <c r="B848" s="8" t="s">
        <v>7205</v>
      </c>
      <c r="C848" s="9" t="s">
        <v>3481</v>
      </c>
      <c r="D848" s="104"/>
      <c r="E848" s="104"/>
      <c r="F848" s="105">
        <f t="shared" si="27"/>
        <v>0</v>
      </c>
      <c r="G848" s="106">
        <f t="shared" si="26"/>
        <v>0</v>
      </c>
      <c r="H848" s="81">
        <v>0.73099999999999998</v>
      </c>
      <c r="I848" s="2619" t="s">
        <v>1146</v>
      </c>
    </row>
    <row r="849" spans="1:9" ht="16.5">
      <c r="A849" s="7" t="s">
        <v>2215</v>
      </c>
      <c r="B849" s="8" t="s">
        <v>7206</v>
      </c>
      <c r="C849" s="9" t="s">
        <v>3481</v>
      </c>
      <c r="D849" s="104"/>
      <c r="E849" s="104"/>
      <c r="F849" s="105">
        <f t="shared" si="27"/>
        <v>0</v>
      </c>
      <c r="G849" s="106">
        <f t="shared" si="26"/>
        <v>0</v>
      </c>
      <c r="H849" s="81">
        <v>0.36859999999999998</v>
      </c>
      <c r="I849" s="2619" t="s">
        <v>1146</v>
      </c>
    </row>
    <row r="850" spans="1:9" ht="16.5">
      <c r="A850" s="7" t="s">
        <v>2216</v>
      </c>
      <c r="B850" s="8" t="s">
        <v>7207</v>
      </c>
      <c r="C850" s="9" t="s">
        <v>3481</v>
      </c>
      <c r="D850" s="104"/>
      <c r="E850" s="104"/>
      <c r="F850" s="105">
        <f t="shared" si="27"/>
        <v>0</v>
      </c>
      <c r="G850" s="106">
        <f t="shared" si="26"/>
        <v>0</v>
      </c>
      <c r="H850" s="81">
        <v>0.66069999999999995</v>
      </c>
      <c r="I850" s="2619" t="s">
        <v>1146</v>
      </c>
    </row>
    <row r="851" spans="1:9" ht="16.5">
      <c r="A851" s="7" t="s">
        <v>2217</v>
      </c>
      <c r="B851" s="8" t="s">
        <v>7208</v>
      </c>
      <c r="C851" s="9" t="s">
        <v>3481</v>
      </c>
      <c r="D851" s="104"/>
      <c r="E851" s="104"/>
      <c r="F851" s="105">
        <f t="shared" si="27"/>
        <v>0</v>
      </c>
      <c r="G851" s="106">
        <f t="shared" si="26"/>
        <v>0</v>
      </c>
      <c r="H851" s="81">
        <v>-5.4100000000000002E-2</v>
      </c>
      <c r="I851" s="2619" t="s">
        <v>1146</v>
      </c>
    </row>
    <row r="852" spans="1:9" ht="16.5">
      <c r="A852" s="7" t="s">
        <v>2218</v>
      </c>
      <c r="B852" s="8" t="s">
        <v>7209</v>
      </c>
      <c r="C852" s="9" t="s">
        <v>3481</v>
      </c>
      <c r="D852" s="104"/>
      <c r="E852" s="104"/>
      <c r="F852" s="105">
        <f t="shared" si="27"/>
        <v>0</v>
      </c>
      <c r="G852" s="106">
        <f t="shared" si="26"/>
        <v>0</v>
      </c>
      <c r="H852" s="81">
        <v>0.42570000000000002</v>
      </c>
      <c r="I852" s="2619" t="s">
        <v>1146</v>
      </c>
    </row>
    <row r="853" spans="1:9" ht="16.5">
      <c r="A853" s="7" t="s">
        <v>2219</v>
      </c>
      <c r="B853" s="8" t="s">
        <v>7210</v>
      </c>
      <c r="C853" s="9" t="s">
        <v>3481</v>
      </c>
      <c r="D853" s="104"/>
      <c r="E853" s="104"/>
      <c r="F853" s="105">
        <f t="shared" si="27"/>
        <v>0</v>
      </c>
      <c r="G853" s="106">
        <f t="shared" si="26"/>
        <v>0</v>
      </c>
      <c r="H853" s="81">
        <v>1.3378000000000001</v>
      </c>
      <c r="I853" s="2619" t="s">
        <v>1146</v>
      </c>
    </row>
    <row r="854" spans="1:9" ht="16.5">
      <c r="A854" s="7" t="s">
        <v>2220</v>
      </c>
      <c r="B854" s="8" t="s">
        <v>7211</v>
      </c>
      <c r="C854" s="9" t="s">
        <v>3481</v>
      </c>
      <c r="D854" s="104"/>
      <c r="E854" s="104"/>
      <c r="F854" s="105">
        <f t="shared" si="27"/>
        <v>0</v>
      </c>
      <c r="G854" s="106">
        <f t="shared" si="26"/>
        <v>0</v>
      </c>
      <c r="H854" s="81">
        <v>1.6155999999999999</v>
      </c>
      <c r="I854" s="2619" t="s">
        <v>1146</v>
      </c>
    </row>
    <row r="855" spans="1:9" ht="16.5">
      <c r="A855" s="7" t="s">
        <v>2221</v>
      </c>
      <c r="B855" s="8" t="s">
        <v>7212</v>
      </c>
      <c r="C855" s="9" t="s">
        <v>3481</v>
      </c>
      <c r="D855" s="104"/>
      <c r="E855" s="104"/>
      <c r="F855" s="105">
        <f t="shared" si="27"/>
        <v>0</v>
      </c>
      <c r="G855" s="106">
        <f t="shared" si="26"/>
        <v>0</v>
      </c>
      <c r="H855" s="81">
        <v>0.57699999999999996</v>
      </c>
      <c r="I855" s="2619" t="s">
        <v>1146</v>
      </c>
    </row>
    <row r="856" spans="1:9" ht="16.5">
      <c r="A856" s="7" t="s">
        <v>2222</v>
      </c>
      <c r="B856" s="8" t="s">
        <v>7213</v>
      </c>
      <c r="C856" s="9" t="s">
        <v>3481</v>
      </c>
      <c r="D856" s="104"/>
      <c r="E856" s="104"/>
      <c r="F856" s="105">
        <f t="shared" si="27"/>
        <v>0</v>
      </c>
      <c r="G856" s="106">
        <f t="shared" si="26"/>
        <v>0</v>
      </c>
      <c r="H856" s="81">
        <v>1.1697</v>
      </c>
      <c r="I856" s="2619" t="s">
        <v>1146</v>
      </c>
    </row>
    <row r="857" spans="1:9" ht="16.5">
      <c r="A857" s="7" t="s">
        <v>2223</v>
      </c>
      <c r="B857" s="8" t="s">
        <v>7214</v>
      </c>
      <c r="C857" s="9" t="s">
        <v>3481</v>
      </c>
      <c r="D857" s="104"/>
      <c r="E857" s="104"/>
      <c r="F857" s="105">
        <f t="shared" si="27"/>
        <v>0</v>
      </c>
      <c r="G857" s="106">
        <f t="shared" si="26"/>
        <v>0</v>
      </c>
      <c r="H857" s="81">
        <v>0.56330000000000002</v>
      </c>
      <c r="I857" s="2619" t="s">
        <v>1146</v>
      </c>
    </row>
    <row r="858" spans="1:9" ht="16.5">
      <c r="A858" s="7" t="s">
        <v>2224</v>
      </c>
      <c r="B858" s="8" t="s">
        <v>7215</v>
      </c>
      <c r="C858" s="9" t="s">
        <v>3481</v>
      </c>
      <c r="D858" s="104"/>
      <c r="E858" s="104"/>
      <c r="F858" s="105">
        <f t="shared" si="27"/>
        <v>0</v>
      </c>
      <c r="G858" s="106">
        <f t="shared" si="26"/>
        <v>0</v>
      </c>
      <c r="H858" s="81">
        <v>0.62109999999999999</v>
      </c>
      <c r="I858" s="2619" t="s">
        <v>1146</v>
      </c>
    </row>
    <row r="859" spans="1:9" ht="16.5">
      <c r="A859" s="7" t="s">
        <v>2225</v>
      </c>
      <c r="B859" s="8" t="s">
        <v>7216</v>
      </c>
      <c r="C859" s="9" t="s">
        <v>3481</v>
      </c>
      <c r="D859" s="104"/>
      <c r="E859" s="104"/>
      <c r="F859" s="105">
        <f t="shared" si="27"/>
        <v>0</v>
      </c>
      <c r="G859" s="106">
        <f t="shared" si="26"/>
        <v>0</v>
      </c>
      <c r="H859" s="81">
        <v>0.87690000000000001</v>
      </c>
      <c r="I859" s="2619" t="s">
        <v>1146</v>
      </c>
    </row>
    <row r="860" spans="1:9" ht="16.5">
      <c r="A860" s="7" t="s">
        <v>1147</v>
      </c>
      <c r="B860" s="8" t="s">
        <v>7217</v>
      </c>
      <c r="C860" s="9" t="s">
        <v>3481</v>
      </c>
      <c r="D860" s="104"/>
      <c r="E860" s="104"/>
      <c r="F860" s="105">
        <f t="shared" si="27"/>
        <v>0</v>
      </c>
      <c r="G860" s="106">
        <f t="shared" si="26"/>
        <v>0</v>
      </c>
      <c r="H860" s="81">
        <v>0.26740000000000003</v>
      </c>
      <c r="I860" s="2619" t="s">
        <v>1146</v>
      </c>
    </row>
    <row r="861" spans="1:9" ht="16.5">
      <c r="A861" s="7" t="s">
        <v>2226</v>
      </c>
      <c r="B861" s="8" t="s">
        <v>7218</v>
      </c>
      <c r="C861" s="9" t="s">
        <v>3481</v>
      </c>
      <c r="D861" s="104"/>
      <c r="E861" s="104"/>
      <c r="F861" s="105">
        <f t="shared" si="27"/>
        <v>0</v>
      </c>
      <c r="G861" s="106">
        <f t="shared" si="26"/>
        <v>0</v>
      </c>
      <c r="H861" s="81">
        <v>0.51910000000000001</v>
      </c>
      <c r="I861" s="2619" t="s">
        <v>1146</v>
      </c>
    </row>
    <row r="862" spans="1:9" ht="16.5">
      <c r="A862" s="7" t="s">
        <v>2227</v>
      </c>
      <c r="B862" s="8" t="s">
        <v>7219</v>
      </c>
      <c r="C862" s="9" t="s">
        <v>3481</v>
      </c>
      <c r="D862" s="104"/>
      <c r="E862" s="104"/>
      <c r="F862" s="105">
        <f t="shared" si="27"/>
        <v>0</v>
      </c>
      <c r="G862" s="106">
        <f t="shared" si="26"/>
        <v>0</v>
      </c>
      <c r="H862" s="81">
        <v>9.69E-2</v>
      </c>
      <c r="I862" s="2619" t="s">
        <v>1146</v>
      </c>
    </row>
    <row r="863" spans="1:9" ht="16.5">
      <c r="A863" s="7" t="s">
        <v>2228</v>
      </c>
      <c r="B863" s="8" t="s">
        <v>7220</v>
      </c>
      <c r="C863" s="9" t="s">
        <v>3481</v>
      </c>
      <c r="D863" s="104"/>
      <c r="E863" s="104"/>
      <c r="F863" s="105">
        <f t="shared" si="27"/>
        <v>0</v>
      </c>
      <c r="G863" s="106">
        <f t="shared" si="26"/>
        <v>0</v>
      </c>
      <c r="H863" s="81">
        <v>1.0969</v>
      </c>
      <c r="I863" s="2619" t="s">
        <v>1146</v>
      </c>
    </row>
    <row r="864" spans="1:9" ht="16.5">
      <c r="A864" s="7" t="s">
        <v>2229</v>
      </c>
      <c r="B864" s="8" t="s">
        <v>7221</v>
      </c>
      <c r="C864" s="9" t="s">
        <v>3481</v>
      </c>
      <c r="D864" s="104"/>
      <c r="E864" s="104"/>
      <c r="F864" s="105">
        <f t="shared" si="27"/>
        <v>0</v>
      </c>
      <c r="G864" s="106">
        <f t="shared" si="26"/>
        <v>0</v>
      </c>
      <c r="H864" s="81">
        <v>0.52749999999999997</v>
      </c>
      <c r="I864" s="2619" t="s">
        <v>1146</v>
      </c>
    </row>
    <row r="865" spans="1:9" ht="16.5">
      <c r="A865" s="7" t="s">
        <v>2230</v>
      </c>
      <c r="B865" s="8" t="s">
        <v>7222</v>
      </c>
      <c r="C865" s="9" t="s">
        <v>3481</v>
      </c>
      <c r="D865" s="104"/>
      <c r="E865" s="104"/>
      <c r="F865" s="105">
        <f t="shared" si="27"/>
        <v>0</v>
      </c>
      <c r="G865" s="106">
        <f t="shared" si="26"/>
        <v>0</v>
      </c>
      <c r="H865" s="81">
        <v>1.2126999999999999</v>
      </c>
      <c r="I865" s="2619" t="s">
        <v>1146</v>
      </c>
    </row>
    <row r="866" spans="1:9" ht="16.5">
      <c r="A866" s="7" t="s">
        <v>2231</v>
      </c>
      <c r="B866" s="8" t="s">
        <v>7223</v>
      </c>
      <c r="C866" s="9" t="s">
        <v>3481</v>
      </c>
      <c r="D866" s="104"/>
      <c r="E866" s="104"/>
      <c r="F866" s="105">
        <f t="shared" si="27"/>
        <v>0</v>
      </c>
      <c r="G866" s="106">
        <f t="shared" si="26"/>
        <v>0</v>
      </c>
      <c r="H866" s="81">
        <v>0.52569999999999995</v>
      </c>
      <c r="I866" s="2619" t="s">
        <v>1146</v>
      </c>
    </row>
    <row r="867" spans="1:9" ht="16.5">
      <c r="A867" s="7" t="s">
        <v>2232</v>
      </c>
      <c r="B867" s="8" t="s">
        <v>7224</v>
      </c>
      <c r="C867" s="9" t="s">
        <v>3481</v>
      </c>
      <c r="D867" s="104"/>
      <c r="E867" s="104"/>
      <c r="F867" s="105">
        <f t="shared" si="27"/>
        <v>0</v>
      </c>
      <c r="G867" s="106">
        <f t="shared" si="26"/>
        <v>0</v>
      </c>
      <c r="H867" s="81">
        <v>0.44950000000000001</v>
      </c>
      <c r="I867" s="2619" t="s">
        <v>1146</v>
      </c>
    </row>
    <row r="868" spans="1:9" ht="16.5">
      <c r="A868" s="7" t="s">
        <v>2233</v>
      </c>
      <c r="B868" s="8" t="s">
        <v>7225</v>
      </c>
      <c r="C868" s="9" t="s">
        <v>3481</v>
      </c>
      <c r="D868" s="104"/>
      <c r="E868" s="104"/>
      <c r="F868" s="105">
        <f t="shared" si="27"/>
        <v>0</v>
      </c>
      <c r="G868" s="106">
        <f t="shared" si="26"/>
        <v>0</v>
      </c>
      <c r="H868" s="81">
        <v>1.0009999999999999</v>
      </c>
      <c r="I868" s="2619" t="s">
        <v>1146</v>
      </c>
    </row>
    <row r="869" spans="1:9" ht="16.5">
      <c r="A869" s="7" t="s">
        <v>2234</v>
      </c>
      <c r="B869" s="8" t="s">
        <v>7226</v>
      </c>
      <c r="C869" s="9" t="s">
        <v>3481</v>
      </c>
      <c r="D869" s="104"/>
      <c r="E869" s="104"/>
      <c r="F869" s="105">
        <f t="shared" si="27"/>
        <v>0</v>
      </c>
      <c r="G869" s="106">
        <f t="shared" si="26"/>
        <v>0</v>
      </c>
      <c r="H869" s="81">
        <v>0.71189999999999998</v>
      </c>
      <c r="I869" s="2619" t="s">
        <v>1146</v>
      </c>
    </row>
    <row r="870" spans="1:9" ht="16.5">
      <c r="A870" s="7" t="s">
        <v>2235</v>
      </c>
      <c r="B870" s="8" t="s">
        <v>7227</v>
      </c>
      <c r="C870" s="9" t="s">
        <v>3481</v>
      </c>
      <c r="D870" s="104"/>
      <c r="E870" s="104"/>
      <c r="F870" s="105">
        <f t="shared" si="27"/>
        <v>0</v>
      </c>
      <c r="G870" s="106">
        <f t="shared" si="26"/>
        <v>0</v>
      </c>
      <c r="H870" s="81">
        <v>0.90749999999999997</v>
      </c>
      <c r="I870" s="2619" t="s">
        <v>1146</v>
      </c>
    </row>
    <row r="871" spans="1:9" ht="16.5">
      <c r="A871" s="7" t="s">
        <v>2236</v>
      </c>
      <c r="B871" s="8" t="s">
        <v>7228</v>
      </c>
      <c r="C871" s="9" t="s">
        <v>3481</v>
      </c>
      <c r="D871" s="104"/>
      <c r="E871" s="104"/>
      <c r="F871" s="105">
        <f t="shared" si="27"/>
        <v>0</v>
      </c>
      <c r="G871" s="106">
        <f t="shared" si="26"/>
        <v>0</v>
      </c>
      <c r="H871" s="81">
        <v>1.905</v>
      </c>
      <c r="I871" s="2619" t="s">
        <v>1146</v>
      </c>
    </row>
    <row r="872" spans="1:9" ht="16.5">
      <c r="A872" s="7" t="s">
        <v>2237</v>
      </c>
      <c r="B872" s="8" t="s">
        <v>7229</v>
      </c>
      <c r="C872" s="9" t="s">
        <v>3481</v>
      </c>
      <c r="D872" s="104"/>
      <c r="E872" s="104"/>
      <c r="F872" s="105">
        <f t="shared" si="27"/>
        <v>0</v>
      </c>
      <c r="G872" s="106">
        <f t="shared" si="26"/>
        <v>0</v>
      </c>
      <c r="H872" s="81">
        <v>0.8306</v>
      </c>
      <c r="I872" s="2619" t="s">
        <v>1146</v>
      </c>
    </row>
    <row r="873" spans="1:9" ht="16.5">
      <c r="A873" s="7" t="s">
        <v>3179</v>
      </c>
      <c r="B873" s="8" t="s">
        <v>7230</v>
      </c>
      <c r="C873" s="9" t="s">
        <v>3481</v>
      </c>
      <c r="D873" s="104"/>
      <c r="E873" s="104"/>
      <c r="F873" s="105">
        <f t="shared" si="27"/>
        <v>0</v>
      </c>
      <c r="G873" s="106">
        <f t="shared" si="26"/>
        <v>0</v>
      </c>
      <c r="H873" s="81">
        <v>0.77500000000000002</v>
      </c>
      <c r="I873" s="2619" t="s">
        <v>1146</v>
      </c>
    </row>
    <row r="874" spans="1:9" ht="16.5">
      <c r="A874" s="7" t="s">
        <v>2238</v>
      </c>
      <c r="B874" s="8" t="s">
        <v>7231</v>
      </c>
      <c r="C874" s="9" t="s">
        <v>3481</v>
      </c>
      <c r="D874" s="104"/>
      <c r="E874" s="104"/>
      <c r="F874" s="105">
        <f t="shared" si="27"/>
        <v>0</v>
      </c>
      <c r="G874" s="106">
        <f t="shared" si="26"/>
        <v>0</v>
      </c>
      <c r="H874" s="81">
        <v>-9.4500000000000001E-2</v>
      </c>
      <c r="I874" s="2619" t="s">
        <v>1146</v>
      </c>
    </row>
    <row r="875" spans="1:9" ht="16.5">
      <c r="A875" s="7" t="s">
        <v>3182</v>
      </c>
      <c r="B875" s="8" t="s">
        <v>7232</v>
      </c>
      <c r="C875" s="9" t="s">
        <v>3481</v>
      </c>
      <c r="D875" s="104"/>
      <c r="E875" s="104"/>
      <c r="F875" s="105">
        <f t="shared" si="27"/>
        <v>0</v>
      </c>
      <c r="G875" s="106">
        <f t="shared" si="26"/>
        <v>0</v>
      </c>
      <c r="H875" s="81">
        <v>0.74150000000000005</v>
      </c>
      <c r="I875" s="2619" t="s">
        <v>1146</v>
      </c>
    </row>
    <row r="876" spans="1:9" ht="16.5">
      <c r="A876" s="7" t="s">
        <v>2239</v>
      </c>
      <c r="B876" s="8" t="s">
        <v>7233</v>
      </c>
      <c r="C876" s="9" t="s">
        <v>3481</v>
      </c>
      <c r="D876" s="104"/>
      <c r="E876" s="104"/>
      <c r="F876" s="105">
        <f t="shared" si="27"/>
        <v>0</v>
      </c>
      <c r="G876" s="106">
        <f t="shared" si="26"/>
        <v>0</v>
      </c>
      <c r="H876" s="81">
        <v>0.95020000000000004</v>
      </c>
      <c r="I876" s="2619" t="s">
        <v>1146</v>
      </c>
    </row>
    <row r="877" spans="1:9" ht="16.5">
      <c r="A877" s="7" t="s">
        <v>2240</v>
      </c>
      <c r="B877" s="8" t="s">
        <v>7234</v>
      </c>
      <c r="C877" s="9" t="s">
        <v>3481</v>
      </c>
      <c r="D877" s="104"/>
      <c r="E877" s="104"/>
      <c r="F877" s="105">
        <f t="shared" si="27"/>
        <v>0</v>
      </c>
      <c r="G877" s="106">
        <f t="shared" si="26"/>
        <v>0</v>
      </c>
      <c r="H877" s="81">
        <v>0.63460000000000005</v>
      </c>
      <c r="I877" s="2619" t="s">
        <v>1146</v>
      </c>
    </row>
    <row r="878" spans="1:9" ht="16.5">
      <c r="A878" s="7" t="s">
        <v>2241</v>
      </c>
      <c r="B878" s="8" t="s">
        <v>7235</v>
      </c>
      <c r="C878" s="9" t="s">
        <v>3481</v>
      </c>
      <c r="D878" s="104"/>
      <c r="E878" s="104"/>
      <c r="F878" s="105">
        <f t="shared" si="27"/>
        <v>0</v>
      </c>
      <c r="G878" s="106">
        <f t="shared" si="26"/>
        <v>0</v>
      </c>
      <c r="H878" s="81">
        <v>0.45029999999999998</v>
      </c>
      <c r="I878" s="2619" t="s">
        <v>1146</v>
      </c>
    </row>
    <row r="879" spans="1:9" ht="16.5">
      <c r="A879" s="7" t="s">
        <v>2242</v>
      </c>
      <c r="B879" s="8" t="s">
        <v>7236</v>
      </c>
      <c r="C879" s="9" t="s">
        <v>3481</v>
      </c>
      <c r="D879" s="104"/>
      <c r="E879" s="104"/>
      <c r="F879" s="105">
        <f t="shared" si="27"/>
        <v>0</v>
      </c>
      <c r="G879" s="106">
        <f t="shared" si="26"/>
        <v>0</v>
      </c>
      <c r="H879" s="81">
        <v>1.0714999999999999</v>
      </c>
      <c r="I879" s="2619" t="s">
        <v>1146</v>
      </c>
    </row>
    <row r="880" spans="1:9" ht="16.5">
      <c r="A880" s="7" t="s">
        <v>2243</v>
      </c>
      <c r="B880" s="8" t="s">
        <v>5007</v>
      </c>
      <c r="C880" s="9" t="s">
        <v>3481</v>
      </c>
      <c r="D880" s="104"/>
      <c r="E880" s="104"/>
      <c r="F880" s="105">
        <f t="shared" si="27"/>
        <v>0</v>
      </c>
      <c r="G880" s="106">
        <f t="shared" si="26"/>
        <v>0</v>
      </c>
      <c r="H880" s="81">
        <v>0.56079999999999997</v>
      </c>
      <c r="I880" s="2619" t="s">
        <v>1146</v>
      </c>
    </row>
    <row r="881" spans="1:9" ht="16.5">
      <c r="A881" s="7" t="s">
        <v>2244</v>
      </c>
      <c r="B881" s="8" t="s">
        <v>7237</v>
      </c>
      <c r="C881" s="9" t="s">
        <v>3481</v>
      </c>
      <c r="D881" s="104"/>
      <c r="E881" s="104"/>
      <c r="F881" s="105">
        <f t="shared" si="27"/>
        <v>0</v>
      </c>
      <c r="G881" s="106">
        <f t="shared" si="26"/>
        <v>0</v>
      </c>
      <c r="H881" s="81">
        <v>0.1565</v>
      </c>
      <c r="I881" s="2619" t="s">
        <v>1146</v>
      </c>
    </row>
    <row r="882" spans="1:9" ht="16.5">
      <c r="A882" s="7" t="s">
        <v>3191</v>
      </c>
      <c r="B882" s="8" t="s">
        <v>7238</v>
      </c>
      <c r="C882" s="9" t="s">
        <v>3481</v>
      </c>
      <c r="D882" s="104"/>
      <c r="E882" s="104"/>
      <c r="F882" s="105">
        <f t="shared" si="27"/>
        <v>0</v>
      </c>
      <c r="G882" s="106">
        <f t="shared" si="26"/>
        <v>0</v>
      </c>
      <c r="H882" s="81">
        <v>1</v>
      </c>
      <c r="I882" s="2619" t="s">
        <v>6861</v>
      </c>
    </row>
    <row r="883" spans="1:9" ht="16.5">
      <c r="A883" s="7" t="s">
        <v>2245</v>
      </c>
      <c r="B883" s="8" t="s">
        <v>7239</v>
      </c>
      <c r="C883" s="9" t="s">
        <v>3481</v>
      </c>
      <c r="D883" s="104"/>
      <c r="E883" s="104"/>
      <c r="F883" s="105">
        <f t="shared" si="27"/>
        <v>0</v>
      </c>
      <c r="G883" s="106">
        <f t="shared" si="26"/>
        <v>0</v>
      </c>
      <c r="H883" s="81">
        <v>0.47710000000000002</v>
      </c>
      <c r="I883" s="2619" t="s">
        <v>1146</v>
      </c>
    </row>
    <row r="884" spans="1:9" ht="16.5">
      <c r="A884" s="7" t="s">
        <v>2246</v>
      </c>
      <c r="B884" s="8" t="s">
        <v>7240</v>
      </c>
      <c r="C884" s="9" t="s">
        <v>3481</v>
      </c>
      <c r="D884" s="104"/>
      <c r="E884" s="104"/>
      <c r="F884" s="105">
        <f t="shared" si="27"/>
        <v>0</v>
      </c>
      <c r="G884" s="106">
        <f t="shared" si="26"/>
        <v>0</v>
      </c>
      <c r="H884" s="81">
        <v>0.61070000000000002</v>
      </c>
      <c r="I884" s="2619" t="s">
        <v>1146</v>
      </c>
    </row>
    <row r="885" spans="1:9" ht="16.5">
      <c r="A885" s="7" t="s">
        <v>2247</v>
      </c>
      <c r="B885" s="8" t="s">
        <v>7241</v>
      </c>
      <c r="C885" s="9" t="s">
        <v>3481</v>
      </c>
      <c r="D885" s="104"/>
      <c r="E885" s="104"/>
      <c r="F885" s="105">
        <f t="shared" si="27"/>
        <v>0</v>
      </c>
      <c r="G885" s="106">
        <f t="shared" si="26"/>
        <v>0</v>
      </c>
      <c r="H885" s="81">
        <v>0.32679999999999998</v>
      </c>
      <c r="I885" s="2619" t="s">
        <v>1146</v>
      </c>
    </row>
    <row r="886" spans="1:9" ht="16.5">
      <c r="A886" s="7" t="s">
        <v>2248</v>
      </c>
      <c r="B886" s="8" t="s">
        <v>7242</v>
      </c>
      <c r="C886" s="9" t="s">
        <v>3481</v>
      </c>
      <c r="D886" s="104"/>
      <c r="E886" s="104"/>
      <c r="F886" s="105">
        <f t="shared" si="27"/>
        <v>0</v>
      </c>
      <c r="G886" s="106">
        <f t="shared" si="26"/>
        <v>0</v>
      </c>
      <c r="H886" s="81">
        <v>0.57450000000000001</v>
      </c>
      <c r="I886" s="2619" t="s">
        <v>1146</v>
      </c>
    </row>
    <row r="887" spans="1:9" ht="16.5">
      <c r="A887" s="7" t="s">
        <v>3396</v>
      </c>
      <c r="B887" s="8" t="s">
        <v>7243</v>
      </c>
      <c r="C887" s="9" t="s">
        <v>3481</v>
      </c>
      <c r="D887" s="104"/>
      <c r="E887" s="104"/>
      <c r="F887" s="105">
        <f t="shared" si="27"/>
        <v>0</v>
      </c>
      <c r="G887" s="106">
        <f t="shared" si="26"/>
        <v>0</v>
      </c>
      <c r="H887" s="81">
        <v>1.9136</v>
      </c>
      <c r="I887" s="2619" t="s">
        <v>1146</v>
      </c>
    </row>
    <row r="888" spans="1:9" ht="16.5">
      <c r="A888" s="7" t="s">
        <v>2249</v>
      </c>
      <c r="B888" s="8" t="s">
        <v>7244</v>
      </c>
      <c r="C888" s="9" t="s">
        <v>3481</v>
      </c>
      <c r="D888" s="104"/>
      <c r="E888" s="104"/>
      <c r="F888" s="105">
        <f t="shared" si="27"/>
        <v>0</v>
      </c>
      <c r="G888" s="106">
        <f t="shared" si="26"/>
        <v>0</v>
      </c>
      <c r="H888" s="81">
        <v>0.58840000000000003</v>
      </c>
      <c r="I888" s="2619" t="s">
        <v>1146</v>
      </c>
    </row>
    <row r="889" spans="1:9" ht="16.5">
      <c r="A889" s="7" t="s">
        <v>5748</v>
      </c>
      <c r="B889" s="8" t="s">
        <v>7245</v>
      </c>
      <c r="C889" s="9" t="s">
        <v>3481</v>
      </c>
      <c r="D889" s="104"/>
      <c r="E889" s="104"/>
      <c r="F889" s="105">
        <f t="shared" si="27"/>
        <v>0</v>
      </c>
      <c r="G889" s="106">
        <f t="shared" si="26"/>
        <v>0</v>
      </c>
      <c r="H889" s="81">
        <v>1</v>
      </c>
      <c r="I889" s="2619" t="s">
        <v>6861</v>
      </c>
    </row>
    <row r="890" spans="1:9" ht="16.5">
      <c r="A890" s="7" t="s">
        <v>2250</v>
      </c>
      <c r="B890" s="8" t="s">
        <v>7246</v>
      </c>
      <c r="C890" s="9" t="s">
        <v>3481</v>
      </c>
      <c r="D890" s="104"/>
      <c r="E890" s="104"/>
      <c r="F890" s="105">
        <f t="shared" si="27"/>
        <v>0</v>
      </c>
      <c r="G890" s="106">
        <f t="shared" si="26"/>
        <v>0</v>
      </c>
      <c r="H890" s="81">
        <v>2.0150000000000001</v>
      </c>
      <c r="I890" s="2619" t="s">
        <v>1146</v>
      </c>
    </row>
    <row r="891" spans="1:9" ht="16.5">
      <c r="A891" s="7" t="s">
        <v>2251</v>
      </c>
      <c r="B891" s="8" t="s">
        <v>7247</v>
      </c>
      <c r="C891" s="9" t="s">
        <v>3481</v>
      </c>
      <c r="D891" s="104"/>
      <c r="E891" s="104"/>
      <c r="F891" s="105">
        <f t="shared" si="27"/>
        <v>0</v>
      </c>
      <c r="G891" s="106">
        <f t="shared" si="26"/>
        <v>0</v>
      </c>
      <c r="H891" s="81">
        <v>1.5654999999999999</v>
      </c>
      <c r="I891" s="2619" t="s">
        <v>1146</v>
      </c>
    </row>
    <row r="892" spans="1:9" ht="16.5">
      <c r="A892" s="7" t="s">
        <v>2252</v>
      </c>
      <c r="B892" s="8" t="s">
        <v>7248</v>
      </c>
      <c r="C892" s="9" t="s">
        <v>3481</v>
      </c>
      <c r="D892" s="104"/>
      <c r="E892" s="104"/>
      <c r="F892" s="105">
        <f t="shared" si="27"/>
        <v>0</v>
      </c>
      <c r="G892" s="106">
        <f t="shared" si="26"/>
        <v>0</v>
      </c>
      <c r="H892" s="81">
        <v>0.35970000000000002</v>
      </c>
      <c r="I892" s="2619" t="s">
        <v>1146</v>
      </c>
    </row>
    <row r="893" spans="1:9" ht="16.5">
      <c r="A893" s="7" t="s">
        <v>5008</v>
      </c>
      <c r="B893" s="8" t="s">
        <v>7249</v>
      </c>
      <c r="C893" s="9" t="s">
        <v>3481</v>
      </c>
      <c r="D893" s="104"/>
      <c r="E893" s="104"/>
      <c r="F893" s="105">
        <f t="shared" si="27"/>
        <v>0</v>
      </c>
      <c r="G893" s="106">
        <f t="shared" si="26"/>
        <v>0</v>
      </c>
      <c r="H893" s="81">
        <v>0.56420000000000003</v>
      </c>
      <c r="I893" s="2619" t="s">
        <v>1146</v>
      </c>
    </row>
    <row r="894" spans="1:9" ht="16.5">
      <c r="A894" s="7" t="s">
        <v>2253</v>
      </c>
      <c r="B894" s="8" t="s">
        <v>7250</v>
      </c>
      <c r="C894" s="9" t="s">
        <v>3481</v>
      </c>
      <c r="D894" s="104"/>
      <c r="E894" s="104"/>
      <c r="F894" s="105">
        <f t="shared" si="27"/>
        <v>0</v>
      </c>
      <c r="G894" s="106">
        <f t="shared" si="26"/>
        <v>0</v>
      </c>
      <c r="H894" s="81">
        <v>0.74199999999999999</v>
      </c>
      <c r="I894" s="2619" t="s">
        <v>1146</v>
      </c>
    </row>
    <row r="895" spans="1:9" ht="16.5">
      <c r="A895" s="7" t="s">
        <v>2254</v>
      </c>
      <c r="B895" s="8" t="s">
        <v>7251</v>
      </c>
      <c r="C895" s="9" t="s">
        <v>3481</v>
      </c>
      <c r="D895" s="104"/>
      <c r="E895" s="104"/>
      <c r="F895" s="105">
        <f t="shared" si="27"/>
        <v>0</v>
      </c>
      <c r="G895" s="106">
        <f t="shared" si="26"/>
        <v>0</v>
      </c>
      <c r="H895" s="81">
        <v>0.85150000000000003</v>
      </c>
      <c r="I895" s="2619" t="s">
        <v>1146</v>
      </c>
    </row>
    <row r="896" spans="1:9" ht="16.5">
      <c r="A896" s="7" t="s">
        <v>2255</v>
      </c>
      <c r="B896" s="8" t="s">
        <v>7252</v>
      </c>
      <c r="C896" s="9" t="s">
        <v>3481</v>
      </c>
      <c r="D896" s="104"/>
      <c r="E896" s="104"/>
      <c r="F896" s="105">
        <f t="shared" si="27"/>
        <v>0</v>
      </c>
      <c r="G896" s="106">
        <f t="shared" si="26"/>
        <v>0</v>
      </c>
      <c r="H896" s="81">
        <v>0.43740000000000001</v>
      </c>
      <c r="I896" s="2619" t="s">
        <v>1146</v>
      </c>
    </row>
    <row r="897" spans="1:9" ht="16.5">
      <c r="A897" s="7" t="s">
        <v>2256</v>
      </c>
      <c r="B897" s="8" t="s">
        <v>7253</v>
      </c>
      <c r="C897" s="9" t="s">
        <v>3481</v>
      </c>
      <c r="D897" s="104"/>
      <c r="E897" s="104"/>
      <c r="F897" s="105">
        <f t="shared" si="27"/>
        <v>0</v>
      </c>
      <c r="G897" s="106">
        <f t="shared" si="26"/>
        <v>0</v>
      </c>
      <c r="H897" s="81">
        <v>1.3004</v>
      </c>
      <c r="I897" s="2619" t="s">
        <v>1146</v>
      </c>
    </row>
    <row r="898" spans="1:9" ht="16.5">
      <c r="A898" s="7" t="s">
        <v>2257</v>
      </c>
      <c r="B898" s="8" t="s">
        <v>7254</v>
      </c>
      <c r="C898" s="9" t="s">
        <v>3481</v>
      </c>
      <c r="D898" s="104"/>
      <c r="E898" s="104"/>
      <c r="F898" s="105">
        <f t="shared" si="27"/>
        <v>0</v>
      </c>
      <c r="G898" s="106">
        <f t="shared" si="26"/>
        <v>0</v>
      </c>
      <c r="H898" s="81">
        <v>0.22059999999999999</v>
      </c>
      <c r="I898" s="2619" t="s">
        <v>1146</v>
      </c>
    </row>
    <row r="899" spans="1:9" ht="16.5">
      <c r="A899" s="7" t="s">
        <v>2258</v>
      </c>
      <c r="B899" s="8" t="s">
        <v>7255</v>
      </c>
      <c r="C899" s="9" t="s">
        <v>3481</v>
      </c>
      <c r="D899" s="104"/>
      <c r="E899" s="104"/>
      <c r="F899" s="105">
        <f t="shared" si="27"/>
        <v>0</v>
      </c>
      <c r="G899" s="106">
        <f t="shared" si="26"/>
        <v>0</v>
      </c>
      <c r="H899" s="81">
        <v>0.23880000000000001</v>
      </c>
      <c r="I899" s="2619" t="s">
        <v>1146</v>
      </c>
    </row>
    <row r="900" spans="1:9" ht="16.5">
      <c r="A900" s="7" t="s">
        <v>5009</v>
      </c>
      <c r="B900" s="8" t="s">
        <v>7256</v>
      </c>
      <c r="C900" s="9" t="s">
        <v>3481</v>
      </c>
      <c r="D900" s="104"/>
      <c r="E900" s="104"/>
      <c r="F900" s="105">
        <f t="shared" si="27"/>
        <v>0</v>
      </c>
      <c r="G900" s="106">
        <f t="shared" ref="G900:G963" si="28">IF($F$1265=0,0,F900/$F$1265)</f>
        <v>0</v>
      </c>
      <c r="H900" s="81">
        <v>0.68610000000000004</v>
      </c>
      <c r="I900" s="2619" t="s">
        <v>1146</v>
      </c>
    </row>
    <row r="901" spans="1:9" ht="16.5">
      <c r="A901" s="7" t="s">
        <v>2259</v>
      </c>
      <c r="B901" s="8" t="s">
        <v>7257</v>
      </c>
      <c r="C901" s="9" t="s">
        <v>3481</v>
      </c>
      <c r="D901" s="104"/>
      <c r="E901" s="104"/>
      <c r="F901" s="105">
        <f t="shared" ref="F901:F964" si="29">D901*E901</f>
        <v>0</v>
      </c>
      <c r="G901" s="106">
        <f t="shared" si="28"/>
        <v>0</v>
      </c>
      <c r="H901" s="81">
        <v>0.62890000000000001</v>
      </c>
      <c r="I901" s="2619" t="s">
        <v>1146</v>
      </c>
    </row>
    <row r="902" spans="1:9" ht="16.5">
      <c r="A902" s="7" t="s">
        <v>2260</v>
      </c>
      <c r="B902" s="8" t="s">
        <v>7258</v>
      </c>
      <c r="C902" s="9" t="s">
        <v>3481</v>
      </c>
      <c r="D902" s="104"/>
      <c r="E902" s="104"/>
      <c r="F902" s="105">
        <f t="shared" si="29"/>
        <v>0</v>
      </c>
      <c r="G902" s="106">
        <f t="shared" si="28"/>
        <v>0</v>
      </c>
      <c r="H902" s="81">
        <v>0.66490000000000005</v>
      </c>
      <c r="I902" s="2619" t="s">
        <v>1146</v>
      </c>
    </row>
    <row r="903" spans="1:9" ht="16.5">
      <c r="A903" s="7" t="s">
        <v>2591</v>
      </c>
      <c r="B903" s="8" t="s">
        <v>5010</v>
      </c>
      <c r="C903" s="9" t="s">
        <v>3481</v>
      </c>
      <c r="D903" s="104"/>
      <c r="E903" s="104"/>
      <c r="F903" s="105">
        <f t="shared" si="29"/>
        <v>0</v>
      </c>
      <c r="G903" s="106">
        <f t="shared" si="28"/>
        <v>0</v>
      </c>
      <c r="H903" s="81">
        <v>0.19120000000000001</v>
      </c>
      <c r="I903" s="2619" t="s">
        <v>1146</v>
      </c>
    </row>
    <row r="904" spans="1:9" ht="16.5">
      <c r="A904" s="7" t="s">
        <v>2261</v>
      </c>
      <c r="B904" s="8" t="s">
        <v>7259</v>
      </c>
      <c r="C904" s="9" t="s">
        <v>3481</v>
      </c>
      <c r="D904" s="104"/>
      <c r="E904" s="104"/>
      <c r="F904" s="105">
        <f t="shared" si="29"/>
        <v>0</v>
      </c>
      <c r="G904" s="106">
        <f t="shared" si="28"/>
        <v>0</v>
      </c>
      <c r="H904" s="81">
        <v>0.4783</v>
      </c>
      <c r="I904" s="2619" t="s">
        <v>1146</v>
      </c>
    </row>
    <row r="905" spans="1:9" ht="16.5">
      <c r="A905" s="7" t="s">
        <v>5749</v>
      </c>
      <c r="B905" s="8" t="s">
        <v>7260</v>
      </c>
      <c r="C905" s="9" t="s">
        <v>3481</v>
      </c>
      <c r="D905" s="104"/>
      <c r="E905" s="104"/>
      <c r="F905" s="105">
        <f t="shared" si="29"/>
        <v>0</v>
      </c>
      <c r="G905" s="106">
        <f t="shared" si="28"/>
        <v>0</v>
      </c>
      <c r="H905" s="81">
        <v>1</v>
      </c>
      <c r="I905" s="2619" t="s">
        <v>6861</v>
      </c>
    </row>
    <row r="906" spans="1:9" ht="16.5">
      <c r="A906" s="7" t="s">
        <v>2262</v>
      </c>
      <c r="B906" s="8" t="s">
        <v>7261</v>
      </c>
      <c r="C906" s="9" t="s">
        <v>3481</v>
      </c>
      <c r="D906" s="104"/>
      <c r="E906" s="104"/>
      <c r="F906" s="105">
        <f t="shared" si="29"/>
        <v>0</v>
      </c>
      <c r="G906" s="106">
        <f t="shared" si="28"/>
        <v>0</v>
      </c>
      <c r="H906" s="81">
        <v>0.6694</v>
      </c>
      <c r="I906" s="2619" t="s">
        <v>1146</v>
      </c>
    </row>
    <row r="907" spans="1:9" ht="16.5">
      <c r="A907" s="7" t="s">
        <v>2263</v>
      </c>
      <c r="B907" s="8" t="s">
        <v>7262</v>
      </c>
      <c r="C907" s="9" t="s">
        <v>3481</v>
      </c>
      <c r="D907" s="104"/>
      <c r="E907" s="104"/>
      <c r="F907" s="105">
        <f t="shared" si="29"/>
        <v>0</v>
      </c>
      <c r="G907" s="106">
        <f t="shared" si="28"/>
        <v>0</v>
      </c>
      <c r="H907" s="81">
        <v>0.2427</v>
      </c>
      <c r="I907" s="2619" t="s">
        <v>1146</v>
      </c>
    </row>
    <row r="908" spans="1:9" ht="16.5">
      <c r="A908" s="7" t="s">
        <v>2264</v>
      </c>
      <c r="B908" s="8" t="s">
        <v>7263</v>
      </c>
      <c r="C908" s="9" t="s">
        <v>3481</v>
      </c>
      <c r="D908" s="104"/>
      <c r="E908" s="104"/>
      <c r="F908" s="105">
        <f t="shared" si="29"/>
        <v>0</v>
      </c>
      <c r="G908" s="106">
        <f t="shared" si="28"/>
        <v>0</v>
      </c>
      <c r="H908" s="81">
        <v>0.18429999999999999</v>
      </c>
      <c r="I908" s="2619" t="s">
        <v>1146</v>
      </c>
    </row>
    <row r="909" spans="1:9" ht="16.5">
      <c r="A909" s="7" t="s">
        <v>5750</v>
      </c>
      <c r="B909" s="8" t="s">
        <v>7264</v>
      </c>
      <c r="C909" s="9" t="s">
        <v>3481</v>
      </c>
      <c r="D909" s="104"/>
      <c r="E909" s="104"/>
      <c r="F909" s="105">
        <f t="shared" si="29"/>
        <v>0</v>
      </c>
      <c r="G909" s="106">
        <f t="shared" si="28"/>
        <v>0</v>
      </c>
      <c r="H909" s="81">
        <v>1</v>
      </c>
      <c r="I909" s="2619" t="s">
        <v>6861</v>
      </c>
    </row>
    <row r="910" spans="1:9" ht="16.5">
      <c r="A910" s="7" t="s">
        <v>5751</v>
      </c>
      <c r="B910" s="8" t="s">
        <v>7265</v>
      </c>
      <c r="C910" s="9" t="s">
        <v>3481</v>
      </c>
      <c r="D910" s="104"/>
      <c r="E910" s="104"/>
      <c r="F910" s="105">
        <f t="shared" si="29"/>
        <v>0</v>
      </c>
      <c r="G910" s="106">
        <f t="shared" si="28"/>
        <v>0</v>
      </c>
      <c r="H910" s="81">
        <v>1</v>
      </c>
      <c r="I910" s="2619" t="s">
        <v>6861</v>
      </c>
    </row>
    <row r="911" spans="1:9" ht="16.5">
      <c r="A911" s="7" t="s">
        <v>2265</v>
      </c>
      <c r="B911" s="8" t="s">
        <v>7266</v>
      </c>
      <c r="C911" s="9" t="s">
        <v>3481</v>
      </c>
      <c r="D911" s="104"/>
      <c r="E911" s="104"/>
      <c r="F911" s="105">
        <f t="shared" si="29"/>
        <v>0</v>
      </c>
      <c r="G911" s="106">
        <f t="shared" si="28"/>
        <v>0</v>
      </c>
      <c r="H911" s="81">
        <v>0.63529999999999998</v>
      </c>
      <c r="I911" s="2619" t="s">
        <v>1146</v>
      </c>
    </row>
    <row r="912" spans="1:9" ht="16.5">
      <c r="A912" s="7" t="s">
        <v>2266</v>
      </c>
      <c r="B912" s="8" t="s">
        <v>7267</v>
      </c>
      <c r="C912" s="9" t="s">
        <v>3481</v>
      </c>
      <c r="D912" s="104"/>
      <c r="E912" s="104"/>
      <c r="F912" s="105">
        <f t="shared" si="29"/>
        <v>0</v>
      </c>
      <c r="G912" s="106">
        <f t="shared" si="28"/>
        <v>0</v>
      </c>
      <c r="H912" s="81">
        <v>0.71989999999999998</v>
      </c>
      <c r="I912" s="2619" t="s">
        <v>1146</v>
      </c>
    </row>
    <row r="913" spans="1:9" ht="16.5">
      <c r="A913" s="7" t="s">
        <v>2267</v>
      </c>
      <c r="B913" s="8" t="s">
        <v>7268</v>
      </c>
      <c r="C913" s="9" t="s">
        <v>3481</v>
      </c>
      <c r="D913" s="104"/>
      <c r="E913" s="104"/>
      <c r="F913" s="105">
        <f t="shared" si="29"/>
        <v>0</v>
      </c>
      <c r="G913" s="106">
        <f t="shared" si="28"/>
        <v>0</v>
      </c>
      <c r="H913" s="81">
        <v>2.0049000000000001</v>
      </c>
      <c r="I913" s="2619" t="s">
        <v>1146</v>
      </c>
    </row>
    <row r="914" spans="1:9" ht="16.5">
      <c r="A914" s="7" t="s">
        <v>2268</v>
      </c>
      <c r="B914" s="8" t="s">
        <v>7269</v>
      </c>
      <c r="C914" s="9" t="s">
        <v>3481</v>
      </c>
      <c r="D914" s="104"/>
      <c r="E914" s="104"/>
      <c r="F914" s="105">
        <f t="shared" si="29"/>
        <v>0</v>
      </c>
      <c r="G914" s="106">
        <f t="shared" si="28"/>
        <v>0</v>
      </c>
      <c r="H914" s="81">
        <v>0.3891</v>
      </c>
      <c r="I914" s="2619" t="s">
        <v>1146</v>
      </c>
    </row>
    <row r="915" spans="1:9" ht="16.5">
      <c r="A915" s="7" t="s">
        <v>2269</v>
      </c>
      <c r="B915" s="8" t="s">
        <v>7270</v>
      </c>
      <c r="C915" s="9" t="s">
        <v>3481</v>
      </c>
      <c r="D915" s="104"/>
      <c r="E915" s="104"/>
      <c r="F915" s="105">
        <f t="shared" si="29"/>
        <v>0</v>
      </c>
      <c r="G915" s="106">
        <f t="shared" si="28"/>
        <v>0</v>
      </c>
      <c r="H915" s="81">
        <v>-4.9700000000000001E-2</v>
      </c>
      <c r="I915" s="2619" t="s">
        <v>1146</v>
      </c>
    </row>
    <row r="916" spans="1:9" ht="16.5">
      <c r="A916" s="7" t="s">
        <v>2270</v>
      </c>
      <c r="B916" s="8" t="s">
        <v>7271</v>
      </c>
      <c r="C916" s="9" t="s">
        <v>3481</v>
      </c>
      <c r="D916" s="104"/>
      <c r="E916" s="104"/>
      <c r="F916" s="105">
        <f t="shared" si="29"/>
        <v>0</v>
      </c>
      <c r="G916" s="106">
        <f t="shared" si="28"/>
        <v>0</v>
      </c>
      <c r="H916" s="81">
        <v>0.81459999999999999</v>
      </c>
      <c r="I916" s="2619" t="s">
        <v>1146</v>
      </c>
    </row>
    <row r="917" spans="1:9" ht="16.5">
      <c r="A917" s="7" t="s">
        <v>2271</v>
      </c>
      <c r="B917" s="8" t="s">
        <v>7272</v>
      </c>
      <c r="C917" s="9" t="s">
        <v>3481</v>
      </c>
      <c r="D917" s="104"/>
      <c r="E917" s="104"/>
      <c r="F917" s="105">
        <f t="shared" si="29"/>
        <v>0</v>
      </c>
      <c r="G917" s="106">
        <f t="shared" si="28"/>
        <v>0</v>
      </c>
      <c r="H917" s="81">
        <v>0.13489999999999999</v>
      </c>
      <c r="I917" s="2619" t="s">
        <v>1146</v>
      </c>
    </row>
    <row r="918" spans="1:9" ht="16.5">
      <c r="A918" s="7" t="s">
        <v>5011</v>
      </c>
      <c r="B918" s="8" t="s">
        <v>7273</v>
      </c>
      <c r="C918" s="9" t="s">
        <v>3481</v>
      </c>
      <c r="D918" s="104"/>
      <c r="E918" s="104"/>
      <c r="F918" s="105">
        <f t="shared" si="29"/>
        <v>0</v>
      </c>
      <c r="G918" s="106">
        <f t="shared" si="28"/>
        <v>0</v>
      </c>
      <c r="H918" s="81">
        <v>1.4878</v>
      </c>
      <c r="I918" s="2619" t="s">
        <v>1146</v>
      </c>
    </row>
    <row r="919" spans="1:9" ht="16.5">
      <c r="A919" s="7" t="s">
        <v>5012</v>
      </c>
      <c r="B919" s="8" t="s">
        <v>7274</v>
      </c>
      <c r="C919" s="9" t="s">
        <v>3481</v>
      </c>
      <c r="D919" s="104"/>
      <c r="E919" s="104"/>
      <c r="F919" s="105">
        <f t="shared" si="29"/>
        <v>0</v>
      </c>
      <c r="G919" s="106">
        <f t="shared" si="28"/>
        <v>0</v>
      </c>
      <c r="H919" s="81">
        <v>0.54339999999999999</v>
      </c>
      <c r="I919" s="2619" t="s">
        <v>1146</v>
      </c>
    </row>
    <row r="920" spans="1:9" ht="16.5">
      <c r="A920" s="7" t="s">
        <v>5013</v>
      </c>
      <c r="B920" s="8" t="s">
        <v>7275</v>
      </c>
      <c r="C920" s="9" t="s">
        <v>3481</v>
      </c>
      <c r="D920" s="104"/>
      <c r="E920" s="104"/>
      <c r="F920" s="105">
        <f t="shared" si="29"/>
        <v>0</v>
      </c>
      <c r="G920" s="106">
        <f t="shared" si="28"/>
        <v>0</v>
      </c>
      <c r="H920" s="81">
        <v>1.0583</v>
      </c>
      <c r="I920" s="2619" t="s">
        <v>1146</v>
      </c>
    </row>
    <row r="921" spans="1:9" ht="16.5">
      <c r="A921" s="7" t="s">
        <v>2272</v>
      </c>
      <c r="B921" s="8" t="s">
        <v>7276</v>
      </c>
      <c r="C921" s="9" t="s">
        <v>3481</v>
      </c>
      <c r="D921" s="104"/>
      <c r="E921" s="104"/>
      <c r="F921" s="105">
        <f t="shared" si="29"/>
        <v>0</v>
      </c>
      <c r="G921" s="106">
        <f t="shared" si="28"/>
        <v>0</v>
      </c>
      <c r="H921" s="81">
        <v>0.52129999999999999</v>
      </c>
      <c r="I921" s="2619" t="s">
        <v>1146</v>
      </c>
    </row>
    <row r="922" spans="1:9" ht="16.5">
      <c r="A922" s="7" t="s">
        <v>2273</v>
      </c>
      <c r="B922" s="8" t="s">
        <v>7277</v>
      </c>
      <c r="C922" s="9" t="s">
        <v>3481</v>
      </c>
      <c r="D922" s="104"/>
      <c r="E922" s="104"/>
      <c r="F922" s="105">
        <f t="shared" si="29"/>
        <v>0</v>
      </c>
      <c r="G922" s="106">
        <f t="shared" si="28"/>
        <v>0</v>
      </c>
      <c r="H922" s="81">
        <v>0.96209999999999996</v>
      </c>
      <c r="I922" s="2619" t="s">
        <v>1146</v>
      </c>
    </row>
    <row r="923" spans="1:9" ht="16.5">
      <c r="A923" s="7" t="s">
        <v>2274</v>
      </c>
      <c r="B923" s="8" t="s">
        <v>7278</v>
      </c>
      <c r="C923" s="9" t="s">
        <v>3481</v>
      </c>
      <c r="D923" s="104"/>
      <c r="E923" s="104"/>
      <c r="F923" s="105">
        <f t="shared" si="29"/>
        <v>0</v>
      </c>
      <c r="G923" s="106">
        <f t="shared" si="28"/>
        <v>0</v>
      </c>
      <c r="H923" s="81">
        <v>1.4233</v>
      </c>
      <c r="I923" s="2619" t="s">
        <v>1146</v>
      </c>
    </row>
    <row r="924" spans="1:9" ht="16.5">
      <c r="A924" s="7" t="s">
        <v>5014</v>
      </c>
      <c r="B924" s="8" t="s">
        <v>7279</v>
      </c>
      <c r="C924" s="9" t="s">
        <v>3481</v>
      </c>
      <c r="D924" s="104"/>
      <c r="E924" s="104"/>
      <c r="F924" s="105">
        <f t="shared" si="29"/>
        <v>0</v>
      </c>
      <c r="G924" s="106">
        <f t="shared" si="28"/>
        <v>0</v>
      </c>
      <c r="H924" s="81">
        <v>1.4547000000000001</v>
      </c>
      <c r="I924" s="2619" t="s">
        <v>1146</v>
      </c>
    </row>
    <row r="925" spans="1:9" ht="16.5">
      <c r="A925" s="7" t="s">
        <v>5752</v>
      </c>
      <c r="B925" s="8" t="s">
        <v>7280</v>
      </c>
      <c r="C925" s="9" t="s">
        <v>3481</v>
      </c>
      <c r="D925" s="104"/>
      <c r="E925" s="104"/>
      <c r="F925" s="105">
        <f t="shared" si="29"/>
        <v>0</v>
      </c>
      <c r="G925" s="106">
        <f t="shared" si="28"/>
        <v>0</v>
      </c>
      <c r="H925" s="81">
        <v>1</v>
      </c>
      <c r="I925" s="2619" t="s">
        <v>6861</v>
      </c>
    </row>
    <row r="926" spans="1:9" ht="16.5">
      <c r="A926" s="7" t="s">
        <v>2592</v>
      </c>
      <c r="B926" s="8" t="s">
        <v>7281</v>
      </c>
      <c r="C926" s="9" t="s">
        <v>3481</v>
      </c>
      <c r="D926" s="104"/>
      <c r="E926" s="104"/>
      <c r="F926" s="105">
        <f t="shared" si="29"/>
        <v>0</v>
      </c>
      <c r="G926" s="106">
        <f t="shared" si="28"/>
        <v>0</v>
      </c>
      <c r="H926" s="81">
        <v>0.84230000000000005</v>
      </c>
      <c r="I926" s="2619" t="s">
        <v>1146</v>
      </c>
    </row>
    <row r="927" spans="1:9" ht="16.5">
      <c r="A927" s="7" t="s">
        <v>5753</v>
      </c>
      <c r="B927" s="8" t="s">
        <v>7282</v>
      </c>
      <c r="C927" s="9" t="s">
        <v>3481</v>
      </c>
      <c r="D927" s="104"/>
      <c r="E927" s="104"/>
      <c r="F927" s="105">
        <f t="shared" si="29"/>
        <v>0</v>
      </c>
      <c r="G927" s="106">
        <f t="shared" si="28"/>
        <v>0</v>
      </c>
      <c r="H927" s="81">
        <v>1</v>
      </c>
      <c r="I927" s="2619" t="s">
        <v>6861</v>
      </c>
    </row>
    <row r="928" spans="1:9" ht="16.5">
      <c r="A928" s="7" t="s">
        <v>2593</v>
      </c>
      <c r="B928" s="8" t="s">
        <v>7283</v>
      </c>
      <c r="C928" s="9" t="s">
        <v>3481</v>
      </c>
      <c r="D928" s="104"/>
      <c r="E928" s="104"/>
      <c r="F928" s="105">
        <f t="shared" si="29"/>
        <v>0</v>
      </c>
      <c r="G928" s="106">
        <f t="shared" si="28"/>
        <v>0</v>
      </c>
      <c r="H928" s="81">
        <v>0.4924</v>
      </c>
      <c r="I928" s="2619" t="s">
        <v>1146</v>
      </c>
    </row>
    <row r="929" spans="1:9" ht="16.5">
      <c r="A929" s="7" t="s">
        <v>2594</v>
      </c>
      <c r="B929" s="8" t="s">
        <v>7284</v>
      </c>
      <c r="C929" s="9" t="s">
        <v>3481</v>
      </c>
      <c r="D929" s="104"/>
      <c r="E929" s="104"/>
      <c r="F929" s="105">
        <f t="shared" si="29"/>
        <v>0</v>
      </c>
      <c r="G929" s="106">
        <f t="shared" si="28"/>
        <v>0</v>
      </c>
      <c r="H929" s="81">
        <v>1.6830000000000001</v>
      </c>
      <c r="I929" s="2619" t="s">
        <v>1146</v>
      </c>
    </row>
    <row r="930" spans="1:9" ht="16.5">
      <c r="A930" s="7" t="s">
        <v>3397</v>
      </c>
      <c r="B930" s="8" t="s">
        <v>7285</v>
      </c>
      <c r="C930" s="9" t="s">
        <v>3481</v>
      </c>
      <c r="D930" s="104"/>
      <c r="E930" s="104"/>
      <c r="F930" s="105">
        <f t="shared" si="29"/>
        <v>0</v>
      </c>
      <c r="G930" s="106">
        <f t="shared" si="28"/>
        <v>0</v>
      </c>
      <c r="H930" s="81">
        <v>0.36499999999999999</v>
      </c>
      <c r="I930" s="2619" t="s">
        <v>1146</v>
      </c>
    </row>
    <row r="931" spans="1:9" ht="16.5">
      <c r="A931" s="7" t="s">
        <v>3398</v>
      </c>
      <c r="B931" s="8" t="s">
        <v>7286</v>
      </c>
      <c r="C931" s="9" t="s">
        <v>3481</v>
      </c>
      <c r="D931" s="104"/>
      <c r="E931" s="104"/>
      <c r="F931" s="105">
        <f t="shared" si="29"/>
        <v>0</v>
      </c>
      <c r="G931" s="106">
        <f t="shared" si="28"/>
        <v>0</v>
      </c>
      <c r="H931" s="81">
        <v>1.0841000000000001</v>
      </c>
      <c r="I931" s="2619" t="s">
        <v>1146</v>
      </c>
    </row>
    <row r="932" spans="1:9" ht="16.5">
      <c r="A932" s="7" t="s">
        <v>3399</v>
      </c>
      <c r="B932" s="8" t="s">
        <v>7287</v>
      </c>
      <c r="C932" s="9" t="s">
        <v>3481</v>
      </c>
      <c r="D932" s="104"/>
      <c r="E932" s="104"/>
      <c r="F932" s="105">
        <f t="shared" si="29"/>
        <v>0</v>
      </c>
      <c r="G932" s="106">
        <f t="shared" si="28"/>
        <v>0</v>
      </c>
      <c r="H932" s="81">
        <v>0.63329999999999997</v>
      </c>
      <c r="I932" s="2619" t="s">
        <v>1146</v>
      </c>
    </row>
    <row r="933" spans="1:9" ht="16.5">
      <c r="A933" s="7" t="s">
        <v>3400</v>
      </c>
      <c r="B933" s="8" t="s">
        <v>5015</v>
      </c>
      <c r="C933" s="9" t="s">
        <v>3481</v>
      </c>
      <c r="D933" s="104"/>
      <c r="E933" s="104"/>
      <c r="F933" s="105">
        <f t="shared" si="29"/>
        <v>0</v>
      </c>
      <c r="G933" s="106">
        <f t="shared" si="28"/>
        <v>0</v>
      </c>
      <c r="H933" s="81">
        <v>1.4157</v>
      </c>
      <c r="I933" s="2619" t="s">
        <v>1146</v>
      </c>
    </row>
    <row r="934" spans="1:9" ht="16.5">
      <c r="A934" s="7" t="s">
        <v>5016</v>
      </c>
      <c r="B934" s="8" t="s">
        <v>7288</v>
      </c>
      <c r="C934" s="9" t="s">
        <v>3481</v>
      </c>
      <c r="D934" s="104"/>
      <c r="E934" s="104"/>
      <c r="F934" s="105">
        <f t="shared" si="29"/>
        <v>0</v>
      </c>
      <c r="G934" s="106">
        <f t="shared" si="28"/>
        <v>0</v>
      </c>
      <c r="H934" s="81">
        <v>0.77780000000000005</v>
      </c>
      <c r="I934" s="2619" t="s">
        <v>1146</v>
      </c>
    </row>
    <row r="935" spans="1:9" ht="16.5">
      <c r="A935" s="7" t="s">
        <v>5017</v>
      </c>
      <c r="B935" s="8" t="s">
        <v>7289</v>
      </c>
      <c r="C935" s="9" t="s">
        <v>3481</v>
      </c>
      <c r="D935" s="104"/>
      <c r="E935" s="104"/>
      <c r="F935" s="105">
        <f t="shared" si="29"/>
        <v>0</v>
      </c>
      <c r="G935" s="106">
        <f t="shared" si="28"/>
        <v>0</v>
      </c>
      <c r="H935" s="81">
        <v>1.6258999999999999</v>
      </c>
      <c r="I935" s="2619" t="s">
        <v>1146</v>
      </c>
    </row>
    <row r="936" spans="1:9" ht="16.5">
      <c r="A936" s="7" t="s">
        <v>3401</v>
      </c>
      <c r="B936" s="8" t="s">
        <v>7290</v>
      </c>
      <c r="C936" s="9" t="s">
        <v>3481</v>
      </c>
      <c r="D936" s="104"/>
      <c r="E936" s="104"/>
      <c r="F936" s="105">
        <f t="shared" si="29"/>
        <v>0</v>
      </c>
      <c r="G936" s="106">
        <f t="shared" si="28"/>
        <v>0</v>
      </c>
      <c r="H936" s="81">
        <v>0.30890000000000001</v>
      </c>
      <c r="I936" s="2619" t="s">
        <v>1146</v>
      </c>
    </row>
    <row r="937" spans="1:9" ht="16.5">
      <c r="A937" s="7" t="s">
        <v>3402</v>
      </c>
      <c r="B937" s="8" t="s">
        <v>7291</v>
      </c>
      <c r="C937" s="9" t="s">
        <v>3481</v>
      </c>
      <c r="D937" s="104"/>
      <c r="E937" s="104"/>
      <c r="F937" s="105">
        <f t="shared" si="29"/>
        <v>0</v>
      </c>
      <c r="G937" s="106">
        <f t="shared" si="28"/>
        <v>0</v>
      </c>
      <c r="H937" s="81">
        <v>0.59119999999999995</v>
      </c>
      <c r="I937" s="2619" t="s">
        <v>1146</v>
      </c>
    </row>
    <row r="938" spans="1:9" ht="16.5">
      <c r="A938" s="7" t="s">
        <v>5018</v>
      </c>
      <c r="B938" s="8" t="s">
        <v>7292</v>
      </c>
      <c r="C938" s="9" t="s">
        <v>3481</v>
      </c>
      <c r="D938" s="104"/>
      <c r="E938" s="104"/>
      <c r="F938" s="105">
        <f t="shared" si="29"/>
        <v>0</v>
      </c>
      <c r="G938" s="106">
        <f t="shared" si="28"/>
        <v>0</v>
      </c>
      <c r="H938" s="81">
        <v>0.67849999999999999</v>
      </c>
      <c r="I938" s="2619" t="s">
        <v>1146</v>
      </c>
    </row>
    <row r="939" spans="1:9" ht="16.5">
      <c r="A939" s="7" t="s">
        <v>5019</v>
      </c>
      <c r="B939" s="8" t="s">
        <v>7293</v>
      </c>
      <c r="C939" s="9" t="s">
        <v>3481</v>
      </c>
      <c r="D939" s="104"/>
      <c r="E939" s="104"/>
      <c r="F939" s="105">
        <f t="shared" si="29"/>
        <v>0</v>
      </c>
      <c r="G939" s="106">
        <f t="shared" si="28"/>
        <v>0</v>
      </c>
      <c r="H939" s="81">
        <v>1.4415</v>
      </c>
      <c r="I939" s="2619" t="s">
        <v>1146</v>
      </c>
    </row>
    <row r="940" spans="1:9" ht="16.5">
      <c r="A940" s="7" t="s">
        <v>5754</v>
      </c>
      <c r="B940" s="8" t="s">
        <v>7294</v>
      </c>
      <c r="C940" s="9" t="s">
        <v>3481</v>
      </c>
      <c r="D940" s="104"/>
      <c r="E940" s="104"/>
      <c r="F940" s="105">
        <f t="shared" si="29"/>
        <v>0</v>
      </c>
      <c r="G940" s="106">
        <f t="shared" si="28"/>
        <v>0</v>
      </c>
      <c r="H940" s="81">
        <v>1</v>
      </c>
      <c r="I940" s="2619" t="s">
        <v>6861</v>
      </c>
    </row>
    <row r="941" spans="1:9" ht="16.5">
      <c r="A941" s="7" t="s">
        <v>3403</v>
      </c>
      <c r="B941" s="8" t="s">
        <v>7295</v>
      </c>
      <c r="C941" s="9" t="s">
        <v>3481</v>
      </c>
      <c r="D941" s="104"/>
      <c r="E941" s="104"/>
      <c r="F941" s="105">
        <f t="shared" si="29"/>
        <v>0</v>
      </c>
      <c r="G941" s="106">
        <f t="shared" si="28"/>
        <v>0</v>
      </c>
      <c r="H941" s="81">
        <v>0.6704</v>
      </c>
      <c r="I941" s="2619" t="s">
        <v>1146</v>
      </c>
    </row>
    <row r="942" spans="1:9" ht="16.5">
      <c r="A942" s="7" t="s">
        <v>5020</v>
      </c>
      <c r="B942" s="8" t="s">
        <v>7296</v>
      </c>
      <c r="C942" s="9" t="s">
        <v>3481</v>
      </c>
      <c r="D942" s="104"/>
      <c r="E942" s="104"/>
      <c r="F942" s="105">
        <f t="shared" si="29"/>
        <v>0</v>
      </c>
      <c r="G942" s="106">
        <f t="shared" si="28"/>
        <v>0</v>
      </c>
      <c r="H942" s="81">
        <v>0.30709999999999998</v>
      </c>
      <c r="I942" s="2619" t="s">
        <v>1146</v>
      </c>
    </row>
    <row r="943" spans="1:9" ht="16.5">
      <c r="A943" s="7" t="s">
        <v>5021</v>
      </c>
      <c r="B943" s="8" t="s">
        <v>7297</v>
      </c>
      <c r="C943" s="9" t="s">
        <v>3481</v>
      </c>
      <c r="D943" s="104"/>
      <c r="E943" s="104"/>
      <c r="F943" s="105">
        <f t="shared" si="29"/>
        <v>0</v>
      </c>
      <c r="G943" s="106">
        <f t="shared" si="28"/>
        <v>0</v>
      </c>
      <c r="H943" s="81">
        <v>1.2666999999999999</v>
      </c>
      <c r="I943" s="2619" t="s">
        <v>1146</v>
      </c>
    </row>
    <row r="944" spans="1:9" ht="16.5">
      <c r="A944" s="7" t="s">
        <v>5022</v>
      </c>
      <c r="B944" s="8" t="s">
        <v>7298</v>
      </c>
      <c r="C944" s="9" t="s">
        <v>3481</v>
      </c>
      <c r="D944" s="104"/>
      <c r="E944" s="104"/>
      <c r="F944" s="105">
        <f t="shared" si="29"/>
        <v>0</v>
      </c>
      <c r="G944" s="106">
        <f t="shared" si="28"/>
        <v>0</v>
      </c>
      <c r="H944" s="81">
        <v>0.45710000000000001</v>
      </c>
      <c r="I944" s="2619" t="s">
        <v>1146</v>
      </c>
    </row>
    <row r="945" spans="1:9" ht="16.5">
      <c r="A945" s="7" t="s">
        <v>5023</v>
      </c>
      <c r="B945" s="8" t="s">
        <v>7299</v>
      </c>
      <c r="C945" s="9" t="s">
        <v>3481</v>
      </c>
      <c r="D945" s="104"/>
      <c r="E945" s="104"/>
      <c r="F945" s="105">
        <f t="shared" si="29"/>
        <v>0</v>
      </c>
      <c r="G945" s="106">
        <f t="shared" si="28"/>
        <v>0</v>
      </c>
      <c r="H945" s="81">
        <v>0.45090000000000002</v>
      </c>
      <c r="I945" s="2619" t="s">
        <v>1146</v>
      </c>
    </row>
    <row r="946" spans="1:9" ht="16.5">
      <c r="A946" s="7" t="s">
        <v>5755</v>
      </c>
      <c r="B946" s="8" t="s">
        <v>7300</v>
      </c>
      <c r="C946" s="9" t="s">
        <v>3481</v>
      </c>
      <c r="D946" s="104"/>
      <c r="E946" s="104"/>
      <c r="F946" s="105">
        <f t="shared" si="29"/>
        <v>0</v>
      </c>
      <c r="G946" s="106">
        <f t="shared" si="28"/>
        <v>0</v>
      </c>
      <c r="H946" s="81">
        <v>1</v>
      </c>
      <c r="I946" s="2619" t="s">
        <v>6861</v>
      </c>
    </row>
    <row r="947" spans="1:9" ht="16.5">
      <c r="A947" s="7" t="s">
        <v>5756</v>
      </c>
      <c r="B947" s="8" t="s">
        <v>7301</v>
      </c>
      <c r="C947" s="9" t="s">
        <v>3481</v>
      </c>
      <c r="D947" s="104"/>
      <c r="E947" s="104"/>
      <c r="F947" s="105">
        <f t="shared" si="29"/>
        <v>0</v>
      </c>
      <c r="G947" s="106">
        <f t="shared" si="28"/>
        <v>0</v>
      </c>
      <c r="H947" s="81">
        <v>1</v>
      </c>
      <c r="I947" s="2619" t="s">
        <v>6861</v>
      </c>
    </row>
    <row r="948" spans="1:9" ht="16.5">
      <c r="A948" s="7" t="s">
        <v>5757</v>
      </c>
      <c r="B948" s="8" t="s">
        <v>7302</v>
      </c>
      <c r="C948" s="9" t="s">
        <v>3481</v>
      </c>
      <c r="D948" s="104"/>
      <c r="E948" s="104"/>
      <c r="F948" s="105">
        <f t="shared" si="29"/>
        <v>0</v>
      </c>
      <c r="G948" s="106">
        <f t="shared" si="28"/>
        <v>0</v>
      </c>
      <c r="H948" s="81">
        <v>1</v>
      </c>
      <c r="I948" s="2619" t="s">
        <v>6861</v>
      </c>
    </row>
    <row r="949" spans="1:9" ht="16.5">
      <c r="A949" s="7" t="s">
        <v>5758</v>
      </c>
      <c r="B949" s="8" t="s">
        <v>7303</v>
      </c>
      <c r="C949" s="9" t="s">
        <v>3481</v>
      </c>
      <c r="D949" s="104"/>
      <c r="E949" s="104"/>
      <c r="F949" s="105">
        <f t="shared" si="29"/>
        <v>0</v>
      </c>
      <c r="G949" s="106">
        <f t="shared" si="28"/>
        <v>0</v>
      </c>
      <c r="H949" s="81">
        <v>1</v>
      </c>
      <c r="I949" s="2619" t="s">
        <v>6861</v>
      </c>
    </row>
    <row r="950" spans="1:9" ht="16.5">
      <c r="A950" s="7" t="s">
        <v>5759</v>
      </c>
      <c r="B950" s="8" t="s">
        <v>5760</v>
      </c>
      <c r="C950" s="9" t="s">
        <v>3481</v>
      </c>
      <c r="D950" s="104"/>
      <c r="E950" s="104"/>
      <c r="F950" s="105">
        <f t="shared" si="29"/>
        <v>0</v>
      </c>
      <c r="G950" s="106">
        <f t="shared" si="28"/>
        <v>0</v>
      </c>
      <c r="H950" s="81">
        <v>1</v>
      </c>
      <c r="I950" s="2619" t="s">
        <v>6861</v>
      </c>
    </row>
    <row r="951" spans="1:9" ht="16.5">
      <c r="A951" s="7" t="s">
        <v>5761</v>
      </c>
      <c r="B951" s="8" t="s">
        <v>7304</v>
      </c>
      <c r="C951" s="9" t="s">
        <v>3481</v>
      </c>
      <c r="D951" s="104"/>
      <c r="E951" s="104"/>
      <c r="F951" s="105">
        <f t="shared" si="29"/>
        <v>0</v>
      </c>
      <c r="G951" s="106">
        <f t="shared" si="28"/>
        <v>0</v>
      </c>
      <c r="H951" s="81">
        <v>1</v>
      </c>
      <c r="I951" s="2619" t="s">
        <v>6861</v>
      </c>
    </row>
    <row r="952" spans="1:9" ht="16.5">
      <c r="A952" s="7" t="s">
        <v>2275</v>
      </c>
      <c r="B952" s="8" t="s">
        <v>7305</v>
      </c>
      <c r="C952" s="9" t="s">
        <v>3481</v>
      </c>
      <c r="D952" s="104"/>
      <c r="E952" s="104"/>
      <c r="F952" s="105">
        <f t="shared" si="29"/>
        <v>0</v>
      </c>
      <c r="G952" s="106">
        <f t="shared" si="28"/>
        <v>0</v>
      </c>
      <c r="H952" s="81">
        <v>0.49559999999999998</v>
      </c>
      <c r="I952" s="2619" t="s">
        <v>1146</v>
      </c>
    </row>
    <row r="953" spans="1:9" ht="16.5">
      <c r="A953" s="7" t="s">
        <v>2276</v>
      </c>
      <c r="B953" s="8" t="s">
        <v>7306</v>
      </c>
      <c r="C953" s="9" t="s">
        <v>3481</v>
      </c>
      <c r="D953" s="104"/>
      <c r="E953" s="104"/>
      <c r="F953" s="105">
        <f t="shared" si="29"/>
        <v>0</v>
      </c>
      <c r="G953" s="106">
        <f t="shared" si="28"/>
        <v>0</v>
      </c>
      <c r="H953" s="81">
        <v>0.72050000000000003</v>
      </c>
      <c r="I953" s="2619" t="s">
        <v>1146</v>
      </c>
    </row>
    <row r="954" spans="1:9" ht="16.5">
      <c r="A954" s="7" t="s">
        <v>2277</v>
      </c>
      <c r="B954" s="8" t="s">
        <v>7307</v>
      </c>
      <c r="C954" s="9" t="s">
        <v>3481</v>
      </c>
      <c r="D954" s="104"/>
      <c r="E954" s="104"/>
      <c r="F954" s="105">
        <f t="shared" si="29"/>
        <v>0</v>
      </c>
      <c r="G954" s="106">
        <f t="shared" si="28"/>
        <v>0</v>
      </c>
      <c r="H954" s="81">
        <v>0.70979999999999999</v>
      </c>
      <c r="I954" s="2619" t="s">
        <v>1146</v>
      </c>
    </row>
    <row r="955" spans="1:9" ht="16.5">
      <c r="A955" s="7" t="s">
        <v>2278</v>
      </c>
      <c r="B955" s="8" t="s">
        <v>7308</v>
      </c>
      <c r="C955" s="9" t="s">
        <v>3481</v>
      </c>
      <c r="D955" s="104"/>
      <c r="E955" s="104"/>
      <c r="F955" s="105">
        <f t="shared" si="29"/>
        <v>0</v>
      </c>
      <c r="G955" s="106">
        <f t="shared" si="28"/>
        <v>0</v>
      </c>
      <c r="H955" s="81">
        <v>1.081</v>
      </c>
      <c r="I955" s="2619" t="s">
        <v>1146</v>
      </c>
    </row>
    <row r="956" spans="1:9" ht="16.5">
      <c r="A956" s="7" t="s">
        <v>2279</v>
      </c>
      <c r="B956" s="8" t="s">
        <v>7309</v>
      </c>
      <c r="C956" s="9" t="s">
        <v>3481</v>
      </c>
      <c r="D956" s="104"/>
      <c r="E956" s="104"/>
      <c r="F956" s="105">
        <f t="shared" si="29"/>
        <v>0</v>
      </c>
      <c r="G956" s="106">
        <f t="shared" si="28"/>
        <v>0</v>
      </c>
      <c r="H956" s="81">
        <v>0.87739999999999996</v>
      </c>
      <c r="I956" s="2619" t="s">
        <v>1146</v>
      </c>
    </row>
    <row r="957" spans="1:9" ht="16.5">
      <c r="A957" s="7" t="s">
        <v>2280</v>
      </c>
      <c r="B957" s="8" t="s">
        <v>7310</v>
      </c>
      <c r="C957" s="9" t="s">
        <v>3481</v>
      </c>
      <c r="D957" s="104"/>
      <c r="E957" s="104"/>
      <c r="F957" s="105">
        <f t="shared" si="29"/>
        <v>0</v>
      </c>
      <c r="G957" s="106">
        <f t="shared" si="28"/>
        <v>0</v>
      </c>
      <c r="H957" s="81">
        <v>0.2782</v>
      </c>
      <c r="I957" s="2619" t="s">
        <v>1146</v>
      </c>
    </row>
    <row r="958" spans="1:9" ht="16.5">
      <c r="A958" s="7" t="s">
        <v>2281</v>
      </c>
      <c r="B958" s="8" t="s">
        <v>7311</v>
      </c>
      <c r="C958" s="9" t="s">
        <v>3481</v>
      </c>
      <c r="D958" s="104"/>
      <c r="E958" s="104"/>
      <c r="F958" s="105">
        <f t="shared" si="29"/>
        <v>0</v>
      </c>
      <c r="G958" s="106">
        <f t="shared" si="28"/>
        <v>0</v>
      </c>
      <c r="H958" s="81">
        <v>1.2956000000000001</v>
      </c>
      <c r="I958" s="2619" t="s">
        <v>1146</v>
      </c>
    </row>
    <row r="959" spans="1:9" ht="16.5">
      <c r="A959" s="7" t="s">
        <v>2282</v>
      </c>
      <c r="B959" s="8" t="s">
        <v>7312</v>
      </c>
      <c r="C959" s="9" t="s">
        <v>3481</v>
      </c>
      <c r="D959" s="104"/>
      <c r="E959" s="104"/>
      <c r="F959" s="105">
        <f t="shared" si="29"/>
        <v>0</v>
      </c>
      <c r="G959" s="106">
        <f t="shared" si="28"/>
        <v>0</v>
      </c>
      <c r="H959" s="81">
        <v>0.55320000000000003</v>
      </c>
      <c r="I959" s="2619" t="s">
        <v>1146</v>
      </c>
    </row>
    <row r="960" spans="1:9" ht="16.5">
      <c r="A960" s="7" t="s">
        <v>2283</v>
      </c>
      <c r="B960" s="8" t="s">
        <v>7313</v>
      </c>
      <c r="C960" s="9" t="s">
        <v>3481</v>
      </c>
      <c r="D960" s="104"/>
      <c r="E960" s="104"/>
      <c r="F960" s="105">
        <f t="shared" si="29"/>
        <v>0</v>
      </c>
      <c r="G960" s="106">
        <f t="shared" si="28"/>
        <v>0</v>
      </c>
      <c r="H960" s="81">
        <v>0.64600000000000002</v>
      </c>
      <c r="I960" s="2619" t="s">
        <v>1146</v>
      </c>
    </row>
    <row r="961" spans="1:9" ht="16.5">
      <c r="A961" s="7" t="s">
        <v>2284</v>
      </c>
      <c r="B961" s="8" t="s">
        <v>7314</v>
      </c>
      <c r="C961" s="9" t="s">
        <v>3481</v>
      </c>
      <c r="D961" s="104"/>
      <c r="E961" s="104"/>
      <c r="F961" s="105">
        <f t="shared" si="29"/>
        <v>0</v>
      </c>
      <c r="G961" s="106">
        <f t="shared" si="28"/>
        <v>0</v>
      </c>
      <c r="H961" s="81">
        <v>0.71330000000000005</v>
      </c>
      <c r="I961" s="2619" t="s">
        <v>1146</v>
      </c>
    </row>
    <row r="962" spans="1:9" ht="16.5">
      <c r="A962" s="7" t="s">
        <v>2285</v>
      </c>
      <c r="B962" s="8" t="s">
        <v>7315</v>
      </c>
      <c r="C962" s="9" t="s">
        <v>3481</v>
      </c>
      <c r="D962" s="104"/>
      <c r="E962" s="104"/>
      <c r="F962" s="105">
        <f t="shared" si="29"/>
        <v>0</v>
      </c>
      <c r="G962" s="106">
        <f t="shared" si="28"/>
        <v>0</v>
      </c>
      <c r="H962" s="81">
        <v>-6.4799999999999996E-2</v>
      </c>
      <c r="I962" s="2619" t="s">
        <v>1146</v>
      </c>
    </row>
    <row r="963" spans="1:9" ht="16.5">
      <c r="A963" s="7" t="s">
        <v>2286</v>
      </c>
      <c r="B963" s="8" t="s">
        <v>7316</v>
      </c>
      <c r="C963" s="9" t="s">
        <v>3481</v>
      </c>
      <c r="D963" s="104"/>
      <c r="E963" s="104"/>
      <c r="F963" s="105">
        <f t="shared" si="29"/>
        <v>0</v>
      </c>
      <c r="G963" s="106">
        <f t="shared" si="28"/>
        <v>0</v>
      </c>
      <c r="H963" s="81">
        <v>0.5091</v>
      </c>
      <c r="I963" s="2619" t="s">
        <v>1146</v>
      </c>
    </row>
    <row r="964" spans="1:9" ht="16.5">
      <c r="A964" s="7" t="s">
        <v>2287</v>
      </c>
      <c r="B964" s="8" t="s">
        <v>7317</v>
      </c>
      <c r="C964" s="9" t="s">
        <v>3481</v>
      </c>
      <c r="D964" s="104"/>
      <c r="E964" s="104"/>
      <c r="F964" s="105">
        <f t="shared" si="29"/>
        <v>0</v>
      </c>
      <c r="G964" s="106">
        <f t="shared" ref="G964:G1027" si="30">IF($F$1265=0,0,F964/$F$1265)</f>
        <v>0</v>
      </c>
      <c r="H964" s="81">
        <v>0.58109999999999995</v>
      </c>
      <c r="I964" s="2619" t="s">
        <v>1146</v>
      </c>
    </row>
    <row r="965" spans="1:9" ht="16.5">
      <c r="A965" s="7" t="s">
        <v>2288</v>
      </c>
      <c r="B965" s="8" t="s">
        <v>7318</v>
      </c>
      <c r="C965" s="9" t="s">
        <v>3481</v>
      </c>
      <c r="D965" s="104"/>
      <c r="E965" s="104"/>
      <c r="F965" s="105">
        <f t="shared" ref="F965:F1028" si="31">D965*E965</f>
        <v>0</v>
      </c>
      <c r="G965" s="106">
        <f t="shared" si="30"/>
        <v>0</v>
      </c>
      <c r="H965" s="81">
        <v>0.52580000000000005</v>
      </c>
      <c r="I965" s="2619" t="s">
        <v>1146</v>
      </c>
    </row>
    <row r="966" spans="1:9" ht="16.5">
      <c r="A966" s="7" t="s">
        <v>2289</v>
      </c>
      <c r="B966" s="8" t="s">
        <v>7319</v>
      </c>
      <c r="C966" s="9" t="s">
        <v>3481</v>
      </c>
      <c r="D966" s="104"/>
      <c r="E966" s="104"/>
      <c r="F966" s="105">
        <f t="shared" si="31"/>
        <v>0</v>
      </c>
      <c r="G966" s="106">
        <f t="shared" si="30"/>
        <v>0</v>
      </c>
      <c r="H966" s="81">
        <v>0.72260000000000002</v>
      </c>
      <c r="I966" s="2619" t="s">
        <v>1146</v>
      </c>
    </row>
    <row r="967" spans="1:9" ht="16.5">
      <c r="A967" s="7" t="s">
        <v>2290</v>
      </c>
      <c r="B967" s="8" t="s">
        <v>7320</v>
      </c>
      <c r="C967" s="9" t="s">
        <v>3481</v>
      </c>
      <c r="D967" s="104"/>
      <c r="E967" s="104"/>
      <c r="F967" s="105">
        <f t="shared" si="31"/>
        <v>0</v>
      </c>
      <c r="G967" s="106">
        <f t="shared" si="30"/>
        <v>0</v>
      </c>
      <c r="H967" s="81">
        <v>0.39029999999999998</v>
      </c>
      <c r="I967" s="2619" t="s">
        <v>1146</v>
      </c>
    </row>
    <row r="968" spans="1:9" ht="16.5">
      <c r="A968" s="7" t="s">
        <v>2291</v>
      </c>
      <c r="B968" s="8" t="s">
        <v>7321</v>
      </c>
      <c r="C968" s="9" t="s">
        <v>3481</v>
      </c>
      <c r="D968" s="104"/>
      <c r="E968" s="104"/>
      <c r="F968" s="105">
        <f t="shared" si="31"/>
        <v>0</v>
      </c>
      <c r="G968" s="106">
        <f t="shared" si="30"/>
        <v>0</v>
      </c>
      <c r="H968" s="81">
        <v>0.89229999999999998</v>
      </c>
      <c r="I968" s="2619" t="s">
        <v>1146</v>
      </c>
    </row>
    <row r="969" spans="1:9" ht="16.5">
      <c r="A969" s="7" t="s">
        <v>2292</v>
      </c>
      <c r="B969" s="8" t="s">
        <v>7322</v>
      </c>
      <c r="C969" s="9" t="s">
        <v>3481</v>
      </c>
      <c r="D969" s="104"/>
      <c r="E969" s="104"/>
      <c r="F969" s="105">
        <f t="shared" si="31"/>
        <v>0</v>
      </c>
      <c r="G969" s="106">
        <f t="shared" si="30"/>
        <v>0</v>
      </c>
      <c r="H969" s="81">
        <v>0.32229999999999998</v>
      </c>
      <c r="I969" s="2619" t="s">
        <v>1146</v>
      </c>
    </row>
    <row r="970" spans="1:9" ht="16.5">
      <c r="A970" s="7" t="s">
        <v>2293</v>
      </c>
      <c r="B970" s="8" t="s">
        <v>7323</v>
      </c>
      <c r="C970" s="9" t="s">
        <v>3481</v>
      </c>
      <c r="D970" s="104"/>
      <c r="E970" s="104"/>
      <c r="F970" s="105">
        <f t="shared" si="31"/>
        <v>0</v>
      </c>
      <c r="G970" s="106">
        <f t="shared" si="30"/>
        <v>0</v>
      </c>
      <c r="H970" s="81">
        <v>0.377</v>
      </c>
      <c r="I970" s="2619" t="s">
        <v>1146</v>
      </c>
    </row>
    <row r="971" spans="1:9" ht="16.5">
      <c r="A971" s="7" t="s">
        <v>2294</v>
      </c>
      <c r="B971" s="8" t="s">
        <v>7324</v>
      </c>
      <c r="C971" s="9" t="s">
        <v>3481</v>
      </c>
      <c r="D971" s="104"/>
      <c r="E971" s="104"/>
      <c r="F971" s="105">
        <f t="shared" si="31"/>
        <v>0</v>
      </c>
      <c r="G971" s="106">
        <f t="shared" si="30"/>
        <v>0</v>
      </c>
      <c r="H971" s="81">
        <v>0.47539999999999999</v>
      </c>
      <c r="I971" s="2619" t="s">
        <v>1146</v>
      </c>
    </row>
    <row r="972" spans="1:9" ht="16.5">
      <c r="A972" s="7" t="s">
        <v>2295</v>
      </c>
      <c r="B972" s="8" t="s">
        <v>7325</v>
      </c>
      <c r="C972" s="9" t="s">
        <v>3481</v>
      </c>
      <c r="D972" s="104"/>
      <c r="E972" s="104"/>
      <c r="F972" s="105">
        <f t="shared" si="31"/>
        <v>0</v>
      </c>
      <c r="G972" s="106">
        <f t="shared" si="30"/>
        <v>0</v>
      </c>
      <c r="H972" s="81">
        <v>1.4549000000000001</v>
      </c>
      <c r="I972" s="2619" t="s">
        <v>1146</v>
      </c>
    </row>
    <row r="973" spans="1:9" ht="16.5">
      <c r="A973" s="7" t="s">
        <v>2296</v>
      </c>
      <c r="B973" s="8" t="s">
        <v>7326</v>
      </c>
      <c r="C973" s="9" t="s">
        <v>3481</v>
      </c>
      <c r="D973" s="104"/>
      <c r="E973" s="104"/>
      <c r="F973" s="105">
        <f t="shared" si="31"/>
        <v>0</v>
      </c>
      <c r="G973" s="106">
        <f t="shared" si="30"/>
        <v>0</v>
      </c>
      <c r="H973" s="81">
        <v>1.6564000000000001</v>
      </c>
      <c r="I973" s="2619" t="s">
        <v>1146</v>
      </c>
    </row>
    <row r="974" spans="1:9" ht="16.5">
      <c r="A974" s="7" t="s">
        <v>2297</v>
      </c>
      <c r="B974" s="8" t="s">
        <v>7327</v>
      </c>
      <c r="C974" s="9" t="s">
        <v>3481</v>
      </c>
      <c r="D974" s="104"/>
      <c r="E974" s="104"/>
      <c r="F974" s="105">
        <f t="shared" si="31"/>
        <v>0</v>
      </c>
      <c r="G974" s="106">
        <f t="shared" si="30"/>
        <v>0</v>
      </c>
      <c r="H974" s="81">
        <v>0.41760000000000003</v>
      </c>
      <c r="I974" s="2619" t="s">
        <v>1146</v>
      </c>
    </row>
    <row r="975" spans="1:9" ht="16.5">
      <c r="A975" s="7" t="s">
        <v>2298</v>
      </c>
      <c r="B975" s="8" t="s">
        <v>7328</v>
      </c>
      <c r="C975" s="9" t="s">
        <v>3481</v>
      </c>
      <c r="D975" s="104"/>
      <c r="E975" s="104"/>
      <c r="F975" s="105">
        <f t="shared" si="31"/>
        <v>0</v>
      </c>
      <c r="G975" s="106">
        <f t="shared" si="30"/>
        <v>0</v>
      </c>
      <c r="H975" s="81">
        <v>0.67149999999999999</v>
      </c>
      <c r="I975" s="2619" t="s">
        <v>1146</v>
      </c>
    </row>
    <row r="976" spans="1:9" ht="16.5">
      <c r="A976" s="7" t="s">
        <v>2299</v>
      </c>
      <c r="B976" s="8" t="s">
        <v>7329</v>
      </c>
      <c r="C976" s="9" t="s">
        <v>3481</v>
      </c>
      <c r="D976" s="104"/>
      <c r="E976" s="104"/>
      <c r="F976" s="105">
        <f t="shared" si="31"/>
        <v>0</v>
      </c>
      <c r="G976" s="106">
        <f t="shared" si="30"/>
        <v>0</v>
      </c>
      <c r="H976" s="81">
        <v>0.54520000000000002</v>
      </c>
      <c r="I976" s="2619" t="s">
        <v>1146</v>
      </c>
    </row>
    <row r="977" spans="1:9" ht="16.5">
      <c r="A977" s="7" t="s">
        <v>2300</v>
      </c>
      <c r="B977" s="8" t="s">
        <v>7330</v>
      </c>
      <c r="C977" s="9" t="s">
        <v>3481</v>
      </c>
      <c r="D977" s="104"/>
      <c r="E977" s="104"/>
      <c r="F977" s="105">
        <f t="shared" si="31"/>
        <v>0</v>
      </c>
      <c r="G977" s="106">
        <f t="shared" si="30"/>
        <v>0</v>
      </c>
      <c r="H977" s="81">
        <v>0.82189999999999996</v>
      </c>
      <c r="I977" s="2619" t="s">
        <v>1146</v>
      </c>
    </row>
    <row r="978" spans="1:9" ht="16.5">
      <c r="A978" s="7" t="s">
        <v>2301</v>
      </c>
      <c r="B978" s="8" t="s">
        <v>7331</v>
      </c>
      <c r="C978" s="9" t="s">
        <v>3481</v>
      </c>
      <c r="D978" s="104"/>
      <c r="E978" s="104"/>
      <c r="F978" s="105">
        <f t="shared" si="31"/>
        <v>0</v>
      </c>
      <c r="G978" s="106">
        <f t="shared" si="30"/>
        <v>0</v>
      </c>
      <c r="H978" s="81">
        <v>0.93540000000000001</v>
      </c>
      <c r="I978" s="2619" t="s">
        <v>1146</v>
      </c>
    </row>
    <row r="979" spans="1:9" ht="16.5">
      <c r="A979" s="7" t="s">
        <v>2302</v>
      </c>
      <c r="B979" s="8" t="s">
        <v>7332</v>
      </c>
      <c r="C979" s="9" t="s">
        <v>3481</v>
      </c>
      <c r="D979" s="104"/>
      <c r="E979" s="104"/>
      <c r="F979" s="105">
        <f t="shared" si="31"/>
        <v>0</v>
      </c>
      <c r="G979" s="106">
        <f t="shared" si="30"/>
        <v>0</v>
      </c>
      <c r="H979" s="81">
        <v>0.82289999999999996</v>
      </c>
      <c r="I979" s="2619" t="s">
        <v>1146</v>
      </c>
    </row>
    <row r="980" spans="1:9" ht="16.5">
      <c r="A980" s="7" t="s">
        <v>2303</v>
      </c>
      <c r="B980" s="8" t="s">
        <v>7333</v>
      </c>
      <c r="C980" s="9" t="s">
        <v>3481</v>
      </c>
      <c r="D980" s="104"/>
      <c r="E980" s="104"/>
      <c r="F980" s="105">
        <f t="shared" si="31"/>
        <v>0</v>
      </c>
      <c r="G980" s="106">
        <f t="shared" si="30"/>
        <v>0</v>
      </c>
      <c r="H980" s="81">
        <v>0.41049999999999998</v>
      </c>
      <c r="I980" s="2619" t="s">
        <v>1146</v>
      </c>
    </row>
    <row r="981" spans="1:9" ht="16.5">
      <c r="A981" s="7" t="s">
        <v>2304</v>
      </c>
      <c r="B981" s="8" t="s">
        <v>7334</v>
      </c>
      <c r="C981" s="9" t="s">
        <v>3481</v>
      </c>
      <c r="D981" s="104"/>
      <c r="E981" s="104"/>
      <c r="F981" s="105">
        <f t="shared" si="31"/>
        <v>0</v>
      </c>
      <c r="G981" s="106">
        <f t="shared" si="30"/>
        <v>0</v>
      </c>
      <c r="H981" s="81">
        <v>0.39219999999999999</v>
      </c>
      <c r="I981" s="2619" t="s">
        <v>1146</v>
      </c>
    </row>
    <row r="982" spans="1:9" ht="16.5">
      <c r="A982" s="7" t="s">
        <v>2305</v>
      </c>
      <c r="B982" s="8" t="s">
        <v>7335</v>
      </c>
      <c r="C982" s="9" t="s">
        <v>3481</v>
      </c>
      <c r="D982" s="104"/>
      <c r="E982" s="104"/>
      <c r="F982" s="105">
        <f t="shared" si="31"/>
        <v>0</v>
      </c>
      <c r="G982" s="106">
        <f t="shared" si="30"/>
        <v>0</v>
      </c>
      <c r="H982" s="81">
        <v>0.41149999999999998</v>
      </c>
      <c r="I982" s="2619" t="s">
        <v>1146</v>
      </c>
    </row>
    <row r="983" spans="1:9" ht="16.5">
      <c r="A983" s="7" t="s">
        <v>2306</v>
      </c>
      <c r="B983" s="8" t="s">
        <v>7336</v>
      </c>
      <c r="C983" s="9" t="s">
        <v>3481</v>
      </c>
      <c r="D983" s="104"/>
      <c r="E983" s="104"/>
      <c r="F983" s="105">
        <f t="shared" si="31"/>
        <v>0</v>
      </c>
      <c r="G983" s="106">
        <f t="shared" si="30"/>
        <v>0</v>
      </c>
      <c r="H983" s="81">
        <v>0.42209999999999998</v>
      </c>
      <c r="I983" s="2619" t="s">
        <v>1146</v>
      </c>
    </row>
    <row r="984" spans="1:9" ht="16.5">
      <c r="A984" s="7" t="s">
        <v>2307</v>
      </c>
      <c r="B984" s="8" t="s">
        <v>7337</v>
      </c>
      <c r="C984" s="9" t="s">
        <v>3481</v>
      </c>
      <c r="D984" s="104"/>
      <c r="E984" s="104"/>
      <c r="F984" s="105">
        <f t="shared" si="31"/>
        <v>0</v>
      </c>
      <c r="G984" s="106">
        <f t="shared" si="30"/>
        <v>0</v>
      </c>
      <c r="H984" s="81">
        <v>0.1133</v>
      </c>
      <c r="I984" s="2619" t="s">
        <v>1146</v>
      </c>
    </row>
    <row r="985" spans="1:9" ht="16.5">
      <c r="A985" s="7" t="s">
        <v>2308</v>
      </c>
      <c r="B985" s="8" t="s">
        <v>7338</v>
      </c>
      <c r="C985" s="9" t="s">
        <v>3481</v>
      </c>
      <c r="D985" s="104"/>
      <c r="E985" s="104"/>
      <c r="F985" s="105">
        <f t="shared" si="31"/>
        <v>0</v>
      </c>
      <c r="G985" s="106">
        <f t="shared" si="30"/>
        <v>0</v>
      </c>
      <c r="H985" s="81">
        <v>0.22559999999999999</v>
      </c>
      <c r="I985" s="2619" t="s">
        <v>1146</v>
      </c>
    </row>
    <row r="986" spans="1:9" ht="16.5">
      <c r="A986" s="7" t="s">
        <v>2309</v>
      </c>
      <c r="B986" s="8" t="s">
        <v>7339</v>
      </c>
      <c r="C986" s="9" t="s">
        <v>3481</v>
      </c>
      <c r="D986" s="104"/>
      <c r="E986" s="104"/>
      <c r="F986" s="105">
        <f t="shared" si="31"/>
        <v>0</v>
      </c>
      <c r="G986" s="106">
        <f t="shared" si="30"/>
        <v>0</v>
      </c>
      <c r="H986" s="81">
        <v>0.1152</v>
      </c>
      <c r="I986" s="2619" t="s">
        <v>1146</v>
      </c>
    </row>
    <row r="987" spans="1:9" ht="16.5">
      <c r="A987" s="7" t="s">
        <v>5024</v>
      </c>
      <c r="B987" s="8" t="s">
        <v>7340</v>
      </c>
      <c r="C987" s="9" t="s">
        <v>3481</v>
      </c>
      <c r="D987" s="104"/>
      <c r="E987" s="104"/>
      <c r="F987" s="105">
        <f t="shared" si="31"/>
        <v>0</v>
      </c>
      <c r="G987" s="106">
        <f t="shared" si="30"/>
        <v>0</v>
      </c>
      <c r="H987" s="81">
        <v>6.3299999999999995E-2</v>
      </c>
      <c r="I987" s="2619" t="s">
        <v>1146</v>
      </c>
    </row>
    <row r="988" spans="1:9" ht="16.5">
      <c r="A988" s="7" t="s">
        <v>2310</v>
      </c>
      <c r="B988" s="8" t="s">
        <v>7341</v>
      </c>
      <c r="C988" s="9" t="s">
        <v>3481</v>
      </c>
      <c r="D988" s="104"/>
      <c r="E988" s="104"/>
      <c r="F988" s="105">
        <f t="shared" si="31"/>
        <v>0</v>
      </c>
      <c r="G988" s="106">
        <f t="shared" si="30"/>
        <v>0</v>
      </c>
      <c r="H988" s="81">
        <v>0.3664</v>
      </c>
      <c r="I988" s="2619" t="s">
        <v>1146</v>
      </c>
    </row>
    <row r="989" spans="1:9" ht="16.5">
      <c r="A989" s="7" t="s">
        <v>2311</v>
      </c>
      <c r="B989" s="8" t="s">
        <v>7342</v>
      </c>
      <c r="C989" s="9" t="s">
        <v>3481</v>
      </c>
      <c r="D989" s="104"/>
      <c r="E989" s="104"/>
      <c r="F989" s="105">
        <f t="shared" si="31"/>
        <v>0</v>
      </c>
      <c r="G989" s="106">
        <f t="shared" si="30"/>
        <v>0</v>
      </c>
      <c r="H989" s="81">
        <v>0.26900000000000002</v>
      </c>
      <c r="I989" s="2619" t="s">
        <v>1146</v>
      </c>
    </row>
    <row r="990" spans="1:9" ht="16.5">
      <c r="A990" s="7" t="s">
        <v>2312</v>
      </c>
      <c r="B990" s="8" t="s">
        <v>7343</v>
      </c>
      <c r="C990" s="9" t="s">
        <v>3481</v>
      </c>
      <c r="D990" s="104"/>
      <c r="E990" s="104"/>
      <c r="F990" s="105">
        <f t="shared" si="31"/>
        <v>0</v>
      </c>
      <c r="G990" s="106">
        <f t="shared" si="30"/>
        <v>0</v>
      </c>
      <c r="H990" s="81">
        <v>0.94530000000000003</v>
      </c>
      <c r="I990" s="2619" t="s">
        <v>1146</v>
      </c>
    </row>
    <row r="991" spans="1:9" ht="16.5">
      <c r="A991" s="7" t="s">
        <v>2313</v>
      </c>
      <c r="B991" s="8" t="s">
        <v>7344</v>
      </c>
      <c r="C991" s="9" t="s">
        <v>3481</v>
      </c>
      <c r="D991" s="104"/>
      <c r="E991" s="104"/>
      <c r="F991" s="105">
        <f t="shared" si="31"/>
        <v>0</v>
      </c>
      <c r="G991" s="106">
        <f t="shared" si="30"/>
        <v>0</v>
      </c>
      <c r="H991" s="81">
        <v>0.74739999999999995</v>
      </c>
      <c r="I991" s="2619" t="s">
        <v>1146</v>
      </c>
    </row>
    <row r="992" spans="1:9" ht="16.5">
      <c r="A992" s="7" t="s">
        <v>2314</v>
      </c>
      <c r="B992" s="8" t="s">
        <v>7345</v>
      </c>
      <c r="C992" s="9" t="s">
        <v>3481</v>
      </c>
      <c r="D992" s="104"/>
      <c r="E992" s="104"/>
      <c r="F992" s="105">
        <f t="shared" si="31"/>
        <v>0</v>
      </c>
      <c r="G992" s="106">
        <f t="shared" si="30"/>
        <v>0</v>
      </c>
      <c r="H992" s="81">
        <v>0.27539999999999998</v>
      </c>
      <c r="I992" s="2619" t="s">
        <v>1146</v>
      </c>
    </row>
    <row r="993" spans="1:9" ht="16.5">
      <c r="A993" s="7" t="s">
        <v>2315</v>
      </c>
      <c r="B993" s="8" t="s">
        <v>7346</v>
      </c>
      <c r="C993" s="9" t="s">
        <v>3481</v>
      </c>
      <c r="D993" s="104"/>
      <c r="E993" s="104"/>
      <c r="F993" s="105">
        <f t="shared" si="31"/>
        <v>0</v>
      </c>
      <c r="G993" s="106">
        <f t="shared" si="30"/>
        <v>0</v>
      </c>
      <c r="H993" s="81">
        <v>1.0687</v>
      </c>
      <c r="I993" s="2619" t="s">
        <v>1146</v>
      </c>
    </row>
    <row r="994" spans="1:9" ht="16.5">
      <c r="A994" s="7" t="s">
        <v>2316</v>
      </c>
      <c r="B994" s="8" t="s">
        <v>7347</v>
      </c>
      <c r="C994" s="9" t="s">
        <v>3481</v>
      </c>
      <c r="D994" s="104"/>
      <c r="E994" s="104"/>
      <c r="F994" s="105">
        <f t="shared" si="31"/>
        <v>0</v>
      </c>
      <c r="G994" s="106">
        <f t="shared" si="30"/>
        <v>0</v>
      </c>
      <c r="H994" s="81">
        <v>0.35749999999999998</v>
      </c>
      <c r="I994" s="2619" t="s">
        <v>1146</v>
      </c>
    </row>
    <row r="995" spans="1:9" ht="16.5">
      <c r="A995" s="7" t="s">
        <v>2317</v>
      </c>
      <c r="B995" s="8" t="s">
        <v>7348</v>
      </c>
      <c r="C995" s="9" t="s">
        <v>3481</v>
      </c>
      <c r="D995" s="104"/>
      <c r="E995" s="104"/>
      <c r="F995" s="105">
        <f t="shared" si="31"/>
        <v>0</v>
      </c>
      <c r="G995" s="106">
        <f t="shared" si="30"/>
        <v>0</v>
      </c>
      <c r="H995" s="81">
        <v>0.4178</v>
      </c>
      <c r="I995" s="2619" t="s">
        <v>1146</v>
      </c>
    </row>
    <row r="996" spans="1:9" ht="16.5">
      <c r="A996" s="7" t="s">
        <v>2318</v>
      </c>
      <c r="B996" s="8" t="s">
        <v>7349</v>
      </c>
      <c r="C996" s="9" t="s">
        <v>3481</v>
      </c>
      <c r="D996" s="104"/>
      <c r="E996" s="104"/>
      <c r="F996" s="105">
        <f t="shared" si="31"/>
        <v>0</v>
      </c>
      <c r="G996" s="106">
        <f t="shared" si="30"/>
        <v>0</v>
      </c>
      <c r="H996" s="81">
        <v>0.35039999999999999</v>
      </c>
      <c r="I996" s="2619" t="s">
        <v>1146</v>
      </c>
    </row>
    <row r="997" spans="1:9" ht="16.5">
      <c r="A997" s="7" t="s">
        <v>3350</v>
      </c>
      <c r="B997" s="8" t="s">
        <v>7350</v>
      </c>
      <c r="C997" s="9" t="s">
        <v>3481</v>
      </c>
      <c r="D997" s="104"/>
      <c r="E997" s="104"/>
      <c r="F997" s="105">
        <f t="shared" si="31"/>
        <v>0</v>
      </c>
      <c r="G997" s="106">
        <f t="shared" si="30"/>
        <v>0</v>
      </c>
      <c r="H997" s="81">
        <v>1</v>
      </c>
      <c r="I997" s="2619" t="s">
        <v>6861</v>
      </c>
    </row>
    <row r="998" spans="1:9" ht="16.5">
      <c r="A998" s="7" t="s">
        <v>2319</v>
      </c>
      <c r="B998" s="8" t="s">
        <v>7351</v>
      </c>
      <c r="C998" s="9" t="s">
        <v>3481</v>
      </c>
      <c r="D998" s="104"/>
      <c r="E998" s="104"/>
      <c r="F998" s="105">
        <f t="shared" si="31"/>
        <v>0</v>
      </c>
      <c r="G998" s="106">
        <f t="shared" si="30"/>
        <v>0</v>
      </c>
      <c r="H998" s="81">
        <v>1.4196</v>
      </c>
      <c r="I998" s="2619" t="s">
        <v>1146</v>
      </c>
    </row>
    <row r="999" spans="1:9" ht="16.5">
      <c r="A999" s="7" t="s">
        <v>2320</v>
      </c>
      <c r="B999" s="8" t="s">
        <v>7352</v>
      </c>
      <c r="C999" s="9" t="s">
        <v>3481</v>
      </c>
      <c r="D999" s="104"/>
      <c r="E999" s="104"/>
      <c r="F999" s="105">
        <f t="shared" si="31"/>
        <v>0</v>
      </c>
      <c r="G999" s="106">
        <f t="shared" si="30"/>
        <v>0</v>
      </c>
      <c r="H999" s="81">
        <v>0.1865</v>
      </c>
      <c r="I999" s="2619" t="s">
        <v>1146</v>
      </c>
    </row>
    <row r="1000" spans="1:9" ht="16.5">
      <c r="A1000" s="7" t="s">
        <v>2321</v>
      </c>
      <c r="B1000" s="8" t="s">
        <v>7353</v>
      </c>
      <c r="C1000" s="9" t="s">
        <v>3481</v>
      </c>
      <c r="D1000" s="104"/>
      <c r="E1000" s="104"/>
      <c r="F1000" s="105">
        <f t="shared" si="31"/>
        <v>0</v>
      </c>
      <c r="G1000" s="106">
        <f t="shared" si="30"/>
        <v>0</v>
      </c>
      <c r="H1000" s="81">
        <v>0.24959999999999999</v>
      </c>
      <c r="I1000" s="2619" t="s">
        <v>1146</v>
      </c>
    </row>
    <row r="1001" spans="1:9" ht="16.5">
      <c r="A1001" s="7" t="s">
        <v>2322</v>
      </c>
      <c r="B1001" s="8" t="s">
        <v>7354</v>
      </c>
      <c r="C1001" s="9" t="s">
        <v>3481</v>
      </c>
      <c r="D1001" s="104"/>
      <c r="E1001" s="104"/>
      <c r="F1001" s="105">
        <f t="shared" si="31"/>
        <v>0</v>
      </c>
      <c r="G1001" s="106">
        <f t="shared" si="30"/>
        <v>0</v>
      </c>
      <c r="H1001" s="81">
        <v>0.35949999999999999</v>
      </c>
      <c r="I1001" s="2619" t="s">
        <v>1146</v>
      </c>
    </row>
    <row r="1002" spans="1:9" ht="16.5">
      <c r="A1002" s="7" t="s">
        <v>2323</v>
      </c>
      <c r="B1002" s="8" t="s">
        <v>7355</v>
      </c>
      <c r="C1002" s="9" t="s">
        <v>3481</v>
      </c>
      <c r="D1002" s="104"/>
      <c r="E1002" s="104"/>
      <c r="F1002" s="105">
        <f t="shared" si="31"/>
        <v>0</v>
      </c>
      <c r="G1002" s="106">
        <f t="shared" si="30"/>
        <v>0</v>
      </c>
      <c r="H1002" s="81">
        <v>0.31109999999999999</v>
      </c>
      <c r="I1002" s="2619" t="s">
        <v>1146</v>
      </c>
    </row>
    <row r="1003" spans="1:9" ht="16.5">
      <c r="A1003" s="7" t="s">
        <v>2324</v>
      </c>
      <c r="B1003" s="8" t="s">
        <v>7356</v>
      </c>
      <c r="C1003" s="9" t="s">
        <v>3481</v>
      </c>
      <c r="D1003" s="104"/>
      <c r="E1003" s="104"/>
      <c r="F1003" s="105">
        <f t="shared" si="31"/>
        <v>0</v>
      </c>
      <c r="G1003" s="106">
        <f t="shared" si="30"/>
        <v>0</v>
      </c>
      <c r="H1003" s="81">
        <v>0.55279999999999996</v>
      </c>
      <c r="I1003" s="2619" t="s">
        <v>1146</v>
      </c>
    </row>
    <row r="1004" spans="1:9" ht="16.5">
      <c r="A1004" s="7" t="s">
        <v>2325</v>
      </c>
      <c r="B1004" s="8" t="s">
        <v>7357</v>
      </c>
      <c r="C1004" s="9" t="s">
        <v>3481</v>
      </c>
      <c r="D1004" s="104"/>
      <c r="E1004" s="104"/>
      <c r="F1004" s="105">
        <f t="shared" si="31"/>
        <v>0</v>
      </c>
      <c r="G1004" s="106">
        <f t="shared" si="30"/>
        <v>0</v>
      </c>
      <c r="H1004" s="81">
        <v>0.37409999999999999</v>
      </c>
      <c r="I1004" s="2619" t="s">
        <v>1146</v>
      </c>
    </row>
    <row r="1005" spans="1:9" ht="16.5">
      <c r="A1005" s="7" t="s">
        <v>2326</v>
      </c>
      <c r="B1005" s="8" t="s">
        <v>7358</v>
      </c>
      <c r="C1005" s="9" t="s">
        <v>3481</v>
      </c>
      <c r="D1005" s="104"/>
      <c r="E1005" s="104"/>
      <c r="F1005" s="105">
        <f t="shared" si="31"/>
        <v>0</v>
      </c>
      <c r="G1005" s="106">
        <f t="shared" si="30"/>
        <v>0</v>
      </c>
      <c r="H1005" s="81">
        <v>1.0636000000000001</v>
      </c>
      <c r="I1005" s="2624" t="s">
        <v>1146</v>
      </c>
    </row>
    <row r="1006" spans="1:9" ht="16.5">
      <c r="A1006" s="7" t="s">
        <v>2327</v>
      </c>
      <c r="B1006" s="8" t="s">
        <v>7359</v>
      </c>
      <c r="C1006" s="9" t="s">
        <v>3481</v>
      </c>
      <c r="D1006" s="104"/>
      <c r="E1006" s="104"/>
      <c r="F1006" s="105">
        <f t="shared" si="31"/>
        <v>0</v>
      </c>
      <c r="G1006" s="106">
        <f t="shared" si="30"/>
        <v>0</v>
      </c>
      <c r="H1006" s="81">
        <v>0.17380000000000001</v>
      </c>
      <c r="I1006" s="2624" t="s">
        <v>1146</v>
      </c>
    </row>
    <row r="1007" spans="1:9" ht="16.5">
      <c r="A1007" s="7" t="s">
        <v>2328</v>
      </c>
      <c r="B1007" s="8" t="s">
        <v>7360</v>
      </c>
      <c r="C1007" s="9" t="s">
        <v>3481</v>
      </c>
      <c r="D1007" s="104"/>
      <c r="E1007" s="104"/>
      <c r="F1007" s="105">
        <f t="shared" si="31"/>
        <v>0</v>
      </c>
      <c r="G1007" s="106">
        <f t="shared" si="30"/>
        <v>0</v>
      </c>
      <c r="H1007" s="81">
        <v>0.36730000000000002</v>
      </c>
      <c r="I1007" s="2619" t="s">
        <v>1146</v>
      </c>
    </row>
    <row r="1008" spans="1:9" ht="16.5">
      <c r="A1008" s="7" t="s">
        <v>2329</v>
      </c>
      <c r="B1008" s="8" t="s">
        <v>7361</v>
      </c>
      <c r="C1008" s="9" t="s">
        <v>3481</v>
      </c>
      <c r="D1008" s="104"/>
      <c r="E1008" s="104"/>
      <c r="F1008" s="105">
        <f t="shared" si="31"/>
        <v>0</v>
      </c>
      <c r="G1008" s="106">
        <f t="shared" si="30"/>
        <v>0</v>
      </c>
      <c r="H1008" s="81">
        <v>0.31590000000000001</v>
      </c>
      <c r="I1008" s="2619" t="s">
        <v>1146</v>
      </c>
    </row>
    <row r="1009" spans="1:9" ht="16.5">
      <c r="A1009" s="7" t="s">
        <v>2330</v>
      </c>
      <c r="B1009" s="8" t="s">
        <v>7362</v>
      </c>
      <c r="C1009" s="9" t="s">
        <v>3481</v>
      </c>
      <c r="D1009" s="104"/>
      <c r="E1009" s="104"/>
      <c r="F1009" s="105">
        <f t="shared" si="31"/>
        <v>0</v>
      </c>
      <c r="G1009" s="106">
        <f t="shared" si="30"/>
        <v>0</v>
      </c>
      <c r="H1009" s="81">
        <v>5.3199999999999997E-2</v>
      </c>
      <c r="I1009" s="2619" t="s">
        <v>1146</v>
      </c>
    </row>
    <row r="1010" spans="1:9" ht="16.5">
      <c r="A1010" s="7" t="s">
        <v>2331</v>
      </c>
      <c r="B1010" s="8" t="s">
        <v>7363</v>
      </c>
      <c r="C1010" s="9" t="s">
        <v>3481</v>
      </c>
      <c r="D1010" s="104"/>
      <c r="E1010" s="104"/>
      <c r="F1010" s="105">
        <f t="shared" si="31"/>
        <v>0</v>
      </c>
      <c r="G1010" s="106">
        <f t="shared" si="30"/>
        <v>0</v>
      </c>
      <c r="H1010" s="81">
        <v>0.1159</v>
      </c>
      <c r="I1010" s="2619" t="s">
        <v>1146</v>
      </c>
    </row>
    <row r="1011" spans="1:9" ht="16.5">
      <c r="A1011" s="7" t="s">
        <v>2332</v>
      </c>
      <c r="B1011" s="8" t="s">
        <v>7364</v>
      </c>
      <c r="C1011" s="9" t="s">
        <v>3481</v>
      </c>
      <c r="D1011" s="104"/>
      <c r="E1011" s="104"/>
      <c r="F1011" s="105">
        <f t="shared" si="31"/>
        <v>0</v>
      </c>
      <c r="G1011" s="106">
        <f t="shared" si="30"/>
        <v>0</v>
      </c>
      <c r="H1011" s="81">
        <v>0.36299999999999999</v>
      </c>
      <c r="I1011" s="2619" t="s">
        <v>1146</v>
      </c>
    </row>
    <row r="1012" spans="1:9" ht="16.5">
      <c r="A1012" s="7" t="s">
        <v>2333</v>
      </c>
      <c r="B1012" s="8" t="s">
        <v>7365</v>
      </c>
      <c r="C1012" s="9" t="s">
        <v>3481</v>
      </c>
      <c r="D1012" s="104"/>
      <c r="E1012" s="104"/>
      <c r="F1012" s="105">
        <f t="shared" si="31"/>
        <v>0</v>
      </c>
      <c r="G1012" s="106">
        <f t="shared" si="30"/>
        <v>0</v>
      </c>
      <c r="H1012" s="81">
        <v>9.2299999999999993E-2</v>
      </c>
      <c r="I1012" s="2619" t="s">
        <v>1146</v>
      </c>
    </row>
    <row r="1013" spans="1:9" ht="16.5">
      <c r="A1013" s="7" t="s">
        <v>2334</v>
      </c>
      <c r="B1013" s="8" t="s">
        <v>7366</v>
      </c>
      <c r="C1013" s="9" t="s">
        <v>3481</v>
      </c>
      <c r="D1013" s="104"/>
      <c r="E1013" s="104"/>
      <c r="F1013" s="105">
        <f t="shared" si="31"/>
        <v>0</v>
      </c>
      <c r="G1013" s="106">
        <f t="shared" si="30"/>
        <v>0</v>
      </c>
      <c r="H1013" s="81">
        <v>0.59319999999999995</v>
      </c>
      <c r="I1013" s="2625" t="s">
        <v>1146</v>
      </c>
    </row>
    <row r="1014" spans="1:9" ht="16.5">
      <c r="A1014" s="7" t="s">
        <v>2335</v>
      </c>
      <c r="B1014" s="8" t="s">
        <v>7367</v>
      </c>
      <c r="C1014" s="9" t="s">
        <v>3481</v>
      </c>
      <c r="D1014" s="104"/>
      <c r="E1014" s="104"/>
      <c r="F1014" s="105">
        <f t="shared" si="31"/>
        <v>0</v>
      </c>
      <c r="G1014" s="106">
        <f t="shared" si="30"/>
        <v>0</v>
      </c>
      <c r="H1014" s="81">
        <v>0.12659999999999999</v>
      </c>
      <c r="I1014" s="2619" t="s">
        <v>1146</v>
      </c>
    </row>
    <row r="1015" spans="1:9" ht="16.5">
      <c r="A1015" s="7" t="s">
        <v>2336</v>
      </c>
      <c r="B1015" s="8" t="s">
        <v>7368</v>
      </c>
      <c r="C1015" s="9" t="s">
        <v>3481</v>
      </c>
      <c r="D1015" s="104"/>
      <c r="E1015" s="104"/>
      <c r="F1015" s="105">
        <f t="shared" si="31"/>
        <v>0</v>
      </c>
      <c r="G1015" s="106">
        <f t="shared" si="30"/>
        <v>0</v>
      </c>
      <c r="H1015" s="81">
        <v>8.1699999999999995E-2</v>
      </c>
      <c r="I1015" s="2619" t="s">
        <v>1146</v>
      </c>
    </row>
    <row r="1016" spans="1:9" ht="16.5">
      <c r="A1016" s="7" t="s">
        <v>2337</v>
      </c>
      <c r="B1016" s="8" t="s">
        <v>7369</v>
      </c>
      <c r="C1016" s="9" t="s">
        <v>3481</v>
      </c>
      <c r="D1016" s="104"/>
      <c r="E1016" s="104"/>
      <c r="F1016" s="105">
        <f t="shared" si="31"/>
        <v>0</v>
      </c>
      <c r="G1016" s="106">
        <f t="shared" si="30"/>
        <v>0</v>
      </c>
      <c r="H1016" s="81">
        <v>0.53859999999999997</v>
      </c>
      <c r="I1016" s="2619" t="s">
        <v>1146</v>
      </c>
    </row>
    <row r="1017" spans="1:9" ht="16.5">
      <c r="A1017" s="7" t="s">
        <v>2338</v>
      </c>
      <c r="B1017" s="8" t="s">
        <v>7370</v>
      </c>
      <c r="C1017" s="9" t="s">
        <v>3481</v>
      </c>
      <c r="D1017" s="104"/>
      <c r="E1017" s="104"/>
      <c r="F1017" s="105">
        <f t="shared" si="31"/>
        <v>0</v>
      </c>
      <c r="G1017" s="106">
        <f t="shared" si="30"/>
        <v>0</v>
      </c>
      <c r="H1017" s="81">
        <v>0.46289999999999998</v>
      </c>
      <c r="I1017" s="2619" t="s">
        <v>1146</v>
      </c>
    </row>
    <row r="1018" spans="1:9" ht="16.5">
      <c r="A1018" s="7" t="s">
        <v>2339</v>
      </c>
      <c r="B1018" s="8" t="s">
        <v>7371</v>
      </c>
      <c r="C1018" s="9" t="s">
        <v>3481</v>
      </c>
      <c r="D1018" s="104"/>
      <c r="E1018" s="104"/>
      <c r="F1018" s="105">
        <f t="shared" si="31"/>
        <v>0</v>
      </c>
      <c r="G1018" s="106">
        <f t="shared" si="30"/>
        <v>0</v>
      </c>
      <c r="H1018" s="81">
        <v>0.1449</v>
      </c>
      <c r="I1018" s="2619" t="s">
        <v>1146</v>
      </c>
    </row>
    <row r="1019" spans="1:9" ht="16.5">
      <c r="A1019" s="7" t="s">
        <v>2340</v>
      </c>
      <c r="B1019" s="8" t="s">
        <v>7372</v>
      </c>
      <c r="C1019" s="9" t="s">
        <v>3481</v>
      </c>
      <c r="D1019" s="104"/>
      <c r="E1019" s="104"/>
      <c r="F1019" s="105">
        <f t="shared" si="31"/>
        <v>0</v>
      </c>
      <c r="G1019" s="106">
        <f t="shared" si="30"/>
        <v>0</v>
      </c>
      <c r="H1019" s="81">
        <v>0.2301</v>
      </c>
      <c r="I1019" s="2619" t="s">
        <v>1146</v>
      </c>
    </row>
    <row r="1020" spans="1:9" ht="16.5">
      <c r="A1020" s="7" t="s">
        <v>2341</v>
      </c>
      <c r="B1020" s="8" t="s">
        <v>7373</v>
      </c>
      <c r="C1020" s="9" t="s">
        <v>3481</v>
      </c>
      <c r="D1020" s="104"/>
      <c r="E1020" s="104"/>
      <c r="F1020" s="105">
        <f t="shared" si="31"/>
        <v>0</v>
      </c>
      <c r="G1020" s="106">
        <f t="shared" si="30"/>
        <v>0</v>
      </c>
      <c r="H1020" s="81">
        <v>0.75409999999999999</v>
      </c>
      <c r="I1020" s="2619" t="s">
        <v>1146</v>
      </c>
    </row>
    <row r="1021" spans="1:9" ht="16.5">
      <c r="A1021" s="7" t="s">
        <v>2342</v>
      </c>
      <c r="B1021" s="8" t="s">
        <v>7374</v>
      </c>
      <c r="C1021" s="9" t="s">
        <v>3481</v>
      </c>
      <c r="D1021" s="104"/>
      <c r="E1021" s="104"/>
      <c r="F1021" s="105">
        <f t="shared" si="31"/>
        <v>0</v>
      </c>
      <c r="G1021" s="106">
        <f t="shared" si="30"/>
        <v>0</v>
      </c>
      <c r="H1021" s="81">
        <v>0.21990000000000001</v>
      </c>
      <c r="I1021" s="2619" t="s">
        <v>1146</v>
      </c>
    </row>
    <row r="1022" spans="1:9" ht="16.5">
      <c r="A1022" s="7" t="s">
        <v>2343</v>
      </c>
      <c r="B1022" s="8" t="s">
        <v>7375</v>
      </c>
      <c r="C1022" s="9" t="s">
        <v>3481</v>
      </c>
      <c r="D1022" s="104"/>
      <c r="E1022" s="104"/>
      <c r="F1022" s="105">
        <f t="shared" si="31"/>
        <v>0</v>
      </c>
      <c r="G1022" s="106">
        <f t="shared" si="30"/>
        <v>0</v>
      </c>
      <c r="H1022" s="81">
        <v>6.0999999999999999E-2</v>
      </c>
      <c r="I1022" s="2619" t="s">
        <v>1146</v>
      </c>
    </row>
    <row r="1023" spans="1:9" ht="16.5">
      <c r="A1023" s="7" t="s">
        <v>2344</v>
      </c>
      <c r="B1023" s="8" t="s">
        <v>7376</v>
      </c>
      <c r="C1023" s="9" t="s">
        <v>3481</v>
      </c>
      <c r="D1023" s="104"/>
      <c r="E1023" s="104"/>
      <c r="F1023" s="105">
        <f t="shared" si="31"/>
        <v>0</v>
      </c>
      <c r="G1023" s="106">
        <f t="shared" si="30"/>
        <v>0</v>
      </c>
      <c r="H1023" s="81">
        <v>0.17100000000000001</v>
      </c>
      <c r="I1023" s="2619" t="s">
        <v>1146</v>
      </c>
    </row>
    <row r="1024" spans="1:9" ht="16.5">
      <c r="A1024" s="7" t="s">
        <v>2345</v>
      </c>
      <c r="B1024" s="8" t="s">
        <v>7377</v>
      </c>
      <c r="C1024" s="9" t="s">
        <v>3481</v>
      </c>
      <c r="D1024" s="104"/>
      <c r="E1024" s="104"/>
      <c r="F1024" s="105">
        <f t="shared" si="31"/>
        <v>0</v>
      </c>
      <c r="G1024" s="106">
        <f t="shared" si="30"/>
        <v>0</v>
      </c>
      <c r="H1024" s="81">
        <v>0.47010000000000002</v>
      </c>
      <c r="I1024" s="2619" t="s">
        <v>1146</v>
      </c>
    </row>
    <row r="1025" spans="1:9" ht="16.5">
      <c r="A1025" s="7" t="s">
        <v>2346</v>
      </c>
      <c r="B1025" s="8" t="s">
        <v>7378</v>
      </c>
      <c r="C1025" s="9" t="s">
        <v>3481</v>
      </c>
      <c r="D1025" s="104"/>
      <c r="E1025" s="104"/>
      <c r="F1025" s="105">
        <f t="shared" si="31"/>
        <v>0</v>
      </c>
      <c r="G1025" s="106">
        <f t="shared" si="30"/>
        <v>0</v>
      </c>
      <c r="H1025" s="81">
        <v>0.1615</v>
      </c>
      <c r="I1025" s="2619" t="s">
        <v>1146</v>
      </c>
    </row>
    <row r="1026" spans="1:9" ht="16.5">
      <c r="A1026" s="7" t="s">
        <v>2347</v>
      </c>
      <c r="B1026" s="8" t="s">
        <v>7379</v>
      </c>
      <c r="C1026" s="9" t="s">
        <v>3481</v>
      </c>
      <c r="D1026" s="104"/>
      <c r="E1026" s="104"/>
      <c r="F1026" s="105">
        <f t="shared" si="31"/>
        <v>0</v>
      </c>
      <c r="G1026" s="106">
        <f t="shared" si="30"/>
        <v>0</v>
      </c>
      <c r="H1026" s="81">
        <v>0.42309999999999998</v>
      </c>
      <c r="I1026" s="2619" t="s">
        <v>1146</v>
      </c>
    </row>
    <row r="1027" spans="1:9" ht="16.5">
      <c r="A1027" s="7" t="s">
        <v>2348</v>
      </c>
      <c r="B1027" s="8" t="s">
        <v>7380</v>
      </c>
      <c r="C1027" s="9" t="s">
        <v>3481</v>
      </c>
      <c r="D1027" s="104"/>
      <c r="E1027" s="104"/>
      <c r="F1027" s="105">
        <f t="shared" si="31"/>
        <v>0</v>
      </c>
      <c r="G1027" s="106">
        <f t="shared" si="30"/>
        <v>0</v>
      </c>
      <c r="H1027" s="81">
        <v>0.29570000000000002</v>
      </c>
      <c r="I1027" s="2619" t="s">
        <v>1146</v>
      </c>
    </row>
    <row r="1028" spans="1:9" ht="16.5">
      <c r="A1028" s="7" t="s">
        <v>2349</v>
      </c>
      <c r="B1028" s="8" t="s">
        <v>7381</v>
      </c>
      <c r="C1028" s="9" t="s">
        <v>3481</v>
      </c>
      <c r="D1028" s="104"/>
      <c r="E1028" s="104"/>
      <c r="F1028" s="105">
        <f t="shared" si="31"/>
        <v>0</v>
      </c>
      <c r="G1028" s="106">
        <f t="shared" ref="G1028:G1091" si="32">IF($F$1265=0,0,F1028/$F$1265)</f>
        <v>0</v>
      </c>
      <c r="H1028" s="81">
        <v>0.1148</v>
      </c>
      <c r="I1028" s="2619" t="s">
        <v>1146</v>
      </c>
    </row>
    <row r="1029" spans="1:9" ht="16.5">
      <c r="A1029" s="7" t="s">
        <v>2350</v>
      </c>
      <c r="B1029" s="8" t="s">
        <v>7382</v>
      </c>
      <c r="C1029" s="9" t="s">
        <v>3481</v>
      </c>
      <c r="D1029" s="104"/>
      <c r="E1029" s="104"/>
      <c r="F1029" s="105">
        <f t="shared" ref="F1029:F1092" si="33">D1029*E1029</f>
        <v>0</v>
      </c>
      <c r="G1029" s="106">
        <f t="shared" si="32"/>
        <v>0</v>
      </c>
      <c r="H1029" s="81">
        <v>0.27789999999999998</v>
      </c>
      <c r="I1029" s="2619" t="s">
        <v>1146</v>
      </c>
    </row>
    <row r="1030" spans="1:9" ht="16.5">
      <c r="A1030" s="7" t="s">
        <v>2351</v>
      </c>
      <c r="B1030" s="8" t="s">
        <v>7383</v>
      </c>
      <c r="C1030" s="9" t="s">
        <v>3481</v>
      </c>
      <c r="D1030" s="104"/>
      <c r="E1030" s="104"/>
      <c r="F1030" s="105">
        <f t="shared" si="33"/>
        <v>0</v>
      </c>
      <c r="G1030" s="106">
        <f t="shared" si="32"/>
        <v>0</v>
      </c>
      <c r="H1030" s="81">
        <v>0.30869999999999997</v>
      </c>
      <c r="I1030" s="2619" t="s">
        <v>1146</v>
      </c>
    </row>
    <row r="1031" spans="1:9" ht="16.5">
      <c r="A1031" s="7" t="s">
        <v>2352</v>
      </c>
      <c r="B1031" s="8" t="s">
        <v>7384</v>
      </c>
      <c r="C1031" s="9" t="s">
        <v>3481</v>
      </c>
      <c r="D1031" s="104"/>
      <c r="E1031" s="104"/>
      <c r="F1031" s="105">
        <f t="shared" si="33"/>
        <v>0</v>
      </c>
      <c r="G1031" s="106">
        <f t="shared" si="32"/>
        <v>0</v>
      </c>
      <c r="H1031" s="81">
        <v>0.28620000000000001</v>
      </c>
      <c r="I1031" s="2619" t="s">
        <v>1146</v>
      </c>
    </row>
    <row r="1032" spans="1:9" ht="16.5">
      <c r="A1032" s="7" t="s">
        <v>2353</v>
      </c>
      <c r="B1032" s="8" t="s">
        <v>7385</v>
      </c>
      <c r="C1032" s="9" t="s">
        <v>3481</v>
      </c>
      <c r="D1032" s="104"/>
      <c r="E1032" s="104"/>
      <c r="F1032" s="105">
        <f t="shared" si="33"/>
        <v>0</v>
      </c>
      <c r="G1032" s="106">
        <f t="shared" si="32"/>
        <v>0</v>
      </c>
      <c r="H1032" s="81">
        <v>0.34039999999999998</v>
      </c>
      <c r="I1032" s="2619" t="s">
        <v>1146</v>
      </c>
    </row>
    <row r="1033" spans="1:9" ht="16.5">
      <c r="A1033" s="7" t="s">
        <v>2354</v>
      </c>
      <c r="B1033" s="8" t="s">
        <v>7386</v>
      </c>
      <c r="C1033" s="9" t="s">
        <v>3481</v>
      </c>
      <c r="D1033" s="104"/>
      <c r="E1033" s="104"/>
      <c r="F1033" s="105">
        <f t="shared" si="33"/>
        <v>0</v>
      </c>
      <c r="G1033" s="106">
        <f t="shared" si="32"/>
        <v>0</v>
      </c>
      <c r="H1033" s="81">
        <v>0.29189999999999999</v>
      </c>
      <c r="I1033" s="2619" t="s">
        <v>1146</v>
      </c>
    </row>
    <row r="1034" spans="1:9" ht="16.5">
      <c r="A1034" s="7" t="s">
        <v>2355</v>
      </c>
      <c r="B1034" s="8" t="s">
        <v>7387</v>
      </c>
      <c r="C1034" s="9" t="s">
        <v>3481</v>
      </c>
      <c r="D1034" s="104"/>
      <c r="E1034" s="104"/>
      <c r="F1034" s="105">
        <f t="shared" si="33"/>
        <v>0</v>
      </c>
      <c r="G1034" s="106">
        <f t="shared" si="32"/>
        <v>0</v>
      </c>
      <c r="H1034" s="81">
        <v>0.3795</v>
      </c>
      <c r="I1034" s="2619" t="s">
        <v>1146</v>
      </c>
    </row>
    <row r="1035" spans="1:9" ht="16.5">
      <c r="A1035" s="7" t="s">
        <v>2356</v>
      </c>
      <c r="B1035" s="8" t="s">
        <v>7388</v>
      </c>
      <c r="C1035" s="9" t="s">
        <v>3481</v>
      </c>
      <c r="D1035" s="104"/>
      <c r="E1035" s="104"/>
      <c r="F1035" s="105">
        <f t="shared" si="33"/>
        <v>0</v>
      </c>
      <c r="G1035" s="106">
        <f t="shared" si="32"/>
        <v>0</v>
      </c>
      <c r="H1035" s="81">
        <v>0.22270000000000001</v>
      </c>
      <c r="I1035" s="2619" t="s">
        <v>1146</v>
      </c>
    </row>
    <row r="1036" spans="1:9" ht="16.5">
      <c r="A1036" s="7" t="s">
        <v>2357</v>
      </c>
      <c r="B1036" s="8" t="s">
        <v>7389</v>
      </c>
      <c r="C1036" s="9" t="s">
        <v>3481</v>
      </c>
      <c r="D1036" s="104"/>
      <c r="E1036" s="104"/>
      <c r="F1036" s="105">
        <f t="shared" si="33"/>
        <v>0</v>
      </c>
      <c r="G1036" s="106">
        <f t="shared" si="32"/>
        <v>0</v>
      </c>
      <c r="H1036" s="81">
        <v>0.64800000000000002</v>
      </c>
      <c r="I1036" s="2619" t="s">
        <v>1146</v>
      </c>
    </row>
    <row r="1037" spans="1:9" ht="16.5">
      <c r="A1037" s="7" t="s">
        <v>2358</v>
      </c>
      <c r="B1037" s="8" t="s">
        <v>7390</v>
      </c>
      <c r="C1037" s="9" t="s">
        <v>3481</v>
      </c>
      <c r="D1037" s="104"/>
      <c r="E1037" s="104"/>
      <c r="F1037" s="105">
        <f t="shared" si="33"/>
        <v>0</v>
      </c>
      <c r="G1037" s="106">
        <f t="shared" si="32"/>
        <v>0</v>
      </c>
      <c r="H1037" s="81">
        <v>0.35260000000000002</v>
      </c>
      <c r="I1037" s="2619" t="s">
        <v>1146</v>
      </c>
    </row>
    <row r="1038" spans="1:9" ht="16.5">
      <c r="A1038" s="7" t="s">
        <v>2359</v>
      </c>
      <c r="B1038" s="8" t="s">
        <v>7391</v>
      </c>
      <c r="C1038" s="9" t="s">
        <v>3481</v>
      </c>
      <c r="D1038" s="104"/>
      <c r="E1038" s="104"/>
      <c r="F1038" s="105">
        <f t="shared" si="33"/>
        <v>0</v>
      </c>
      <c r="G1038" s="106">
        <f t="shared" si="32"/>
        <v>0</v>
      </c>
      <c r="H1038" s="81">
        <v>0.4259</v>
      </c>
      <c r="I1038" s="2625" t="s">
        <v>1146</v>
      </c>
    </row>
    <row r="1039" spans="1:9" ht="16.5">
      <c r="A1039" s="7" t="s">
        <v>2360</v>
      </c>
      <c r="B1039" s="8" t="s">
        <v>7392</v>
      </c>
      <c r="C1039" s="9" t="s">
        <v>3481</v>
      </c>
      <c r="D1039" s="104"/>
      <c r="E1039" s="104"/>
      <c r="F1039" s="105">
        <f t="shared" si="33"/>
        <v>0</v>
      </c>
      <c r="G1039" s="106">
        <f t="shared" si="32"/>
        <v>0</v>
      </c>
      <c r="H1039" s="81">
        <v>0.1066</v>
      </c>
      <c r="I1039" s="2619" t="s">
        <v>1146</v>
      </c>
    </row>
    <row r="1040" spans="1:9" ht="16.5">
      <c r="A1040" s="7" t="s">
        <v>2361</v>
      </c>
      <c r="B1040" s="8" t="s">
        <v>7393</v>
      </c>
      <c r="C1040" s="9" t="s">
        <v>3481</v>
      </c>
      <c r="D1040" s="104"/>
      <c r="E1040" s="104"/>
      <c r="F1040" s="105">
        <f t="shared" si="33"/>
        <v>0</v>
      </c>
      <c r="G1040" s="106">
        <f t="shared" si="32"/>
        <v>0</v>
      </c>
      <c r="H1040" s="81">
        <v>0.67179999999999995</v>
      </c>
      <c r="I1040" s="2619" t="s">
        <v>1146</v>
      </c>
    </row>
    <row r="1041" spans="1:9" ht="16.5">
      <c r="A1041" s="7" t="s">
        <v>2362</v>
      </c>
      <c r="B1041" s="8" t="s">
        <v>7394</v>
      </c>
      <c r="C1041" s="9" t="s">
        <v>3481</v>
      </c>
      <c r="D1041" s="104"/>
      <c r="E1041" s="104"/>
      <c r="F1041" s="105">
        <f t="shared" si="33"/>
        <v>0</v>
      </c>
      <c r="G1041" s="106">
        <f t="shared" si="32"/>
        <v>0</v>
      </c>
      <c r="H1041" s="81">
        <v>0.27329999999999999</v>
      </c>
      <c r="I1041" s="2619" t="s">
        <v>1146</v>
      </c>
    </row>
    <row r="1042" spans="1:9" ht="16.5">
      <c r="A1042" s="7" t="s">
        <v>2363</v>
      </c>
      <c r="B1042" s="8" t="s">
        <v>7395</v>
      </c>
      <c r="C1042" s="9" t="s">
        <v>3481</v>
      </c>
      <c r="D1042" s="104"/>
      <c r="E1042" s="104"/>
      <c r="F1042" s="105">
        <f t="shared" si="33"/>
        <v>0</v>
      </c>
      <c r="G1042" s="106">
        <f t="shared" si="32"/>
        <v>0</v>
      </c>
      <c r="H1042" s="81">
        <v>-2.06E-2</v>
      </c>
      <c r="I1042" s="2625" t="s">
        <v>1146</v>
      </c>
    </row>
    <row r="1043" spans="1:9" ht="16.5">
      <c r="A1043" s="7" t="s">
        <v>2364</v>
      </c>
      <c r="B1043" s="8" t="s">
        <v>7396</v>
      </c>
      <c r="C1043" s="9" t="s">
        <v>3481</v>
      </c>
      <c r="D1043" s="104"/>
      <c r="E1043" s="104"/>
      <c r="F1043" s="105">
        <f t="shared" si="33"/>
        <v>0</v>
      </c>
      <c r="G1043" s="106">
        <f t="shared" si="32"/>
        <v>0</v>
      </c>
      <c r="H1043" s="81">
        <v>0.56440000000000001</v>
      </c>
      <c r="I1043" s="2619" t="s">
        <v>1146</v>
      </c>
    </row>
    <row r="1044" spans="1:9" ht="16.5">
      <c r="A1044" s="7" t="s">
        <v>2383</v>
      </c>
      <c r="B1044" s="8" t="s">
        <v>7397</v>
      </c>
      <c r="C1044" s="9" t="s">
        <v>7398</v>
      </c>
      <c r="D1044" s="104"/>
      <c r="E1044" s="104"/>
      <c r="F1044" s="105">
        <f t="shared" si="33"/>
        <v>0</v>
      </c>
      <c r="G1044" s="106">
        <f t="shared" si="32"/>
        <v>0</v>
      </c>
      <c r="H1044" s="81">
        <v>0.92689999999999995</v>
      </c>
      <c r="I1044" s="2625" t="s">
        <v>1146</v>
      </c>
    </row>
    <row r="1045" spans="1:9" ht="16.5">
      <c r="A1045" s="7" t="s">
        <v>2384</v>
      </c>
      <c r="B1045" s="8" t="s">
        <v>7399</v>
      </c>
      <c r="C1045" s="9" t="s">
        <v>7398</v>
      </c>
      <c r="D1045" s="104"/>
      <c r="E1045" s="104"/>
      <c r="F1045" s="105">
        <f t="shared" si="33"/>
        <v>0</v>
      </c>
      <c r="G1045" s="106">
        <f t="shared" si="32"/>
        <v>0</v>
      </c>
      <c r="H1045" s="81">
        <v>0.99819999999999998</v>
      </c>
      <c r="I1045" s="2619" t="s">
        <v>1146</v>
      </c>
    </row>
    <row r="1046" spans="1:9" ht="32.25">
      <c r="A1046" s="7" t="s">
        <v>5762</v>
      </c>
      <c r="B1046" s="8" t="s">
        <v>7400</v>
      </c>
      <c r="C1046" s="9" t="s">
        <v>7401</v>
      </c>
      <c r="D1046" s="104"/>
      <c r="E1046" s="104"/>
      <c r="F1046" s="105">
        <f t="shared" si="33"/>
        <v>0</v>
      </c>
      <c r="G1046" s="106">
        <f t="shared" si="32"/>
        <v>0</v>
      </c>
      <c r="H1046" s="81">
        <v>1.145239090909091</v>
      </c>
      <c r="I1046" s="2619" t="s">
        <v>6404</v>
      </c>
    </row>
    <row r="1047" spans="1:9" ht="16.5">
      <c r="A1047" s="7" t="s">
        <v>2365</v>
      </c>
      <c r="B1047" s="8" t="s">
        <v>7402</v>
      </c>
      <c r="C1047" s="9" t="s">
        <v>7401</v>
      </c>
      <c r="D1047" s="104"/>
      <c r="E1047" s="104"/>
      <c r="F1047" s="105">
        <f t="shared" si="33"/>
        <v>0</v>
      </c>
      <c r="G1047" s="106">
        <f t="shared" si="32"/>
        <v>0</v>
      </c>
      <c r="H1047" s="81">
        <v>0.68869999999999998</v>
      </c>
      <c r="I1047" s="2619" t="s">
        <v>1146</v>
      </c>
    </row>
    <row r="1048" spans="1:9" ht="16.5">
      <c r="A1048" s="7" t="s">
        <v>2385</v>
      </c>
      <c r="B1048" s="8" t="s">
        <v>7403</v>
      </c>
      <c r="C1048" s="9" t="s">
        <v>7398</v>
      </c>
      <c r="D1048" s="104"/>
      <c r="E1048" s="104"/>
      <c r="F1048" s="105">
        <f t="shared" si="33"/>
        <v>0</v>
      </c>
      <c r="G1048" s="106">
        <f t="shared" si="32"/>
        <v>0</v>
      </c>
      <c r="H1048" s="81">
        <v>1.2512000000000001</v>
      </c>
      <c r="I1048" s="2619" t="s">
        <v>1146</v>
      </c>
    </row>
    <row r="1049" spans="1:9" ht="16.5">
      <c r="A1049" s="7" t="s">
        <v>2386</v>
      </c>
      <c r="B1049" s="8" t="s">
        <v>7404</v>
      </c>
      <c r="C1049" s="9" t="s">
        <v>7398</v>
      </c>
      <c r="D1049" s="104"/>
      <c r="E1049" s="104"/>
      <c r="F1049" s="105">
        <f t="shared" si="33"/>
        <v>0</v>
      </c>
      <c r="G1049" s="106">
        <f t="shared" si="32"/>
        <v>0</v>
      </c>
      <c r="H1049" s="81">
        <v>0.90090000000000003</v>
      </c>
      <c r="I1049" s="2619" t="s">
        <v>1146</v>
      </c>
    </row>
    <row r="1050" spans="1:9" ht="16.5">
      <c r="A1050" s="7" t="s">
        <v>3404</v>
      </c>
      <c r="B1050" s="8" t="s">
        <v>7405</v>
      </c>
      <c r="C1050" s="9" t="s">
        <v>7398</v>
      </c>
      <c r="D1050" s="104"/>
      <c r="E1050" s="104"/>
      <c r="F1050" s="105">
        <f t="shared" si="33"/>
        <v>0</v>
      </c>
      <c r="G1050" s="106">
        <f t="shared" si="32"/>
        <v>0</v>
      </c>
      <c r="H1050" s="81">
        <v>0.78790000000000004</v>
      </c>
      <c r="I1050" s="2619" t="s">
        <v>1146</v>
      </c>
    </row>
    <row r="1051" spans="1:9" ht="16.5">
      <c r="A1051" s="7" t="s">
        <v>3405</v>
      </c>
      <c r="B1051" s="8" t="s">
        <v>7406</v>
      </c>
      <c r="C1051" s="9" t="s">
        <v>7398</v>
      </c>
      <c r="D1051" s="104"/>
      <c r="E1051" s="104"/>
      <c r="F1051" s="105">
        <f t="shared" si="33"/>
        <v>0</v>
      </c>
      <c r="G1051" s="106">
        <f t="shared" si="32"/>
        <v>0</v>
      </c>
      <c r="H1051" s="81">
        <v>0.79390000000000005</v>
      </c>
      <c r="I1051" s="2619" t="s">
        <v>1146</v>
      </c>
    </row>
    <row r="1052" spans="1:9" ht="16.5">
      <c r="A1052" s="7" t="s">
        <v>2387</v>
      </c>
      <c r="B1052" s="8" t="s">
        <v>7407</v>
      </c>
      <c r="C1052" s="9" t="s">
        <v>7398</v>
      </c>
      <c r="D1052" s="104"/>
      <c r="E1052" s="104"/>
      <c r="F1052" s="105">
        <f t="shared" si="33"/>
        <v>0</v>
      </c>
      <c r="G1052" s="106">
        <f t="shared" si="32"/>
        <v>0</v>
      </c>
      <c r="H1052" s="81">
        <v>0.77610000000000001</v>
      </c>
      <c r="I1052" s="2619" t="s">
        <v>1146</v>
      </c>
    </row>
    <row r="1053" spans="1:9" ht="16.5">
      <c r="A1053" s="7" t="s">
        <v>2388</v>
      </c>
      <c r="B1053" s="8" t="s">
        <v>7408</v>
      </c>
      <c r="C1053" s="9" t="s">
        <v>7398</v>
      </c>
      <c r="D1053" s="104"/>
      <c r="E1053" s="104"/>
      <c r="F1053" s="105">
        <f t="shared" si="33"/>
        <v>0</v>
      </c>
      <c r="G1053" s="106">
        <f t="shared" si="32"/>
        <v>0</v>
      </c>
      <c r="H1053" s="81">
        <v>1.2346999999999999</v>
      </c>
      <c r="I1053" s="2619" t="s">
        <v>1146</v>
      </c>
    </row>
    <row r="1054" spans="1:9" ht="16.5">
      <c r="A1054" s="7" t="s">
        <v>2366</v>
      </c>
      <c r="B1054" s="8" t="s">
        <v>7409</v>
      </c>
      <c r="C1054" s="9" t="s">
        <v>7401</v>
      </c>
      <c r="D1054" s="104"/>
      <c r="E1054" s="104"/>
      <c r="F1054" s="105">
        <f t="shared" si="33"/>
        <v>0</v>
      </c>
      <c r="G1054" s="106">
        <f t="shared" si="32"/>
        <v>0</v>
      </c>
      <c r="H1054" s="81">
        <v>0.69289999999999996</v>
      </c>
      <c r="I1054" s="2619" t="s">
        <v>1146</v>
      </c>
    </row>
    <row r="1055" spans="1:9" ht="16.5">
      <c r="A1055" s="7" t="s">
        <v>2389</v>
      </c>
      <c r="B1055" s="8" t="s">
        <v>7410</v>
      </c>
      <c r="C1055" s="9" t="s">
        <v>7398</v>
      </c>
      <c r="D1055" s="104"/>
      <c r="E1055" s="104"/>
      <c r="F1055" s="105">
        <f t="shared" si="33"/>
        <v>0</v>
      </c>
      <c r="G1055" s="106">
        <f t="shared" si="32"/>
        <v>0</v>
      </c>
      <c r="H1055" s="81">
        <v>1.1677999999999999</v>
      </c>
      <c r="I1055" s="2619" t="s">
        <v>1146</v>
      </c>
    </row>
    <row r="1056" spans="1:9" ht="16.5">
      <c r="A1056" s="7" t="s">
        <v>5025</v>
      </c>
      <c r="B1056" s="8" t="s">
        <v>7411</v>
      </c>
      <c r="C1056" s="9" t="s">
        <v>7398</v>
      </c>
      <c r="D1056" s="104"/>
      <c r="E1056" s="104"/>
      <c r="F1056" s="105">
        <f t="shared" si="33"/>
        <v>0</v>
      </c>
      <c r="G1056" s="106">
        <f t="shared" si="32"/>
        <v>0</v>
      </c>
      <c r="H1056" s="81">
        <v>1.1924999999999999</v>
      </c>
      <c r="I1056" s="2619" t="s">
        <v>1146</v>
      </c>
    </row>
    <row r="1057" spans="1:9" ht="16.5">
      <c r="A1057" s="7" t="s">
        <v>5026</v>
      </c>
      <c r="B1057" s="8" t="s">
        <v>7412</v>
      </c>
      <c r="C1057" s="9" t="s">
        <v>7398</v>
      </c>
      <c r="D1057" s="104"/>
      <c r="E1057" s="104"/>
      <c r="F1057" s="105">
        <f t="shared" si="33"/>
        <v>0</v>
      </c>
      <c r="G1057" s="106">
        <f t="shared" si="32"/>
        <v>0</v>
      </c>
      <c r="H1057" s="81">
        <v>1.1875</v>
      </c>
      <c r="I1057" s="2619" t="s">
        <v>1146</v>
      </c>
    </row>
    <row r="1058" spans="1:9" ht="16.5">
      <c r="A1058" s="7" t="s">
        <v>5027</v>
      </c>
      <c r="B1058" s="8" t="s">
        <v>7413</v>
      </c>
      <c r="C1058" s="9" t="s">
        <v>7398</v>
      </c>
      <c r="D1058" s="104"/>
      <c r="E1058" s="104"/>
      <c r="F1058" s="105">
        <f t="shared" si="33"/>
        <v>0</v>
      </c>
      <c r="G1058" s="106">
        <f t="shared" si="32"/>
        <v>0</v>
      </c>
      <c r="H1058" s="81">
        <v>1.1914</v>
      </c>
      <c r="I1058" s="2619" t="s">
        <v>1146</v>
      </c>
    </row>
    <row r="1059" spans="1:9" ht="16.5">
      <c r="A1059" s="7" t="s">
        <v>5028</v>
      </c>
      <c r="B1059" s="8" t="s">
        <v>7414</v>
      </c>
      <c r="C1059" s="9" t="s">
        <v>7398</v>
      </c>
      <c r="D1059" s="104"/>
      <c r="E1059" s="104"/>
      <c r="F1059" s="105">
        <f t="shared" si="33"/>
        <v>0</v>
      </c>
      <c r="G1059" s="106">
        <f t="shared" si="32"/>
        <v>0</v>
      </c>
      <c r="H1059" s="81">
        <v>1.1939</v>
      </c>
      <c r="I1059" s="2619" t="s">
        <v>1146</v>
      </c>
    </row>
    <row r="1060" spans="1:9" ht="16.5">
      <c r="A1060" s="7" t="s">
        <v>2367</v>
      </c>
      <c r="B1060" s="8" t="s">
        <v>7415</v>
      </c>
      <c r="C1060" s="9" t="s">
        <v>7401</v>
      </c>
      <c r="D1060" s="104"/>
      <c r="E1060" s="104"/>
      <c r="F1060" s="105">
        <f t="shared" si="33"/>
        <v>0</v>
      </c>
      <c r="G1060" s="106">
        <f t="shared" si="32"/>
        <v>0</v>
      </c>
      <c r="H1060" s="81">
        <v>0.75970000000000004</v>
      </c>
      <c r="I1060" s="2619" t="s">
        <v>1146</v>
      </c>
    </row>
    <row r="1061" spans="1:9" ht="16.5">
      <c r="A1061" s="7" t="s">
        <v>2390</v>
      </c>
      <c r="B1061" s="8" t="s">
        <v>7416</v>
      </c>
      <c r="C1061" s="9" t="s">
        <v>7398</v>
      </c>
      <c r="D1061" s="104"/>
      <c r="E1061" s="104"/>
      <c r="F1061" s="105">
        <f t="shared" si="33"/>
        <v>0</v>
      </c>
      <c r="G1061" s="106">
        <f t="shared" si="32"/>
        <v>0</v>
      </c>
      <c r="H1061" s="81">
        <v>0.4924</v>
      </c>
      <c r="I1061" s="2619" t="s">
        <v>1146</v>
      </c>
    </row>
    <row r="1062" spans="1:9" ht="16.5">
      <c r="A1062" s="7" t="s">
        <v>5029</v>
      </c>
      <c r="B1062" s="8" t="s">
        <v>7417</v>
      </c>
      <c r="C1062" s="9" t="s">
        <v>7398</v>
      </c>
      <c r="D1062" s="104"/>
      <c r="E1062" s="104"/>
      <c r="F1062" s="105">
        <f t="shared" si="33"/>
        <v>0</v>
      </c>
      <c r="G1062" s="106">
        <f t="shared" si="32"/>
        <v>0</v>
      </c>
      <c r="H1062" s="81">
        <v>1.1073</v>
      </c>
      <c r="I1062" s="2619" t="s">
        <v>1146</v>
      </c>
    </row>
    <row r="1063" spans="1:9" ht="16.5">
      <c r="A1063" s="7" t="s">
        <v>3406</v>
      </c>
      <c r="B1063" s="8" t="s">
        <v>7418</v>
      </c>
      <c r="C1063" s="9" t="s">
        <v>7398</v>
      </c>
      <c r="D1063" s="104"/>
      <c r="E1063" s="104"/>
      <c r="F1063" s="105">
        <f t="shared" si="33"/>
        <v>0</v>
      </c>
      <c r="G1063" s="106">
        <f t="shared" si="32"/>
        <v>0</v>
      </c>
      <c r="H1063" s="81">
        <v>1.1079000000000001</v>
      </c>
      <c r="I1063" s="2619" t="s">
        <v>1146</v>
      </c>
    </row>
    <row r="1064" spans="1:9" ht="16.5">
      <c r="A1064" s="7" t="s">
        <v>2391</v>
      </c>
      <c r="B1064" s="8" t="s">
        <v>7419</v>
      </c>
      <c r="C1064" s="9" t="s">
        <v>7398</v>
      </c>
      <c r="D1064" s="104"/>
      <c r="E1064" s="104"/>
      <c r="F1064" s="105">
        <f t="shared" si="33"/>
        <v>0</v>
      </c>
      <c r="G1064" s="106">
        <f t="shared" si="32"/>
        <v>0</v>
      </c>
      <c r="H1064" s="81">
        <v>1.107</v>
      </c>
      <c r="I1064" s="2619" t="s">
        <v>1146</v>
      </c>
    </row>
    <row r="1065" spans="1:9" ht="16.5">
      <c r="A1065" s="7" t="s">
        <v>2392</v>
      </c>
      <c r="B1065" s="8" t="s">
        <v>7420</v>
      </c>
      <c r="C1065" s="9" t="s">
        <v>7398</v>
      </c>
      <c r="D1065" s="104"/>
      <c r="E1065" s="104"/>
      <c r="F1065" s="105">
        <f t="shared" si="33"/>
        <v>0</v>
      </c>
      <c r="G1065" s="106">
        <f t="shared" si="32"/>
        <v>0</v>
      </c>
      <c r="H1065" s="81">
        <v>1.3055000000000001</v>
      </c>
      <c r="I1065" s="2619" t="s">
        <v>1146</v>
      </c>
    </row>
    <row r="1066" spans="1:9" ht="16.5">
      <c r="A1066" s="7" t="s">
        <v>2393</v>
      </c>
      <c r="B1066" s="8" t="s">
        <v>7421</v>
      </c>
      <c r="C1066" s="9" t="s">
        <v>7398</v>
      </c>
      <c r="D1066" s="104"/>
      <c r="E1066" s="104"/>
      <c r="F1066" s="105">
        <f t="shared" si="33"/>
        <v>0</v>
      </c>
      <c r="G1066" s="106">
        <f t="shared" si="32"/>
        <v>0</v>
      </c>
      <c r="H1066" s="81">
        <v>1.1900999999999999</v>
      </c>
      <c r="I1066" s="2619" t="s">
        <v>1146</v>
      </c>
    </row>
    <row r="1067" spans="1:9" ht="16.5">
      <c r="A1067" s="7" t="s">
        <v>2394</v>
      </c>
      <c r="B1067" s="8" t="s">
        <v>7422</v>
      </c>
      <c r="C1067" s="9" t="s">
        <v>7398</v>
      </c>
      <c r="D1067" s="104"/>
      <c r="E1067" s="104"/>
      <c r="F1067" s="105">
        <f t="shared" si="33"/>
        <v>0</v>
      </c>
      <c r="G1067" s="106">
        <f t="shared" si="32"/>
        <v>0</v>
      </c>
      <c r="H1067" s="81">
        <v>1.3332999999999999</v>
      </c>
      <c r="I1067" s="2619" t="s">
        <v>1146</v>
      </c>
    </row>
    <row r="1068" spans="1:9" ht="16.5">
      <c r="A1068" s="7" t="s">
        <v>2395</v>
      </c>
      <c r="B1068" s="8" t="s">
        <v>7423</v>
      </c>
      <c r="C1068" s="9" t="s">
        <v>7398</v>
      </c>
      <c r="D1068" s="104"/>
      <c r="E1068" s="104"/>
      <c r="F1068" s="105">
        <f t="shared" si="33"/>
        <v>0</v>
      </c>
      <c r="G1068" s="106">
        <f t="shared" si="32"/>
        <v>0</v>
      </c>
      <c r="H1068" s="81">
        <v>1.2870999999999999</v>
      </c>
      <c r="I1068" s="2619" t="s">
        <v>1146</v>
      </c>
    </row>
    <row r="1069" spans="1:9" ht="16.5">
      <c r="A1069" s="7" t="s">
        <v>2396</v>
      </c>
      <c r="B1069" s="8" t="s">
        <v>7424</v>
      </c>
      <c r="C1069" s="9" t="s">
        <v>7398</v>
      </c>
      <c r="D1069" s="104"/>
      <c r="E1069" s="104"/>
      <c r="F1069" s="105">
        <f t="shared" si="33"/>
        <v>0</v>
      </c>
      <c r="G1069" s="106">
        <f t="shared" si="32"/>
        <v>0</v>
      </c>
      <c r="H1069" s="81">
        <v>1.3399000000000001</v>
      </c>
      <c r="I1069" s="2619" t="s">
        <v>1146</v>
      </c>
    </row>
    <row r="1070" spans="1:9" ht="16.5">
      <c r="A1070" s="7" t="s">
        <v>2397</v>
      </c>
      <c r="B1070" s="8" t="s">
        <v>7425</v>
      </c>
      <c r="C1070" s="9" t="s">
        <v>7398</v>
      </c>
      <c r="D1070" s="104"/>
      <c r="E1070" s="104"/>
      <c r="F1070" s="105">
        <f t="shared" si="33"/>
        <v>0</v>
      </c>
      <c r="G1070" s="106">
        <f t="shared" si="32"/>
        <v>0</v>
      </c>
      <c r="H1070" s="81">
        <v>1.2968</v>
      </c>
      <c r="I1070" s="2619" t="s">
        <v>1146</v>
      </c>
    </row>
    <row r="1071" spans="1:9" ht="16.5">
      <c r="A1071" s="7" t="s">
        <v>2398</v>
      </c>
      <c r="B1071" s="8" t="s">
        <v>7426</v>
      </c>
      <c r="C1071" s="9" t="s">
        <v>7398</v>
      </c>
      <c r="D1071" s="104"/>
      <c r="E1071" s="104"/>
      <c r="F1071" s="105">
        <f t="shared" si="33"/>
        <v>0</v>
      </c>
      <c r="G1071" s="106">
        <f t="shared" si="32"/>
        <v>0</v>
      </c>
      <c r="H1071" s="81">
        <v>1.2652000000000001</v>
      </c>
      <c r="I1071" s="2619" t="s">
        <v>1146</v>
      </c>
    </row>
    <row r="1072" spans="1:9" ht="16.5">
      <c r="A1072" s="7" t="s">
        <v>2399</v>
      </c>
      <c r="B1072" s="8" t="s">
        <v>7427</v>
      </c>
      <c r="C1072" s="9" t="s">
        <v>7398</v>
      </c>
      <c r="D1072" s="104"/>
      <c r="E1072" s="104"/>
      <c r="F1072" s="105">
        <f t="shared" si="33"/>
        <v>0</v>
      </c>
      <c r="G1072" s="106">
        <f t="shared" si="32"/>
        <v>0</v>
      </c>
      <c r="H1072" s="81">
        <v>1.3574999999999999</v>
      </c>
      <c r="I1072" s="2619" t="s">
        <v>1146</v>
      </c>
    </row>
    <row r="1073" spans="1:9" ht="16.5">
      <c r="A1073" s="7" t="s">
        <v>2400</v>
      </c>
      <c r="B1073" s="8" t="s">
        <v>7428</v>
      </c>
      <c r="C1073" s="9" t="s">
        <v>7398</v>
      </c>
      <c r="D1073" s="104"/>
      <c r="E1073" s="104"/>
      <c r="F1073" s="105">
        <f t="shared" si="33"/>
        <v>0</v>
      </c>
      <c r="G1073" s="106">
        <f t="shared" si="32"/>
        <v>0</v>
      </c>
      <c r="H1073" s="81">
        <v>1.3274999999999999</v>
      </c>
      <c r="I1073" s="2619" t="s">
        <v>1146</v>
      </c>
    </row>
    <row r="1074" spans="1:9" ht="16.5">
      <c r="A1074" s="7" t="s">
        <v>5030</v>
      </c>
      <c r="B1074" s="8" t="s">
        <v>7429</v>
      </c>
      <c r="C1074" s="9" t="s">
        <v>7398</v>
      </c>
      <c r="D1074" s="104"/>
      <c r="E1074" s="104"/>
      <c r="F1074" s="105">
        <f t="shared" si="33"/>
        <v>0</v>
      </c>
      <c r="G1074" s="106">
        <f t="shared" si="32"/>
        <v>0</v>
      </c>
      <c r="H1074" s="81">
        <v>1.0038</v>
      </c>
      <c r="I1074" s="2619" t="s">
        <v>1146</v>
      </c>
    </row>
    <row r="1075" spans="1:9" ht="16.5">
      <c r="A1075" s="7" t="s">
        <v>2401</v>
      </c>
      <c r="B1075" s="8" t="s">
        <v>7430</v>
      </c>
      <c r="C1075" s="9" t="s">
        <v>7398</v>
      </c>
      <c r="D1075" s="104"/>
      <c r="E1075" s="104"/>
      <c r="F1075" s="105">
        <f t="shared" si="33"/>
        <v>0</v>
      </c>
      <c r="G1075" s="106">
        <f t="shared" si="32"/>
        <v>0</v>
      </c>
      <c r="H1075" s="81">
        <v>1.0039</v>
      </c>
      <c r="I1075" s="2619" t="s">
        <v>1146</v>
      </c>
    </row>
    <row r="1076" spans="1:9" ht="16.5">
      <c r="A1076" s="7" t="s">
        <v>2595</v>
      </c>
      <c r="B1076" s="8" t="s">
        <v>7431</v>
      </c>
      <c r="C1076" s="9" t="s">
        <v>7398</v>
      </c>
      <c r="D1076" s="104"/>
      <c r="E1076" s="104"/>
      <c r="F1076" s="105">
        <f t="shared" si="33"/>
        <v>0</v>
      </c>
      <c r="G1076" s="106">
        <f t="shared" si="32"/>
        <v>0</v>
      </c>
      <c r="H1076" s="81">
        <v>1.0412999999999999</v>
      </c>
      <c r="I1076" s="2619" t="s">
        <v>1146</v>
      </c>
    </row>
    <row r="1077" spans="1:9" ht="16.5">
      <c r="A1077" s="7" t="s">
        <v>2596</v>
      </c>
      <c r="B1077" s="8" t="s">
        <v>7432</v>
      </c>
      <c r="C1077" s="9" t="s">
        <v>7398</v>
      </c>
      <c r="D1077" s="104"/>
      <c r="E1077" s="104"/>
      <c r="F1077" s="105">
        <f t="shared" si="33"/>
        <v>0</v>
      </c>
      <c r="G1077" s="106">
        <f t="shared" si="32"/>
        <v>0</v>
      </c>
      <c r="H1077" s="81">
        <v>1.0503</v>
      </c>
      <c r="I1077" s="2619" t="s">
        <v>1146</v>
      </c>
    </row>
    <row r="1078" spans="1:9" ht="16.5">
      <c r="A1078" s="7" t="s">
        <v>2597</v>
      </c>
      <c r="B1078" s="8" t="s">
        <v>7433</v>
      </c>
      <c r="C1078" s="9" t="s">
        <v>7398</v>
      </c>
      <c r="D1078" s="104"/>
      <c r="E1078" s="104"/>
      <c r="F1078" s="105">
        <f t="shared" si="33"/>
        <v>0</v>
      </c>
      <c r="G1078" s="106">
        <f t="shared" si="32"/>
        <v>0</v>
      </c>
      <c r="H1078" s="81">
        <v>1.0416000000000001</v>
      </c>
      <c r="I1078" s="2619" t="s">
        <v>1146</v>
      </c>
    </row>
    <row r="1079" spans="1:9" ht="16.5">
      <c r="A1079" s="7" t="s">
        <v>2598</v>
      </c>
      <c r="B1079" s="8" t="s">
        <v>7434</v>
      </c>
      <c r="C1079" s="9" t="s">
        <v>7398</v>
      </c>
      <c r="D1079" s="104"/>
      <c r="E1079" s="104"/>
      <c r="F1079" s="105">
        <f t="shared" si="33"/>
        <v>0</v>
      </c>
      <c r="G1079" s="106">
        <f t="shared" si="32"/>
        <v>0</v>
      </c>
      <c r="H1079" s="81">
        <v>1.0445</v>
      </c>
      <c r="I1079" s="2619" t="s">
        <v>1146</v>
      </c>
    </row>
    <row r="1080" spans="1:9" ht="16.5">
      <c r="A1080" s="7" t="s">
        <v>2402</v>
      </c>
      <c r="B1080" s="8" t="s">
        <v>7435</v>
      </c>
      <c r="C1080" s="9" t="s">
        <v>7398</v>
      </c>
      <c r="D1080" s="104"/>
      <c r="E1080" s="104"/>
      <c r="F1080" s="105">
        <f t="shared" si="33"/>
        <v>0</v>
      </c>
      <c r="G1080" s="106">
        <f t="shared" si="32"/>
        <v>0</v>
      </c>
      <c r="H1080" s="81">
        <v>1.0693999999999999</v>
      </c>
      <c r="I1080" s="2625" t="s">
        <v>1146</v>
      </c>
    </row>
    <row r="1081" spans="1:9" ht="16.5">
      <c r="A1081" s="7" t="s">
        <v>2403</v>
      </c>
      <c r="B1081" s="8" t="s">
        <v>7436</v>
      </c>
      <c r="C1081" s="9" t="s">
        <v>7398</v>
      </c>
      <c r="D1081" s="104"/>
      <c r="E1081" s="104"/>
      <c r="F1081" s="105">
        <f t="shared" si="33"/>
        <v>0</v>
      </c>
      <c r="G1081" s="106">
        <f t="shared" si="32"/>
        <v>0</v>
      </c>
      <c r="H1081" s="81">
        <v>1.1385000000000001</v>
      </c>
      <c r="I1081" s="2619" t="s">
        <v>1146</v>
      </c>
    </row>
    <row r="1082" spans="1:9" ht="16.5">
      <c r="A1082" s="7" t="s">
        <v>2404</v>
      </c>
      <c r="B1082" s="8" t="s">
        <v>7437</v>
      </c>
      <c r="C1082" s="9" t="s">
        <v>7398</v>
      </c>
      <c r="D1082" s="104"/>
      <c r="E1082" s="104"/>
      <c r="F1082" s="105">
        <f t="shared" si="33"/>
        <v>0</v>
      </c>
      <c r="G1082" s="106">
        <f t="shared" si="32"/>
        <v>0</v>
      </c>
      <c r="H1082" s="81">
        <v>1.0713999999999999</v>
      </c>
      <c r="I1082" s="2619" t="s">
        <v>1146</v>
      </c>
    </row>
    <row r="1083" spans="1:9" ht="16.5">
      <c r="A1083" s="7" t="s">
        <v>2405</v>
      </c>
      <c r="B1083" s="8" t="s">
        <v>7438</v>
      </c>
      <c r="C1083" s="9" t="s">
        <v>7398</v>
      </c>
      <c r="D1083" s="104"/>
      <c r="E1083" s="104"/>
      <c r="F1083" s="105">
        <f t="shared" si="33"/>
        <v>0</v>
      </c>
      <c r="G1083" s="106">
        <f t="shared" si="32"/>
        <v>0</v>
      </c>
      <c r="H1083" s="81">
        <v>1.3651</v>
      </c>
      <c r="I1083" s="2625" t="s">
        <v>1146</v>
      </c>
    </row>
    <row r="1084" spans="1:9" ht="16.5">
      <c r="A1084" s="7" t="s">
        <v>2406</v>
      </c>
      <c r="B1084" s="8" t="s">
        <v>7439</v>
      </c>
      <c r="C1084" s="9" t="s">
        <v>7398</v>
      </c>
      <c r="D1084" s="104"/>
      <c r="E1084" s="104"/>
      <c r="F1084" s="105">
        <f t="shared" si="33"/>
        <v>0</v>
      </c>
      <c r="G1084" s="106">
        <f t="shared" si="32"/>
        <v>0</v>
      </c>
      <c r="H1084" s="81">
        <v>1.3572</v>
      </c>
      <c r="I1084" s="2619" t="s">
        <v>1146</v>
      </c>
    </row>
    <row r="1085" spans="1:9" ht="16.5">
      <c r="A1085" s="7" t="s">
        <v>2407</v>
      </c>
      <c r="B1085" s="8" t="s">
        <v>7440</v>
      </c>
      <c r="C1085" s="9" t="s">
        <v>7398</v>
      </c>
      <c r="D1085" s="104"/>
      <c r="E1085" s="104"/>
      <c r="F1085" s="105">
        <f t="shared" si="33"/>
        <v>0</v>
      </c>
      <c r="G1085" s="106">
        <f t="shared" si="32"/>
        <v>0</v>
      </c>
      <c r="H1085" s="81">
        <v>1.3742000000000001</v>
      </c>
      <c r="I1085" s="2619" t="s">
        <v>1146</v>
      </c>
    </row>
    <row r="1086" spans="1:9" ht="16.5">
      <c r="A1086" s="7" t="s">
        <v>2408</v>
      </c>
      <c r="B1086" s="8" t="s">
        <v>7441</v>
      </c>
      <c r="C1086" s="9" t="s">
        <v>7398</v>
      </c>
      <c r="D1086" s="104"/>
      <c r="E1086" s="104"/>
      <c r="F1086" s="105">
        <f t="shared" si="33"/>
        <v>0</v>
      </c>
      <c r="G1086" s="106">
        <f t="shared" si="32"/>
        <v>0</v>
      </c>
      <c r="H1086" s="81">
        <v>1.3227</v>
      </c>
      <c r="I1086" s="2619" t="s">
        <v>1146</v>
      </c>
    </row>
    <row r="1087" spans="1:9" ht="16.5">
      <c r="A1087" s="7" t="s">
        <v>5763</v>
      </c>
      <c r="B1087" s="8" t="s">
        <v>7442</v>
      </c>
      <c r="C1087" s="9" t="s">
        <v>7401</v>
      </c>
      <c r="D1087" s="104"/>
      <c r="E1087" s="104"/>
      <c r="F1087" s="105">
        <f t="shared" si="33"/>
        <v>0</v>
      </c>
      <c r="G1087" s="106">
        <f t="shared" si="32"/>
        <v>0</v>
      </c>
      <c r="H1087" s="81">
        <v>0.65239999999999998</v>
      </c>
      <c r="I1087" s="2619" t="s">
        <v>1146</v>
      </c>
    </row>
    <row r="1088" spans="1:9" ht="16.5">
      <c r="A1088" s="7" t="s">
        <v>2368</v>
      </c>
      <c r="B1088" s="8" t="s">
        <v>7443</v>
      </c>
      <c r="C1088" s="9" t="s">
        <v>7401</v>
      </c>
      <c r="D1088" s="104"/>
      <c r="E1088" s="104"/>
      <c r="F1088" s="105">
        <f t="shared" si="33"/>
        <v>0</v>
      </c>
      <c r="G1088" s="106">
        <f t="shared" si="32"/>
        <v>0</v>
      </c>
      <c r="H1088" s="81">
        <v>0.65010000000000001</v>
      </c>
      <c r="I1088" s="2619" t="s">
        <v>1146</v>
      </c>
    </row>
    <row r="1089" spans="1:9" ht="16.5">
      <c r="A1089" s="7" t="s">
        <v>2409</v>
      </c>
      <c r="B1089" s="8" t="s">
        <v>7444</v>
      </c>
      <c r="C1089" s="9" t="s">
        <v>7398</v>
      </c>
      <c r="D1089" s="104"/>
      <c r="E1089" s="104"/>
      <c r="F1089" s="105">
        <f t="shared" si="33"/>
        <v>0</v>
      </c>
      <c r="G1089" s="106">
        <f t="shared" si="32"/>
        <v>0</v>
      </c>
      <c r="H1089" s="81">
        <v>1.2636000000000001</v>
      </c>
      <c r="I1089" s="2619" t="s">
        <v>1146</v>
      </c>
    </row>
    <row r="1090" spans="1:9" ht="16.5">
      <c r="A1090" s="7" t="s">
        <v>3407</v>
      </c>
      <c r="B1090" s="8" t="s">
        <v>7445</v>
      </c>
      <c r="C1090" s="9" t="s">
        <v>7398</v>
      </c>
      <c r="D1090" s="104"/>
      <c r="E1090" s="104"/>
      <c r="F1090" s="105">
        <f t="shared" si="33"/>
        <v>0</v>
      </c>
      <c r="G1090" s="106">
        <f t="shared" si="32"/>
        <v>0</v>
      </c>
      <c r="H1090" s="81">
        <v>1.1937</v>
      </c>
      <c r="I1090" s="2619" t="s">
        <v>1146</v>
      </c>
    </row>
    <row r="1091" spans="1:9" ht="16.5">
      <c r="A1091" s="7" t="s">
        <v>2410</v>
      </c>
      <c r="B1091" s="8" t="s">
        <v>7446</v>
      </c>
      <c r="C1091" s="9" t="s">
        <v>7398</v>
      </c>
      <c r="D1091" s="104"/>
      <c r="E1091" s="104"/>
      <c r="F1091" s="105">
        <f t="shared" si="33"/>
        <v>0</v>
      </c>
      <c r="G1091" s="106">
        <f t="shared" si="32"/>
        <v>0</v>
      </c>
      <c r="H1091" s="81">
        <v>1.1966000000000001</v>
      </c>
      <c r="I1091" s="2619" t="s">
        <v>1146</v>
      </c>
    </row>
    <row r="1092" spans="1:9" ht="16.5">
      <c r="A1092" s="7" t="s">
        <v>2411</v>
      </c>
      <c r="B1092" s="8" t="s">
        <v>7447</v>
      </c>
      <c r="C1092" s="9" t="s">
        <v>7398</v>
      </c>
      <c r="D1092" s="104"/>
      <c r="E1092" s="104"/>
      <c r="F1092" s="105">
        <f t="shared" si="33"/>
        <v>0</v>
      </c>
      <c r="G1092" s="106">
        <f t="shared" ref="G1092:G1155" si="34">IF($F$1265=0,0,F1092/$F$1265)</f>
        <v>0</v>
      </c>
      <c r="H1092" s="81">
        <v>1.3741000000000001</v>
      </c>
      <c r="I1092" s="2619" t="s">
        <v>1146</v>
      </c>
    </row>
    <row r="1093" spans="1:9" ht="16.5">
      <c r="A1093" s="7" t="s">
        <v>2412</v>
      </c>
      <c r="B1093" s="8" t="s">
        <v>7448</v>
      </c>
      <c r="C1093" s="9" t="s">
        <v>7398</v>
      </c>
      <c r="D1093" s="104"/>
      <c r="E1093" s="104"/>
      <c r="F1093" s="105">
        <f t="shared" ref="F1093:F1156" si="35">D1093*E1093</f>
        <v>0</v>
      </c>
      <c r="G1093" s="106">
        <f t="shared" si="34"/>
        <v>0</v>
      </c>
      <c r="H1093" s="81">
        <v>1.1144000000000001</v>
      </c>
      <c r="I1093" s="2619" t="s">
        <v>1146</v>
      </c>
    </row>
    <row r="1094" spans="1:9" ht="16.5">
      <c r="A1094" s="7" t="s">
        <v>3408</v>
      </c>
      <c r="B1094" s="8" t="s">
        <v>7449</v>
      </c>
      <c r="C1094" s="9" t="s">
        <v>7398</v>
      </c>
      <c r="D1094" s="104"/>
      <c r="E1094" s="104"/>
      <c r="F1094" s="105">
        <f t="shared" si="35"/>
        <v>0</v>
      </c>
      <c r="G1094" s="106">
        <f t="shared" si="34"/>
        <v>0</v>
      </c>
      <c r="H1094" s="81">
        <v>0.83799999999999997</v>
      </c>
      <c r="I1094" s="2619" t="s">
        <v>1146</v>
      </c>
    </row>
    <row r="1095" spans="1:9" ht="16.5">
      <c r="A1095" s="7" t="s">
        <v>2413</v>
      </c>
      <c r="B1095" s="8" t="s">
        <v>7450</v>
      </c>
      <c r="C1095" s="9" t="s">
        <v>7398</v>
      </c>
      <c r="D1095" s="104"/>
      <c r="E1095" s="104"/>
      <c r="F1095" s="105">
        <f t="shared" si="35"/>
        <v>0</v>
      </c>
      <c r="G1095" s="106">
        <f t="shared" si="34"/>
        <v>0</v>
      </c>
      <c r="H1095" s="81">
        <v>0.83550000000000002</v>
      </c>
      <c r="I1095" s="2619" t="s">
        <v>1146</v>
      </c>
    </row>
    <row r="1096" spans="1:9" ht="16.5">
      <c r="A1096" s="7" t="s">
        <v>3409</v>
      </c>
      <c r="B1096" s="8" t="s">
        <v>7451</v>
      </c>
      <c r="C1096" s="9" t="s">
        <v>7401</v>
      </c>
      <c r="D1096" s="104"/>
      <c r="E1096" s="104"/>
      <c r="F1096" s="105">
        <f t="shared" si="35"/>
        <v>0</v>
      </c>
      <c r="G1096" s="106">
        <f t="shared" si="34"/>
        <v>0</v>
      </c>
      <c r="H1096" s="81">
        <v>0.70740000000000003</v>
      </c>
      <c r="I1096" s="2619" t="s">
        <v>1146</v>
      </c>
    </row>
    <row r="1097" spans="1:9" ht="16.5">
      <c r="A1097" s="7" t="s">
        <v>2369</v>
      </c>
      <c r="B1097" s="8" t="s">
        <v>7452</v>
      </c>
      <c r="C1097" s="9" t="s">
        <v>7401</v>
      </c>
      <c r="D1097" s="104"/>
      <c r="E1097" s="104"/>
      <c r="F1097" s="105">
        <f t="shared" si="35"/>
        <v>0</v>
      </c>
      <c r="G1097" s="106">
        <f t="shared" si="34"/>
        <v>0</v>
      </c>
      <c r="H1097" s="81">
        <v>0.70989999999999998</v>
      </c>
      <c r="I1097" s="2619" t="s">
        <v>1146</v>
      </c>
    </row>
    <row r="1098" spans="1:9" ht="16.5">
      <c r="A1098" s="7" t="s">
        <v>2414</v>
      </c>
      <c r="B1098" s="8" t="s">
        <v>7453</v>
      </c>
      <c r="C1098" s="9" t="s">
        <v>7398</v>
      </c>
      <c r="D1098" s="104"/>
      <c r="E1098" s="104"/>
      <c r="F1098" s="105">
        <f t="shared" si="35"/>
        <v>0</v>
      </c>
      <c r="G1098" s="106">
        <f t="shared" si="34"/>
        <v>0</v>
      </c>
      <c r="H1098" s="81">
        <v>1.4534</v>
      </c>
      <c r="I1098" s="2619" t="s">
        <v>1146</v>
      </c>
    </row>
    <row r="1099" spans="1:9" ht="16.5">
      <c r="A1099" s="7" t="s">
        <v>2415</v>
      </c>
      <c r="B1099" s="8" t="s">
        <v>7454</v>
      </c>
      <c r="C1099" s="9" t="s">
        <v>7398</v>
      </c>
      <c r="D1099" s="104"/>
      <c r="E1099" s="104"/>
      <c r="F1099" s="105">
        <f t="shared" si="35"/>
        <v>0</v>
      </c>
      <c r="G1099" s="106">
        <f t="shared" si="34"/>
        <v>0</v>
      </c>
      <c r="H1099" s="81">
        <v>1.4039999999999999</v>
      </c>
      <c r="I1099" s="2619" t="s">
        <v>1146</v>
      </c>
    </row>
    <row r="1100" spans="1:9" ht="16.5">
      <c r="A1100" s="7" t="s">
        <v>2416</v>
      </c>
      <c r="B1100" s="8" t="s">
        <v>7455</v>
      </c>
      <c r="C1100" s="9" t="s">
        <v>7398</v>
      </c>
      <c r="D1100" s="104"/>
      <c r="E1100" s="104"/>
      <c r="F1100" s="105">
        <f t="shared" si="35"/>
        <v>0</v>
      </c>
      <c r="G1100" s="106">
        <f t="shared" si="34"/>
        <v>0</v>
      </c>
      <c r="H1100" s="81">
        <v>1.4036999999999999</v>
      </c>
      <c r="I1100" s="2619" t="s">
        <v>1146</v>
      </c>
    </row>
    <row r="1101" spans="1:9" ht="16.5">
      <c r="A1101" s="7" t="s">
        <v>2417</v>
      </c>
      <c r="B1101" s="8" t="s">
        <v>7456</v>
      </c>
      <c r="C1101" s="9" t="s">
        <v>7398</v>
      </c>
      <c r="D1101" s="104"/>
      <c r="E1101" s="104"/>
      <c r="F1101" s="105">
        <f t="shared" si="35"/>
        <v>0</v>
      </c>
      <c r="G1101" s="106">
        <f t="shared" si="34"/>
        <v>0</v>
      </c>
      <c r="H1101" s="81">
        <v>1.3515999999999999</v>
      </c>
      <c r="I1101" s="2619" t="s">
        <v>1146</v>
      </c>
    </row>
    <row r="1102" spans="1:9" ht="16.5">
      <c r="A1102" s="7" t="s">
        <v>2418</v>
      </c>
      <c r="B1102" s="8" t="s">
        <v>7457</v>
      </c>
      <c r="C1102" s="9" t="s">
        <v>7398</v>
      </c>
      <c r="D1102" s="104"/>
      <c r="E1102" s="104"/>
      <c r="F1102" s="105">
        <f t="shared" si="35"/>
        <v>0</v>
      </c>
      <c r="G1102" s="106">
        <f t="shared" si="34"/>
        <v>0</v>
      </c>
      <c r="H1102" s="81">
        <v>1.2818000000000001</v>
      </c>
      <c r="I1102" s="2625" t="s">
        <v>1146</v>
      </c>
    </row>
    <row r="1103" spans="1:9" ht="16.5">
      <c r="A1103" s="7" t="s">
        <v>2419</v>
      </c>
      <c r="B1103" s="8" t="s">
        <v>7458</v>
      </c>
      <c r="C1103" s="9" t="s">
        <v>7398</v>
      </c>
      <c r="D1103" s="104"/>
      <c r="E1103" s="104"/>
      <c r="F1103" s="105">
        <f t="shared" si="35"/>
        <v>0</v>
      </c>
      <c r="G1103" s="106">
        <f t="shared" si="34"/>
        <v>0</v>
      </c>
      <c r="H1103" s="81">
        <v>1.3902000000000001</v>
      </c>
      <c r="I1103" s="2619" t="s">
        <v>1146</v>
      </c>
    </row>
    <row r="1104" spans="1:9" ht="16.5">
      <c r="A1104" s="7" t="s">
        <v>2420</v>
      </c>
      <c r="B1104" s="8" t="s">
        <v>7459</v>
      </c>
      <c r="C1104" s="9" t="s">
        <v>7398</v>
      </c>
      <c r="D1104" s="104"/>
      <c r="E1104" s="104"/>
      <c r="F1104" s="105">
        <f t="shared" si="35"/>
        <v>0</v>
      </c>
      <c r="G1104" s="106">
        <f t="shared" si="34"/>
        <v>0</v>
      </c>
      <c r="H1104" s="81">
        <v>1.3847</v>
      </c>
      <c r="I1104" s="2619" t="s">
        <v>1146</v>
      </c>
    </row>
    <row r="1105" spans="1:9" ht="16.5">
      <c r="A1105" s="7" t="s">
        <v>2421</v>
      </c>
      <c r="B1105" s="8" t="s">
        <v>7460</v>
      </c>
      <c r="C1105" s="9" t="s">
        <v>7398</v>
      </c>
      <c r="D1105" s="104"/>
      <c r="E1105" s="104"/>
      <c r="F1105" s="105">
        <f t="shared" si="35"/>
        <v>0</v>
      </c>
      <c r="G1105" s="106">
        <f t="shared" si="34"/>
        <v>0</v>
      </c>
      <c r="H1105" s="81">
        <v>1.3671</v>
      </c>
      <c r="I1105" s="2619" t="s">
        <v>1146</v>
      </c>
    </row>
    <row r="1106" spans="1:9" ht="16.5">
      <c r="A1106" s="7" t="s">
        <v>2422</v>
      </c>
      <c r="B1106" s="8" t="s">
        <v>7461</v>
      </c>
      <c r="C1106" s="9" t="s">
        <v>7398</v>
      </c>
      <c r="D1106" s="104"/>
      <c r="E1106" s="104"/>
      <c r="F1106" s="105">
        <f t="shared" si="35"/>
        <v>0</v>
      </c>
      <c r="G1106" s="106">
        <f t="shared" si="34"/>
        <v>0</v>
      </c>
      <c r="H1106" s="81">
        <v>1.2158</v>
      </c>
      <c r="I1106" s="2619" t="s">
        <v>1146</v>
      </c>
    </row>
    <row r="1107" spans="1:9" ht="16.5">
      <c r="A1107" s="7" t="s">
        <v>2423</v>
      </c>
      <c r="B1107" s="8" t="s">
        <v>7462</v>
      </c>
      <c r="C1107" s="9" t="s">
        <v>7398</v>
      </c>
      <c r="D1107" s="104"/>
      <c r="E1107" s="104"/>
      <c r="F1107" s="105">
        <f t="shared" si="35"/>
        <v>0</v>
      </c>
      <c r="G1107" s="106">
        <f t="shared" si="34"/>
        <v>0</v>
      </c>
      <c r="H1107" s="81">
        <v>1.3023</v>
      </c>
      <c r="I1107" s="2619" t="s">
        <v>1146</v>
      </c>
    </row>
    <row r="1108" spans="1:9" ht="33">
      <c r="A1108" s="7" t="s">
        <v>5764</v>
      </c>
      <c r="B1108" s="8" t="s">
        <v>7463</v>
      </c>
      <c r="C1108" s="9" t="s">
        <v>7398</v>
      </c>
      <c r="D1108" s="104"/>
      <c r="E1108" s="104"/>
      <c r="F1108" s="105">
        <f t="shared" si="35"/>
        <v>0</v>
      </c>
      <c r="G1108" s="106">
        <f t="shared" si="34"/>
        <v>0</v>
      </c>
      <c r="H1108" s="81">
        <v>1.145239090909091</v>
      </c>
      <c r="I1108" s="2619" t="s">
        <v>6404</v>
      </c>
    </row>
    <row r="1109" spans="1:9" ht="33">
      <c r="A1109" s="7" t="s">
        <v>5765</v>
      </c>
      <c r="B1109" s="8" t="s">
        <v>7463</v>
      </c>
      <c r="C1109" s="9" t="s">
        <v>7398</v>
      </c>
      <c r="D1109" s="104"/>
      <c r="E1109" s="104"/>
      <c r="F1109" s="105">
        <f t="shared" si="35"/>
        <v>0</v>
      </c>
      <c r="G1109" s="106">
        <f t="shared" si="34"/>
        <v>0</v>
      </c>
      <c r="H1109" s="81">
        <v>1.145239090909091</v>
      </c>
      <c r="I1109" s="2619" t="s">
        <v>6404</v>
      </c>
    </row>
    <row r="1110" spans="1:9" ht="16.5">
      <c r="A1110" s="7" t="s">
        <v>2424</v>
      </c>
      <c r="B1110" s="8" t="s">
        <v>7464</v>
      </c>
      <c r="C1110" s="9" t="s">
        <v>7398</v>
      </c>
      <c r="D1110" s="104"/>
      <c r="E1110" s="104"/>
      <c r="F1110" s="105">
        <f t="shared" si="35"/>
        <v>0</v>
      </c>
      <c r="G1110" s="106">
        <f t="shared" si="34"/>
        <v>0</v>
      </c>
      <c r="H1110" s="81">
        <v>1.3124</v>
      </c>
      <c r="I1110" s="2619" t="s">
        <v>1146</v>
      </c>
    </row>
    <row r="1111" spans="1:9" ht="16.5">
      <c r="A1111" s="7" t="s">
        <v>2425</v>
      </c>
      <c r="B1111" s="8" t="s">
        <v>7465</v>
      </c>
      <c r="C1111" s="9" t="s">
        <v>7398</v>
      </c>
      <c r="D1111" s="104"/>
      <c r="E1111" s="104"/>
      <c r="F1111" s="105">
        <f t="shared" si="35"/>
        <v>0</v>
      </c>
      <c r="G1111" s="106">
        <f t="shared" si="34"/>
        <v>0</v>
      </c>
      <c r="H1111" s="81">
        <v>1.3119000000000001</v>
      </c>
      <c r="I1111" s="2619" t="s">
        <v>1146</v>
      </c>
    </row>
    <row r="1112" spans="1:9" ht="16.5">
      <c r="A1112" s="7" t="s">
        <v>2426</v>
      </c>
      <c r="B1112" s="8" t="s">
        <v>7466</v>
      </c>
      <c r="C1112" s="9" t="s">
        <v>7398</v>
      </c>
      <c r="D1112" s="104"/>
      <c r="E1112" s="104"/>
      <c r="F1112" s="105">
        <f t="shared" si="35"/>
        <v>0</v>
      </c>
      <c r="G1112" s="106">
        <f t="shared" si="34"/>
        <v>0</v>
      </c>
      <c r="H1112" s="81">
        <v>1.2699</v>
      </c>
      <c r="I1112" s="2619" t="s">
        <v>1146</v>
      </c>
    </row>
    <row r="1113" spans="1:9" ht="16.5">
      <c r="A1113" s="7" t="s">
        <v>2427</v>
      </c>
      <c r="B1113" s="8" t="s">
        <v>7467</v>
      </c>
      <c r="C1113" s="9" t="s">
        <v>7398</v>
      </c>
      <c r="D1113" s="104"/>
      <c r="E1113" s="104"/>
      <c r="F1113" s="105">
        <f t="shared" si="35"/>
        <v>0</v>
      </c>
      <c r="G1113" s="106">
        <f t="shared" si="34"/>
        <v>0</v>
      </c>
      <c r="H1113" s="81">
        <v>1.3167</v>
      </c>
      <c r="I1113" s="2619" t="s">
        <v>1146</v>
      </c>
    </row>
    <row r="1114" spans="1:9" ht="16.5">
      <c r="A1114" s="7" t="s">
        <v>2428</v>
      </c>
      <c r="B1114" s="8" t="s">
        <v>7468</v>
      </c>
      <c r="C1114" s="9" t="s">
        <v>7398</v>
      </c>
      <c r="D1114" s="104"/>
      <c r="E1114" s="104"/>
      <c r="F1114" s="105">
        <f t="shared" si="35"/>
        <v>0</v>
      </c>
      <c r="G1114" s="106">
        <f t="shared" si="34"/>
        <v>0</v>
      </c>
      <c r="H1114" s="81">
        <v>1.2516</v>
      </c>
      <c r="I1114" s="2625" t="s">
        <v>1146</v>
      </c>
    </row>
    <row r="1115" spans="1:9" ht="16.5">
      <c r="A1115" s="7" t="s">
        <v>2429</v>
      </c>
      <c r="B1115" s="8" t="s">
        <v>7469</v>
      </c>
      <c r="C1115" s="9" t="s">
        <v>7398</v>
      </c>
      <c r="D1115" s="104"/>
      <c r="E1115" s="104"/>
      <c r="F1115" s="105">
        <f t="shared" si="35"/>
        <v>0</v>
      </c>
      <c r="G1115" s="106">
        <f t="shared" si="34"/>
        <v>0</v>
      </c>
      <c r="H1115" s="81">
        <v>1.3090999999999999</v>
      </c>
      <c r="I1115" s="2619" t="s">
        <v>1146</v>
      </c>
    </row>
    <row r="1116" spans="1:9" ht="16.5">
      <c r="A1116" s="7" t="s">
        <v>2430</v>
      </c>
      <c r="B1116" s="8" t="s">
        <v>7470</v>
      </c>
      <c r="C1116" s="9" t="s">
        <v>7398</v>
      </c>
      <c r="D1116" s="104"/>
      <c r="E1116" s="104"/>
      <c r="F1116" s="105">
        <f t="shared" si="35"/>
        <v>0</v>
      </c>
      <c r="G1116" s="106">
        <f t="shared" si="34"/>
        <v>0</v>
      </c>
      <c r="H1116" s="81">
        <v>1.4091</v>
      </c>
      <c r="I1116" s="2625" t="s">
        <v>1146</v>
      </c>
    </row>
    <row r="1117" spans="1:9" ht="16.5">
      <c r="A1117" s="7" t="s">
        <v>2431</v>
      </c>
      <c r="B1117" s="8" t="s">
        <v>7471</v>
      </c>
      <c r="C1117" s="9" t="s">
        <v>7398</v>
      </c>
      <c r="D1117" s="104"/>
      <c r="E1117" s="104"/>
      <c r="F1117" s="105">
        <f t="shared" si="35"/>
        <v>0</v>
      </c>
      <c r="G1117" s="106">
        <f t="shared" si="34"/>
        <v>0</v>
      </c>
      <c r="H1117" s="81">
        <v>1.2836000000000001</v>
      </c>
      <c r="I1117" s="2619" t="s">
        <v>1146</v>
      </c>
    </row>
    <row r="1118" spans="1:9" ht="33">
      <c r="A1118" s="7" t="s">
        <v>2599</v>
      </c>
      <c r="B1118" s="8" t="s">
        <v>7472</v>
      </c>
      <c r="C1118" s="9" t="s">
        <v>7398</v>
      </c>
      <c r="D1118" s="104"/>
      <c r="E1118" s="104"/>
      <c r="F1118" s="105">
        <f t="shared" si="35"/>
        <v>0</v>
      </c>
      <c r="G1118" s="106">
        <f t="shared" si="34"/>
        <v>0</v>
      </c>
      <c r="H1118" s="81">
        <v>1.2065999999999999</v>
      </c>
      <c r="I1118" s="2619" t="s">
        <v>1146</v>
      </c>
    </row>
    <row r="1119" spans="1:9" ht="33">
      <c r="A1119" s="7" t="s">
        <v>2600</v>
      </c>
      <c r="B1119" s="8" t="s">
        <v>7473</v>
      </c>
      <c r="C1119" s="9" t="s">
        <v>7398</v>
      </c>
      <c r="D1119" s="104"/>
      <c r="E1119" s="104"/>
      <c r="F1119" s="105">
        <f t="shared" si="35"/>
        <v>0</v>
      </c>
      <c r="G1119" s="106">
        <f t="shared" si="34"/>
        <v>0</v>
      </c>
      <c r="H1119" s="81">
        <v>1.2034</v>
      </c>
      <c r="I1119" s="2619" t="s">
        <v>1146</v>
      </c>
    </row>
    <row r="1120" spans="1:9" ht="16.5">
      <c r="A1120" s="7" t="s">
        <v>2432</v>
      </c>
      <c r="B1120" s="8" t="s">
        <v>7474</v>
      </c>
      <c r="C1120" s="9" t="s">
        <v>7398</v>
      </c>
      <c r="D1120" s="104"/>
      <c r="E1120" s="104"/>
      <c r="F1120" s="105">
        <f t="shared" si="35"/>
        <v>0</v>
      </c>
      <c r="G1120" s="106">
        <f t="shared" si="34"/>
        <v>0</v>
      </c>
      <c r="H1120" s="81">
        <v>0.88929999999999998</v>
      </c>
      <c r="I1120" s="2619" t="s">
        <v>1146</v>
      </c>
    </row>
    <row r="1121" spans="1:9" ht="32.25">
      <c r="A1121" s="7" t="s">
        <v>5766</v>
      </c>
      <c r="B1121" s="8" t="s">
        <v>7475</v>
      </c>
      <c r="C1121" s="9" t="s">
        <v>7398</v>
      </c>
      <c r="D1121" s="104"/>
      <c r="E1121" s="104"/>
      <c r="F1121" s="105">
        <f t="shared" si="35"/>
        <v>0</v>
      </c>
      <c r="G1121" s="106">
        <f t="shared" si="34"/>
        <v>0</v>
      </c>
      <c r="H1121" s="81">
        <v>1.3115000000000001</v>
      </c>
      <c r="I1121" s="2619" t="s">
        <v>1146</v>
      </c>
    </row>
    <row r="1122" spans="1:9" ht="32.25">
      <c r="A1122" s="7" t="s">
        <v>2433</v>
      </c>
      <c r="B1122" s="8" t="s">
        <v>7476</v>
      </c>
      <c r="C1122" s="9" t="s">
        <v>7398</v>
      </c>
      <c r="D1122" s="104"/>
      <c r="E1122" s="104"/>
      <c r="F1122" s="105">
        <f t="shared" si="35"/>
        <v>0</v>
      </c>
      <c r="G1122" s="106">
        <f t="shared" si="34"/>
        <v>0</v>
      </c>
      <c r="H1122" s="81">
        <v>1.4148000000000001</v>
      </c>
      <c r="I1122" s="2619" t="s">
        <v>1146</v>
      </c>
    </row>
    <row r="1123" spans="1:9" ht="16.5">
      <c r="A1123" s="7" t="s">
        <v>2434</v>
      </c>
      <c r="B1123" s="8" t="s">
        <v>7477</v>
      </c>
      <c r="C1123" s="9" t="s">
        <v>7398</v>
      </c>
      <c r="D1123" s="104"/>
      <c r="E1123" s="104"/>
      <c r="F1123" s="105">
        <f t="shared" si="35"/>
        <v>0</v>
      </c>
      <c r="G1123" s="106">
        <f t="shared" si="34"/>
        <v>0</v>
      </c>
      <c r="H1123" s="81">
        <v>1.2862</v>
      </c>
      <c r="I1123" s="2619" t="s">
        <v>1146</v>
      </c>
    </row>
    <row r="1124" spans="1:9" ht="16.5">
      <c r="A1124" s="7" t="s">
        <v>2370</v>
      </c>
      <c r="B1124" s="8" t="s">
        <v>7478</v>
      </c>
      <c r="C1124" s="9" t="s">
        <v>7401</v>
      </c>
      <c r="D1124" s="104"/>
      <c r="E1124" s="104"/>
      <c r="F1124" s="105">
        <f t="shared" si="35"/>
        <v>0</v>
      </c>
      <c r="G1124" s="106">
        <f t="shared" si="34"/>
        <v>0</v>
      </c>
      <c r="H1124" s="81">
        <v>0.93569999999999998</v>
      </c>
      <c r="I1124" s="2619" t="s">
        <v>1146</v>
      </c>
    </row>
    <row r="1125" spans="1:9" ht="16.5">
      <c r="A1125" s="7" t="s">
        <v>2435</v>
      </c>
      <c r="B1125" s="8" t="s">
        <v>7479</v>
      </c>
      <c r="C1125" s="9" t="s">
        <v>7398</v>
      </c>
      <c r="D1125" s="104"/>
      <c r="E1125" s="104"/>
      <c r="F1125" s="105">
        <f t="shared" si="35"/>
        <v>0</v>
      </c>
      <c r="G1125" s="106">
        <f t="shared" si="34"/>
        <v>0</v>
      </c>
      <c r="H1125" s="81">
        <v>0</v>
      </c>
      <c r="I1125" s="2619" t="s">
        <v>1146</v>
      </c>
    </row>
    <row r="1126" spans="1:9" ht="32.25">
      <c r="A1126" s="7" t="s">
        <v>5767</v>
      </c>
      <c r="B1126" s="8" t="s">
        <v>7480</v>
      </c>
      <c r="C1126" s="9" t="s">
        <v>7398</v>
      </c>
      <c r="D1126" s="104"/>
      <c r="E1126" s="104"/>
      <c r="F1126" s="105">
        <f t="shared" si="35"/>
        <v>0</v>
      </c>
      <c r="G1126" s="106">
        <f t="shared" si="34"/>
        <v>0</v>
      </c>
      <c r="H1126" s="81">
        <v>1.1480999999999999</v>
      </c>
      <c r="I1126" s="2619" t="s">
        <v>1146</v>
      </c>
    </row>
    <row r="1127" spans="1:9" ht="16.5">
      <c r="A1127" s="7" t="s">
        <v>2436</v>
      </c>
      <c r="B1127" s="8" t="s">
        <v>7481</v>
      </c>
      <c r="C1127" s="9" t="s">
        <v>7398</v>
      </c>
      <c r="D1127" s="104"/>
      <c r="E1127" s="104"/>
      <c r="F1127" s="105">
        <f t="shared" si="35"/>
        <v>0</v>
      </c>
      <c r="G1127" s="106">
        <f t="shared" si="34"/>
        <v>0</v>
      </c>
      <c r="H1127" s="81">
        <v>1.2491000000000001</v>
      </c>
      <c r="I1127" s="2619" t="s">
        <v>1146</v>
      </c>
    </row>
    <row r="1128" spans="1:9" ht="16.5">
      <c r="A1128" s="7" t="s">
        <v>2437</v>
      </c>
      <c r="B1128" s="8" t="s">
        <v>7482</v>
      </c>
      <c r="C1128" s="9" t="s">
        <v>7398</v>
      </c>
      <c r="D1128" s="104"/>
      <c r="E1128" s="104"/>
      <c r="F1128" s="105">
        <f t="shared" si="35"/>
        <v>0</v>
      </c>
      <c r="G1128" s="106">
        <f t="shared" si="34"/>
        <v>0</v>
      </c>
      <c r="H1128" s="81">
        <v>1.1403000000000001</v>
      </c>
      <c r="I1128" s="2619" t="s">
        <v>1146</v>
      </c>
    </row>
    <row r="1129" spans="1:9" ht="33">
      <c r="A1129" s="7" t="s">
        <v>5031</v>
      </c>
      <c r="B1129" s="8" t="s">
        <v>7483</v>
      </c>
      <c r="C1129" s="9" t="s">
        <v>7398</v>
      </c>
      <c r="D1129" s="104"/>
      <c r="E1129" s="104"/>
      <c r="F1129" s="105">
        <f t="shared" si="35"/>
        <v>0</v>
      </c>
      <c r="G1129" s="106">
        <f t="shared" si="34"/>
        <v>0</v>
      </c>
      <c r="H1129" s="81">
        <v>0.67530000000000001</v>
      </c>
      <c r="I1129" s="2619" t="s">
        <v>1146</v>
      </c>
    </row>
    <row r="1130" spans="1:9" ht="33">
      <c r="A1130" s="7" t="s">
        <v>5032</v>
      </c>
      <c r="B1130" s="8" t="s">
        <v>7483</v>
      </c>
      <c r="C1130" s="9" t="s">
        <v>7398</v>
      </c>
      <c r="D1130" s="104"/>
      <c r="E1130" s="104"/>
      <c r="F1130" s="105">
        <f t="shared" si="35"/>
        <v>0</v>
      </c>
      <c r="G1130" s="106">
        <f t="shared" si="34"/>
        <v>0</v>
      </c>
      <c r="H1130" s="81">
        <v>0.67620000000000002</v>
      </c>
      <c r="I1130" s="2619" t="s">
        <v>1146</v>
      </c>
    </row>
    <row r="1131" spans="1:9" ht="16.5">
      <c r="A1131" s="7" t="s">
        <v>2438</v>
      </c>
      <c r="B1131" s="8" t="s">
        <v>7484</v>
      </c>
      <c r="C1131" s="9" t="s">
        <v>7398</v>
      </c>
      <c r="D1131" s="104"/>
      <c r="E1131" s="104"/>
      <c r="F1131" s="105">
        <f t="shared" si="35"/>
        <v>0</v>
      </c>
      <c r="G1131" s="106">
        <f t="shared" si="34"/>
        <v>0</v>
      </c>
      <c r="H1131" s="81">
        <v>1.2199</v>
      </c>
      <c r="I1131" s="2619" t="s">
        <v>1146</v>
      </c>
    </row>
    <row r="1132" spans="1:9" ht="16.5">
      <c r="A1132" s="7" t="s">
        <v>2439</v>
      </c>
      <c r="B1132" s="8" t="s">
        <v>7485</v>
      </c>
      <c r="C1132" s="9" t="s">
        <v>7398</v>
      </c>
      <c r="D1132" s="104"/>
      <c r="E1132" s="104"/>
      <c r="F1132" s="105">
        <f t="shared" si="35"/>
        <v>0</v>
      </c>
      <c r="G1132" s="106">
        <f t="shared" si="34"/>
        <v>0</v>
      </c>
      <c r="H1132" s="81">
        <v>1.1821999999999999</v>
      </c>
      <c r="I1132" s="2619" t="s">
        <v>1146</v>
      </c>
    </row>
    <row r="1133" spans="1:9" ht="16.5">
      <c r="A1133" s="7" t="s">
        <v>2440</v>
      </c>
      <c r="B1133" s="8" t="s">
        <v>7486</v>
      </c>
      <c r="C1133" s="9" t="s">
        <v>7398</v>
      </c>
      <c r="D1133" s="104"/>
      <c r="E1133" s="104"/>
      <c r="F1133" s="105">
        <f t="shared" si="35"/>
        <v>0</v>
      </c>
      <c r="G1133" s="106">
        <f t="shared" si="34"/>
        <v>0</v>
      </c>
      <c r="H1133" s="81">
        <v>1.1571</v>
      </c>
      <c r="I1133" s="2619" t="s">
        <v>1146</v>
      </c>
    </row>
    <row r="1134" spans="1:9" ht="16.5">
      <c r="A1134" s="7" t="s">
        <v>5033</v>
      </c>
      <c r="B1134" s="8" t="s">
        <v>7487</v>
      </c>
      <c r="C1134" s="9" t="s">
        <v>7398</v>
      </c>
      <c r="D1134" s="104"/>
      <c r="E1134" s="104"/>
      <c r="F1134" s="105">
        <f t="shared" si="35"/>
        <v>0</v>
      </c>
      <c r="G1134" s="106">
        <f t="shared" si="34"/>
        <v>0</v>
      </c>
      <c r="H1134" s="81">
        <v>0.86599999999999999</v>
      </c>
      <c r="I1134" s="2619" t="s">
        <v>1146</v>
      </c>
    </row>
    <row r="1135" spans="1:9" ht="16.5">
      <c r="A1135" s="7" t="s">
        <v>5034</v>
      </c>
      <c r="B1135" s="8" t="s">
        <v>7488</v>
      </c>
      <c r="C1135" s="9" t="s">
        <v>7398</v>
      </c>
      <c r="D1135" s="104"/>
      <c r="E1135" s="104"/>
      <c r="F1135" s="105">
        <f t="shared" si="35"/>
        <v>0</v>
      </c>
      <c r="G1135" s="106">
        <f t="shared" si="34"/>
        <v>0</v>
      </c>
      <c r="H1135" s="81">
        <v>0.86240000000000006</v>
      </c>
      <c r="I1135" s="2619" t="s">
        <v>1146</v>
      </c>
    </row>
    <row r="1136" spans="1:9" ht="16.5">
      <c r="A1136" s="7" t="s">
        <v>2441</v>
      </c>
      <c r="B1136" s="8" t="s">
        <v>7489</v>
      </c>
      <c r="C1136" s="9" t="s">
        <v>7398</v>
      </c>
      <c r="D1136" s="104"/>
      <c r="E1136" s="104"/>
      <c r="F1136" s="105">
        <f t="shared" si="35"/>
        <v>0</v>
      </c>
      <c r="G1136" s="106">
        <f t="shared" si="34"/>
        <v>0</v>
      </c>
      <c r="H1136" s="81">
        <v>1.4623999999999999</v>
      </c>
      <c r="I1136" s="2619" t="s">
        <v>1146</v>
      </c>
    </row>
    <row r="1137" spans="1:9" ht="16.5">
      <c r="A1137" s="7" t="s">
        <v>2442</v>
      </c>
      <c r="B1137" s="8" t="s">
        <v>7490</v>
      </c>
      <c r="C1137" s="9" t="s">
        <v>7398</v>
      </c>
      <c r="D1137" s="104"/>
      <c r="E1137" s="104"/>
      <c r="F1137" s="105">
        <f t="shared" si="35"/>
        <v>0</v>
      </c>
      <c r="G1137" s="106">
        <f t="shared" si="34"/>
        <v>0</v>
      </c>
      <c r="H1137" s="81">
        <v>1.1768000000000001</v>
      </c>
      <c r="I1137" s="2619" t="s">
        <v>1146</v>
      </c>
    </row>
    <row r="1138" spans="1:9" ht="16.5">
      <c r="A1138" s="7" t="s">
        <v>2443</v>
      </c>
      <c r="B1138" s="8" t="s">
        <v>7491</v>
      </c>
      <c r="C1138" s="9" t="s">
        <v>7398</v>
      </c>
      <c r="D1138" s="104"/>
      <c r="E1138" s="104"/>
      <c r="F1138" s="105">
        <f t="shared" si="35"/>
        <v>0</v>
      </c>
      <c r="G1138" s="106">
        <f t="shared" si="34"/>
        <v>0</v>
      </c>
      <c r="H1138" s="81">
        <v>0.95720000000000005</v>
      </c>
      <c r="I1138" s="2619" t="s">
        <v>1146</v>
      </c>
    </row>
    <row r="1139" spans="1:9" ht="16.5">
      <c r="A1139" s="7" t="s">
        <v>2444</v>
      </c>
      <c r="B1139" s="8" t="s">
        <v>7492</v>
      </c>
      <c r="C1139" s="9" t="s">
        <v>7398</v>
      </c>
      <c r="D1139" s="104"/>
      <c r="E1139" s="104"/>
      <c r="F1139" s="105">
        <f t="shared" si="35"/>
        <v>0</v>
      </c>
      <c r="G1139" s="106">
        <f t="shared" si="34"/>
        <v>0</v>
      </c>
      <c r="H1139" s="81">
        <v>1.2746999999999999</v>
      </c>
      <c r="I1139" s="2619" t="s">
        <v>1146</v>
      </c>
    </row>
    <row r="1140" spans="1:9" ht="16.5">
      <c r="A1140" s="7" t="s">
        <v>3410</v>
      </c>
      <c r="B1140" s="8" t="s">
        <v>7493</v>
      </c>
      <c r="C1140" s="9" t="s">
        <v>7398</v>
      </c>
      <c r="D1140" s="104"/>
      <c r="E1140" s="104"/>
      <c r="F1140" s="105">
        <f t="shared" si="35"/>
        <v>0</v>
      </c>
      <c r="G1140" s="106">
        <f t="shared" si="34"/>
        <v>0</v>
      </c>
      <c r="H1140" s="81">
        <v>1.274</v>
      </c>
      <c r="I1140" s="2619" t="s">
        <v>1146</v>
      </c>
    </row>
    <row r="1141" spans="1:9" ht="16.5">
      <c r="A1141" s="7" t="s">
        <v>2445</v>
      </c>
      <c r="B1141" s="8" t="s">
        <v>7494</v>
      </c>
      <c r="C1141" s="9" t="s">
        <v>7398</v>
      </c>
      <c r="D1141" s="104"/>
      <c r="E1141" s="104"/>
      <c r="F1141" s="105">
        <f t="shared" si="35"/>
        <v>0</v>
      </c>
      <c r="G1141" s="106">
        <f t="shared" si="34"/>
        <v>0</v>
      </c>
      <c r="H1141" s="81">
        <v>1.2746999999999999</v>
      </c>
      <c r="I1141" s="2619" t="s">
        <v>1146</v>
      </c>
    </row>
    <row r="1142" spans="1:9" ht="16.5">
      <c r="A1142" s="7" t="s">
        <v>2446</v>
      </c>
      <c r="B1142" s="8" t="s">
        <v>7495</v>
      </c>
      <c r="C1142" s="9" t="s">
        <v>7398</v>
      </c>
      <c r="D1142" s="104"/>
      <c r="E1142" s="104"/>
      <c r="F1142" s="105">
        <f t="shared" si="35"/>
        <v>0</v>
      </c>
      <c r="G1142" s="106">
        <f t="shared" si="34"/>
        <v>0</v>
      </c>
      <c r="H1142" s="81">
        <v>1.2209000000000001</v>
      </c>
      <c r="I1142" s="2619" t="s">
        <v>1146</v>
      </c>
    </row>
    <row r="1143" spans="1:9" ht="16.5">
      <c r="A1143" s="7" t="s">
        <v>3411</v>
      </c>
      <c r="B1143" s="8" t="s">
        <v>7496</v>
      </c>
      <c r="C1143" s="9" t="s">
        <v>7398</v>
      </c>
      <c r="D1143" s="104"/>
      <c r="E1143" s="104"/>
      <c r="F1143" s="105">
        <f t="shared" si="35"/>
        <v>0</v>
      </c>
      <c r="G1143" s="106">
        <f t="shared" si="34"/>
        <v>0</v>
      </c>
      <c r="H1143" s="81">
        <v>1.3757999999999999</v>
      </c>
      <c r="I1143" s="2619" t="s">
        <v>1146</v>
      </c>
    </row>
    <row r="1144" spans="1:9" ht="16.5">
      <c r="A1144" s="7" t="s">
        <v>2447</v>
      </c>
      <c r="B1144" s="8" t="s">
        <v>7497</v>
      </c>
      <c r="C1144" s="9" t="s">
        <v>7398</v>
      </c>
      <c r="D1144" s="104"/>
      <c r="E1144" s="104"/>
      <c r="F1144" s="105">
        <f t="shared" si="35"/>
        <v>0</v>
      </c>
      <c r="G1144" s="106">
        <f t="shared" si="34"/>
        <v>0</v>
      </c>
      <c r="H1144" s="81">
        <v>1.3761000000000001</v>
      </c>
      <c r="I1144" s="2619" t="s">
        <v>1146</v>
      </c>
    </row>
    <row r="1145" spans="1:9" ht="16.5">
      <c r="A1145" s="7" t="s">
        <v>2371</v>
      </c>
      <c r="B1145" s="8" t="s">
        <v>7498</v>
      </c>
      <c r="C1145" s="9" t="s">
        <v>7401</v>
      </c>
      <c r="D1145" s="104"/>
      <c r="E1145" s="104"/>
      <c r="F1145" s="105">
        <f t="shared" si="35"/>
        <v>0</v>
      </c>
      <c r="G1145" s="106">
        <f t="shared" si="34"/>
        <v>0</v>
      </c>
      <c r="H1145" s="81">
        <v>0.65469999999999995</v>
      </c>
      <c r="I1145" s="2619" t="s">
        <v>1146</v>
      </c>
    </row>
    <row r="1146" spans="1:9" ht="16.5">
      <c r="A1146" s="7" t="s">
        <v>2372</v>
      </c>
      <c r="B1146" s="8" t="s">
        <v>7499</v>
      </c>
      <c r="C1146" s="9" t="s">
        <v>7401</v>
      </c>
      <c r="D1146" s="104"/>
      <c r="E1146" s="104"/>
      <c r="F1146" s="105">
        <f t="shared" si="35"/>
        <v>0</v>
      </c>
      <c r="G1146" s="106">
        <f t="shared" si="34"/>
        <v>0</v>
      </c>
      <c r="H1146" s="81">
        <v>0.69179999999999997</v>
      </c>
      <c r="I1146" s="2619" t="s">
        <v>1146</v>
      </c>
    </row>
    <row r="1147" spans="1:9" ht="16.5">
      <c r="A1147" s="7" t="s">
        <v>2373</v>
      </c>
      <c r="B1147" s="8" t="s">
        <v>7500</v>
      </c>
      <c r="C1147" s="9" t="s">
        <v>7401</v>
      </c>
      <c r="D1147" s="104"/>
      <c r="E1147" s="104"/>
      <c r="F1147" s="105">
        <f t="shared" si="35"/>
        <v>0</v>
      </c>
      <c r="G1147" s="106">
        <f t="shared" si="34"/>
        <v>0</v>
      </c>
      <c r="H1147" s="81">
        <v>0.83809999999999996</v>
      </c>
      <c r="I1147" s="2619" t="s">
        <v>1146</v>
      </c>
    </row>
    <row r="1148" spans="1:9" ht="16.5">
      <c r="A1148" s="7" t="s">
        <v>2448</v>
      </c>
      <c r="B1148" s="8" t="s">
        <v>7501</v>
      </c>
      <c r="C1148" s="9" t="s">
        <v>7398</v>
      </c>
      <c r="D1148" s="104"/>
      <c r="E1148" s="104"/>
      <c r="F1148" s="105">
        <f t="shared" si="35"/>
        <v>0</v>
      </c>
      <c r="G1148" s="106">
        <f t="shared" si="34"/>
        <v>0</v>
      </c>
      <c r="H1148" s="81">
        <v>0.94589999999999996</v>
      </c>
      <c r="I1148" s="2619" t="s">
        <v>1146</v>
      </c>
    </row>
    <row r="1149" spans="1:9" ht="16.5">
      <c r="A1149" s="7" t="s">
        <v>2449</v>
      </c>
      <c r="B1149" s="8" t="s">
        <v>7502</v>
      </c>
      <c r="C1149" s="9" t="s">
        <v>7398</v>
      </c>
      <c r="D1149" s="104"/>
      <c r="E1149" s="104"/>
      <c r="F1149" s="105">
        <f t="shared" si="35"/>
        <v>0</v>
      </c>
      <c r="G1149" s="106">
        <f t="shared" si="34"/>
        <v>0</v>
      </c>
      <c r="H1149" s="81">
        <v>0.82369999999999999</v>
      </c>
      <c r="I1149" s="2619" t="s">
        <v>1146</v>
      </c>
    </row>
    <row r="1150" spans="1:9" ht="16.5">
      <c r="A1150" s="7" t="s">
        <v>5035</v>
      </c>
      <c r="B1150" s="8" t="s">
        <v>7503</v>
      </c>
      <c r="C1150" s="9" t="s">
        <v>7398</v>
      </c>
      <c r="D1150" s="104"/>
      <c r="E1150" s="104"/>
      <c r="F1150" s="105">
        <f t="shared" si="35"/>
        <v>0</v>
      </c>
      <c r="G1150" s="106">
        <f t="shared" si="34"/>
        <v>0</v>
      </c>
      <c r="H1150" s="81">
        <v>0.71350000000000002</v>
      </c>
      <c r="I1150" s="2619" t="s">
        <v>1146</v>
      </c>
    </row>
    <row r="1151" spans="1:9" ht="16.5">
      <c r="A1151" s="7" t="s">
        <v>5036</v>
      </c>
      <c r="B1151" s="8" t="s">
        <v>7504</v>
      </c>
      <c r="C1151" s="9" t="s">
        <v>7398</v>
      </c>
      <c r="D1151" s="104"/>
      <c r="E1151" s="104"/>
      <c r="F1151" s="105">
        <f t="shared" si="35"/>
        <v>0</v>
      </c>
      <c r="G1151" s="106">
        <f t="shared" si="34"/>
        <v>0</v>
      </c>
      <c r="H1151" s="81">
        <v>0.71689999999999998</v>
      </c>
      <c r="I1151" s="2619" t="s">
        <v>1146</v>
      </c>
    </row>
    <row r="1152" spans="1:9" ht="16.5">
      <c r="A1152" s="7" t="s">
        <v>5037</v>
      </c>
      <c r="B1152" s="8" t="s">
        <v>7505</v>
      </c>
      <c r="C1152" s="9" t="s">
        <v>7398</v>
      </c>
      <c r="D1152" s="104"/>
      <c r="E1152" s="104"/>
      <c r="F1152" s="105">
        <f t="shared" si="35"/>
        <v>0</v>
      </c>
      <c r="G1152" s="106">
        <f t="shared" si="34"/>
        <v>0</v>
      </c>
      <c r="H1152" s="81">
        <v>0.71499999999999997</v>
      </c>
      <c r="I1152" s="2619" t="s">
        <v>1146</v>
      </c>
    </row>
    <row r="1153" spans="1:9" ht="16.5">
      <c r="A1153" s="7" t="s">
        <v>5038</v>
      </c>
      <c r="B1153" s="8" t="s">
        <v>7506</v>
      </c>
      <c r="C1153" s="9" t="s">
        <v>7398</v>
      </c>
      <c r="D1153" s="104"/>
      <c r="E1153" s="104"/>
      <c r="F1153" s="105">
        <f t="shared" si="35"/>
        <v>0</v>
      </c>
      <c r="G1153" s="106">
        <f t="shared" si="34"/>
        <v>0</v>
      </c>
      <c r="H1153" s="81">
        <v>0.71260000000000001</v>
      </c>
      <c r="I1153" s="2619" t="s">
        <v>1146</v>
      </c>
    </row>
    <row r="1154" spans="1:9" ht="16.5">
      <c r="A1154" s="7" t="s">
        <v>2450</v>
      </c>
      <c r="B1154" s="8" t="s">
        <v>7507</v>
      </c>
      <c r="C1154" s="9" t="s">
        <v>7398</v>
      </c>
      <c r="D1154" s="104"/>
      <c r="E1154" s="104"/>
      <c r="F1154" s="105">
        <f t="shared" si="35"/>
        <v>0</v>
      </c>
      <c r="G1154" s="106">
        <f t="shared" si="34"/>
        <v>0</v>
      </c>
      <c r="H1154" s="81">
        <v>1.1478999999999999</v>
      </c>
      <c r="I1154" s="2619" t="s">
        <v>1146</v>
      </c>
    </row>
    <row r="1155" spans="1:9" ht="16.5">
      <c r="A1155" s="7" t="s">
        <v>2601</v>
      </c>
      <c r="B1155" s="8" t="s">
        <v>7508</v>
      </c>
      <c r="C1155" s="9" t="s">
        <v>7398</v>
      </c>
      <c r="D1155" s="104"/>
      <c r="E1155" s="104"/>
      <c r="F1155" s="105">
        <f t="shared" si="35"/>
        <v>0</v>
      </c>
      <c r="G1155" s="106">
        <f t="shared" si="34"/>
        <v>0</v>
      </c>
      <c r="H1155" s="81">
        <v>1.4225000000000001</v>
      </c>
      <c r="I1155" s="2619" t="s">
        <v>1146</v>
      </c>
    </row>
    <row r="1156" spans="1:9" ht="16.5">
      <c r="A1156" s="7" t="s">
        <v>2451</v>
      </c>
      <c r="B1156" s="8" t="s">
        <v>7509</v>
      </c>
      <c r="C1156" s="9" t="s">
        <v>7398</v>
      </c>
      <c r="D1156" s="104"/>
      <c r="E1156" s="104"/>
      <c r="F1156" s="105">
        <f t="shared" si="35"/>
        <v>0</v>
      </c>
      <c r="G1156" s="106">
        <f t="shared" ref="G1156:G1219" si="36">IF($F$1265=0,0,F1156/$F$1265)</f>
        <v>0</v>
      </c>
      <c r="H1156" s="81">
        <v>1.4222999999999999</v>
      </c>
      <c r="I1156" s="2619" t="s">
        <v>1146</v>
      </c>
    </row>
    <row r="1157" spans="1:9" ht="16.5">
      <c r="A1157" s="7" t="s">
        <v>2452</v>
      </c>
      <c r="B1157" s="8" t="s">
        <v>7510</v>
      </c>
      <c r="C1157" s="9" t="s">
        <v>7398</v>
      </c>
      <c r="D1157" s="104"/>
      <c r="E1157" s="104"/>
      <c r="F1157" s="105">
        <f t="shared" ref="F1157:F1196" si="37">D1157*E1157</f>
        <v>0</v>
      </c>
      <c r="G1157" s="106">
        <f t="shared" si="36"/>
        <v>0</v>
      </c>
      <c r="H1157" s="81">
        <v>1.5569</v>
      </c>
      <c r="I1157" s="2625" t="s">
        <v>1146</v>
      </c>
    </row>
    <row r="1158" spans="1:9" ht="16.5">
      <c r="A1158" s="7" t="s">
        <v>2453</v>
      </c>
      <c r="B1158" s="8" t="s">
        <v>7511</v>
      </c>
      <c r="C1158" s="9" t="s">
        <v>7398</v>
      </c>
      <c r="D1158" s="104"/>
      <c r="E1158" s="104"/>
      <c r="F1158" s="105">
        <f t="shared" si="37"/>
        <v>0</v>
      </c>
      <c r="G1158" s="106">
        <f t="shared" si="36"/>
        <v>0</v>
      </c>
      <c r="H1158" s="81">
        <v>1.0854999999999999</v>
      </c>
      <c r="I1158" s="2619" t="s">
        <v>1146</v>
      </c>
    </row>
    <row r="1159" spans="1:9" ht="16.5">
      <c r="A1159" s="7" t="s">
        <v>2454</v>
      </c>
      <c r="B1159" s="8" t="s">
        <v>7512</v>
      </c>
      <c r="C1159" s="9" t="s">
        <v>7398</v>
      </c>
      <c r="D1159" s="104"/>
      <c r="E1159" s="104"/>
      <c r="F1159" s="105">
        <f t="shared" si="37"/>
        <v>0</v>
      </c>
      <c r="G1159" s="106">
        <f t="shared" si="36"/>
        <v>0</v>
      </c>
      <c r="H1159" s="81">
        <v>1.5637000000000001</v>
      </c>
      <c r="I1159" s="2619" t="s">
        <v>1146</v>
      </c>
    </row>
    <row r="1160" spans="1:9" ht="16.5">
      <c r="A1160" s="7" t="s">
        <v>2455</v>
      </c>
      <c r="B1160" s="8" t="s">
        <v>7513</v>
      </c>
      <c r="C1160" s="9" t="s">
        <v>7398</v>
      </c>
      <c r="D1160" s="104"/>
      <c r="E1160" s="104"/>
      <c r="F1160" s="105">
        <f t="shared" si="37"/>
        <v>0</v>
      </c>
      <c r="G1160" s="106">
        <f t="shared" si="36"/>
        <v>0</v>
      </c>
      <c r="H1160" s="81">
        <v>1.4234</v>
      </c>
      <c r="I1160" s="2619" t="s">
        <v>1146</v>
      </c>
    </row>
    <row r="1161" spans="1:9" ht="16.5">
      <c r="A1161" s="7" t="s">
        <v>2456</v>
      </c>
      <c r="B1161" s="8" t="s">
        <v>7514</v>
      </c>
      <c r="C1161" s="9" t="s">
        <v>7398</v>
      </c>
      <c r="D1161" s="104"/>
      <c r="E1161" s="104"/>
      <c r="F1161" s="105">
        <f t="shared" si="37"/>
        <v>0</v>
      </c>
      <c r="G1161" s="106">
        <f t="shared" si="36"/>
        <v>0</v>
      </c>
      <c r="H1161" s="81">
        <v>1.4776</v>
      </c>
      <c r="I1161" s="2619" t="s">
        <v>1146</v>
      </c>
    </row>
    <row r="1162" spans="1:9" ht="16.5">
      <c r="A1162" s="7" t="s">
        <v>2457</v>
      </c>
      <c r="B1162" s="8" t="s">
        <v>7515</v>
      </c>
      <c r="C1162" s="9" t="s">
        <v>7398</v>
      </c>
      <c r="D1162" s="104"/>
      <c r="E1162" s="104"/>
      <c r="F1162" s="105">
        <f t="shared" si="37"/>
        <v>0</v>
      </c>
      <c r="G1162" s="106">
        <f t="shared" si="36"/>
        <v>0</v>
      </c>
      <c r="H1162" s="81">
        <v>1.3602000000000001</v>
      </c>
      <c r="I1162" s="2619" t="s">
        <v>1146</v>
      </c>
    </row>
    <row r="1163" spans="1:9" ht="16.5">
      <c r="A1163" s="7" t="s">
        <v>2458</v>
      </c>
      <c r="B1163" s="8" t="s">
        <v>7516</v>
      </c>
      <c r="C1163" s="9" t="s">
        <v>7398</v>
      </c>
      <c r="D1163" s="104"/>
      <c r="E1163" s="104"/>
      <c r="F1163" s="105">
        <f t="shared" si="37"/>
        <v>0</v>
      </c>
      <c r="G1163" s="106">
        <f t="shared" si="36"/>
        <v>0</v>
      </c>
      <c r="H1163" s="81">
        <v>1.3819999999999999</v>
      </c>
      <c r="I1163" s="2619" t="s">
        <v>1146</v>
      </c>
    </row>
    <row r="1164" spans="1:9" ht="16.5">
      <c r="A1164" s="7" t="s">
        <v>3412</v>
      </c>
      <c r="B1164" s="8" t="s">
        <v>7517</v>
      </c>
      <c r="C1164" s="9" t="s">
        <v>7398</v>
      </c>
      <c r="D1164" s="104"/>
      <c r="E1164" s="104"/>
      <c r="F1164" s="105">
        <f t="shared" si="37"/>
        <v>0</v>
      </c>
      <c r="G1164" s="106">
        <f t="shared" si="36"/>
        <v>0</v>
      </c>
      <c r="H1164" s="81">
        <v>1.4015</v>
      </c>
      <c r="I1164" s="2619" t="s">
        <v>1146</v>
      </c>
    </row>
    <row r="1165" spans="1:9" ht="33">
      <c r="A1165" s="7" t="s">
        <v>5768</v>
      </c>
      <c r="B1165" s="8" t="s">
        <v>7518</v>
      </c>
      <c r="C1165" s="9" t="s">
        <v>7401</v>
      </c>
      <c r="D1165" s="104"/>
      <c r="E1165" s="104"/>
      <c r="F1165" s="105">
        <f t="shared" si="37"/>
        <v>0</v>
      </c>
      <c r="G1165" s="106">
        <f t="shared" si="36"/>
        <v>0</v>
      </c>
      <c r="H1165" s="81">
        <v>0.25480000000000003</v>
      </c>
      <c r="I1165" s="2619" t="s">
        <v>1146</v>
      </c>
    </row>
    <row r="1166" spans="1:9" ht="16.5">
      <c r="A1166" s="7" t="s">
        <v>2459</v>
      </c>
      <c r="B1166" s="8" t="s">
        <v>7519</v>
      </c>
      <c r="C1166" s="9" t="s">
        <v>7398</v>
      </c>
      <c r="D1166" s="104"/>
      <c r="E1166" s="104"/>
      <c r="F1166" s="105">
        <f t="shared" si="37"/>
        <v>0</v>
      </c>
      <c r="G1166" s="106">
        <f t="shared" si="36"/>
        <v>0</v>
      </c>
      <c r="H1166" s="81">
        <v>1.0542</v>
      </c>
      <c r="I1166" s="2619" t="s">
        <v>1146</v>
      </c>
    </row>
    <row r="1167" spans="1:9" ht="16.5">
      <c r="A1167" s="7" t="s">
        <v>2460</v>
      </c>
      <c r="B1167" s="8" t="s">
        <v>7520</v>
      </c>
      <c r="C1167" s="9" t="s">
        <v>7398</v>
      </c>
      <c r="D1167" s="104"/>
      <c r="E1167" s="104"/>
      <c r="F1167" s="105">
        <f t="shared" si="37"/>
        <v>0</v>
      </c>
      <c r="G1167" s="106">
        <f t="shared" si="36"/>
        <v>0</v>
      </c>
      <c r="H1167" s="81">
        <v>1.3895</v>
      </c>
      <c r="I1167" s="2619" t="s">
        <v>1146</v>
      </c>
    </row>
    <row r="1168" spans="1:9" ht="16.5">
      <c r="A1168" s="7" t="s">
        <v>2461</v>
      </c>
      <c r="B1168" s="8" t="s">
        <v>7521</v>
      </c>
      <c r="C1168" s="9" t="s">
        <v>7398</v>
      </c>
      <c r="D1168" s="104"/>
      <c r="E1168" s="104"/>
      <c r="F1168" s="105">
        <f t="shared" si="37"/>
        <v>0</v>
      </c>
      <c r="G1168" s="106">
        <f t="shared" si="36"/>
        <v>0</v>
      </c>
      <c r="H1168" s="81">
        <v>1.3373999999999999</v>
      </c>
      <c r="I1168" s="2619" t="s">
        <v>1146</v>
      </c>
    </row>
    <row r="1169" spans="1:9" ht="16.5">
      <c r="A1169" s="7" t="s">
        <v>2374</v>
      </c>
      <c r="B1169" s="8" t="s">
        <v>7522</v>
      </c>
      <c r="C1169" s="9" t="s">
        <v>7401</v>
      </c>
      <c r="D1169" s="104"/>
      <c r="E1169" s="104"/>
      <c r="F1169" s="105">
        <f t="shared" si="37"/>
        <v>0</v>
      </c>
      <c r="G1169" s="106">
        <f t="shared" si="36"/>
        <v>0</v>
      </c>
      <c r="H1169" s="81">
        <v>0.87480000000000002</v>
      </c>
      <c r="I1169" s="2619" t="s">
        <v>1146</v>
      </c>
    </row>
    <row r="1170" spans="1:9" ht="16.5">
      <c r="A1170" s="7" t="s">
        <v>2462</v>
      </c>
      <c r="B1170" s="8" t="s">
        <v>7523</v>
      </c>
      <c r="C1170" s="9" t="s">
        <v>7398</v>
      </c>
      <c r="D1170" s="104"/>
      <c r="E1170" s="104"/>
      <c r="F1170" s="105">
        <f t="shared" si="37"/>
        <v>0</v>
      </c>
      <c r="G1170" s="106">
        <f t="shared" si="36"/>
        <v>0</v>
      </c>
      <c r="H1170" s="81">
        <v>1.2897000000000001</v>
      </c>
      <c r="I1170" s="2619" t="s">
        <v>1146</v>
      </c>
    </row>
    <row r="1171" spans="1:9" ht="16.5">
      <c r="A1171" s="7" t="s">
        <v>2375</v>
      </c>
      <c r="B1171" s="8" t="s">
        <v>7524</v>
      </c>
      <c r="C1171" s="9" t="s">
        <v>7401</v>
      </c>
      <c r="D1171" s="104"/>
      <c r="E1171" s="104"/>
      <c r="F1171" s="105">
        <f t="shared" si="37"/>
        <v>0</v>
      </c>
      <c r="G1171" s="106">
        <f t="shared" si="36"/>
        <v>0</v>
      </c>
      <c r="H1171" s="81">
        <v>0.93840000000000001</v>
      </c>
      <c r="I1171" s="2619" t="s">
        <v>1146</v>
      </c>
    </row>
    <row r="1172" spans="1:9" ht="16.5">
      <c r="A1172" s="7" t="s">
        <v>2463</v>
      </c>
      <c r="B1172" s="8" t="s">
        <v>7525</v>
      </c>
      <c r="C1172" s="9" t="s">
        <v>7398</v>
      </c>
      <c r="D1172" s="104"/>
      <c r="E1172" s="104"/>
      <c r="F1172" s="105">
        <f t="shared" si="37"/>
        <v>0</v>
      </c>
      <c r="G1172" s="106">
        <f t="shared" si="36"/>
        <v>0</v>
      </c>
      <c r="H1172" s="81">
        <v>1.3145</v>
      </c>
      <c r="I1172" s="2619" t="s">
        <v>1146</v>
      </c>
    </row>
    <row r="1173" spans="1:9" ht="16.5">
      <c r="A1173" s="7" t="s">
        <v>2376</v>
      </c>
      <c r="B1173" s="8" t="s">
        <v>7526</v>
      </c>
      <c r="C1173" s="9" t="s">
        <v>7401</v>
      </c>
      <c r="D1173" s="104"/>
      <c r="E1173" s="104"/>
      <c r="F1173" s="105">
        <f t="shared" si="37"/>
        <v>0</v>
      </c>
      <c r="G1173" s="106">
        <f t="shared" si="36"/>
        <v>0</v>
      </c>
      <c r="H1173" s="81">
        <v>0.91969999999999996</v>
      </c>
      <c r="I1173" s="2625" t="s">
        <v>1146</v>
      </c>
    </row>
    <row r="1174" spans="1:9" ht="16.5">
      <c r="A1174" s="7" t="s">
        <v>2377</v>
      </c>
      <c r="B1174" s="8" t="s">
        <v>7527</v>
      </c>
      <c r="C1174" s="9" t="s">
        <v>7401</v>
      </c>
      <c r="D1174" s="104"/>
      <c r="E1174" s="104"/>
      <c r="F1174" s="105">
        <f t="shared" si="37"/>
        <v>0</v>
      </c>
      <c r="G1174" s="106">
        <f t="shared" si="36"/>
        <v>0</v>
      </c>
      <c r="H1174" s="81">
        <v>0.98609999999999998</v>
      </c>
      <c r="I1174" s="2625" t="s">
        <v>1146</v>
      </c>
    </row>
    <row r="1175" spans="1:9" ht="16.5">
      <c r="A1175" s="7" t="s">
        <v>2464</v>
      </c>
      <c r="B1175" s="8" t="s">
        <v>7528</v>
      </c>
      <c r="C1175" s="9" t="s">
        <v>7398</v>
      </c>
      <c r="D1175" s="104"/>
      <c r="E1175" s="104"/>
      <c r="F1175" s="105">
        <f t="shared" si="37"/>
        <v>0</v>
      </c>
      <c r="G1175" s="106">
        <f t="shared" si="36"/>
        <v>0</v>
      </c>
      <c r="H1175" s="81">
        <v>1.4134</v>
      </c>
      <c r="I1175" s="2625" t="s">
        <v>1146</v>
      </c>
    </row>
    <row r="1176" spans="1:9" ht="16.5">
      <c r="A1176" s="7" t="s">
        <v>2465</v>
      </c>
      <c r="B1176" s="8" t="s">
        <v>7529</v>
      </c>
      <c r="C1176" s="9" t="s">
        <v>7398</v>
      </c>
      <c r="D1176" s="104"/>
      <c r="E1176" s="104"/>
      <c r="F1176" s="105">
        <f t="shared" si="37"/>
        <v>0</v>
      </c>
      <c r="G1176" s="106">
        <f t="shared" si="36"/>
        <v>0</v>
      </c>
      <c r="H1176" s="81">
        <v>0.8679</v>
      </c>
      <c r="I1176" s="2619" t="s">
        <v>1146</v>
      </c>
    </row>
    <row r="1177" spans="1:9" ht="16.5">
      <c r="A1177" s="7" t="s">
        <v>3413</v>
      </c>
      <c r="B1177" s="8" t="s">
        <v>7530</v>
      </c>
      <c r="C1177" s="9" t="s">
        <v>7398</v>
      </c>
      <c r="D1177" s="104"/>
      <c r="E1177" s="104"/>
      <c r="F1177" s="105">
        <f t="shared" si="37"/>
        <v>0</v>
      </c>
      <c r="G1177" s="106">
        <f t="shared" si="36"/>
        <v>0</v>
      </c>
      <c r="H1177" s="81">
        <v>1.2275</v>
      </c>
      <c r="I1177" s="2619" t="s">
        <v>1146</v>
      </c>
    </row>
    <row r="1178" spans="1:9" ht="16.5">
      <c r="A1178" s="7" t="s">
        <v>2602</v>
      </c>
      <c r="B1178" s="8" t="s">
        <v>7531</v>
      </c>
      <c r="C1178" s="9" t="s">
        <v>7398</v>
      </c>
      <c r="D1178" s="104"/>
      <c r="E1178" s="104"/>
      <c r="F1178" s="105">
        <f t="shared" si="37"/>
        <v>0</v>
      </c>
      <c r="G1178" s="106">
        <f t="shared" si="36"/>
        <v>0</v>
      </c>
      <c r="H1178" s="81">
        <v>1.3433999999999999</v>
      </c>
      <c r="I1178" s="2619" t="s">
        <v>1146</v>
      </c>
    </row>
    <row r="1179" spans="1:9" ht="16.5">
      <c r="A1179" s="7" t="s">
        <v>3414</v>
      </c>
      <c r="B1179" s="8" t="s">
        <v>7532</v>
      </c>
      <c r="C1179" s="9" t="s">
        <v>7398</v>
      </c>
      <c r="D1179" s="104"/>
      <c r="E1179" s="104"/>
      <c r="F1179" s="105">
        <f t="shared" si="37"/>
        <v>0</v>
      </c>
      <c r="G1179" s="106">
        <f t="shared" si="36"/>
        <v>0</v>
      </c>
      <c r="H1179" s="81">
        <v>1.3456999999999999</v>
      </c>
      <c r="I1179" s="2619" t="s">
        <v>1146</v>
      </c>
    </row>
    <row r="1180" spans="1:9" ht="16.5">
      <c r="A1180" s="7" t="s">
        <v>2466</v>
      </c>
      <c r="B1180" s="8" t="s">
        <v>7533</v>
      </c>
      <c r="C1180" s="9" t="s">
        <v>7398</v>
      </c>
      <c r="D1180" s="104"/>
      <c r="E1180" s="104"/>
      <c r="F1180" s="105">
        <f t="shared" si="37"/>
        <v>0</v>
      </c>
      <c r="G1180" s="106">
        <f t="shared" si="36"/>
        <v>0</v>
      </c>
      <c r="H1180" s="81">
        <v>1.3433999999999999</v>
      </c>
      <c r="I1180" s="2619" t="s">
        <v>1146</v>
      </c>
    </row>
    <row r="1181" spans="1:9" ht="16.5">
      <c r="A1181" s="7" t="s">
        <v>2603</v>
      </c>
      <c r="B1181" s="8" t="s">
        <v>7534</v>
      </c>
      <c r="C1181" s="9" t="s">
        <v>7398</v>
      </c>
      <c r="D1181" s="104"/>
      <c r="E1181" s="104"/>
      <c r="F1181" s="105">
        <f t="shared" si="37"/>
        <v>0</v>
      </c>
      <c r="G1181" s="106">
        <f t="shared" si="36"/>
        <v>0</v>
      </c>
      <c r="H1181" s="81">
        <v>1.333</v>
      </c>
      <c r="I1181" s="2619" t="s">
        <v>1146</v>
      </c>
    </row>
    <row r="1182" spans="1:9" ht="16.5">
      <c r="A1182" s="7" t="s">
        <v>2467</v>
      </c>
      <c r="B1182" s="8" t="s">
        <v>7535</v>
      </c>
      <c r="C1182" s="9" t="s">
        <v>7398</v>
      </c>
      <c r="D1182" s="104"/>
      <c r="E1182" s="104"/>
      <c r="F1182" s="105">
        <f t="shared" si="37"/>
        <v>0</v>
      </c>
      <c r="G1182" s="106">
        <f t="shared" si="36"/>
        <v>0</v>
      </c>
      <c r="H1182" s="81">
        <v>1.333</v>
      </c>
      <c r="I1182" s="2619" t="s">
        <v>1146</v>
      </c>
    </row>
    <row r="1183" spans="1:9" ht="16.5">
      <c r="A1183" s="7" t="s">
        <v>2378</v>
      </c>
      <c r="B1183" s="8" t="s">
        <v>7536</v>
      </c>
      <c r="C1183" s="9" t="s">
        <v>7401</v>
      </c>
      <c r="D1183" s="104"/>
      <c r="E1183" s="104"/>
      <c r="F1183" s="105">
        <f t="shared" si="37"/>
        <v>0</v>
      </c>
      <c r="G1183" s="106">
        <f t="shared" si="36"/>
        <v>0</v>
      </c>
      <c r="H1183" s="81">
        <v>0.90800000000000003</v>
      </c>
      <c r="I1183" s="2619" t="s">
        <v>1146</v>
      </c>
    </row>
    <row r="1184" spans="1:9" ht="16.5">
      <c r="A1184" s="7" t="s">
        <v>2468</v>
      </c>
      <c r="B1184" s="8" t="s">
        <v>7537</v>
      </c>
      <c r="C1184" s="9" t="s">
        <v>7398</v>
      </c>
      <c r="D1184" s="104"/>
      <c r="E1184" s="104"/>
      <c r="F1184" s="105">
        <f t="shared" si="37"/>
        <v>0</v>
      </c>
      <c r="G1184" s="106">
        <f t="shared" si="36"/>
        <v>0</v>
      </c>
      <c r="H1184" s="81">
        <v>1.3577999999999999</v>
      </c>
      <c r="I1184" s="2625" t="s">
        <v>1146</v>
      </c>
    </row>
    <row r="1185" spans="1:9" ht="16.5">
      <c r="A1185" s="7" t="s">
        <v>2604</v>
      </c>
      <c r="B1185" s="8" t="s">
        <v>7538</v>
      </c>
      <c r="C1185" s="9" t="s">
        <v>7398</v>
      </c>
      <c r="D1185" s="104"/>
      <c r="E1185" s="104"/>
      <c r="F1185" s="105">
        <f t="shared" si="37"/>
        <v>0</v>
      </c>
      <c r="G1185" s="106">
        <f t="shared" si="36"/>
        <v>0</v>
      </c>
      <c r="H1185" s="81">
        <v>0.83020000000000005</v>
      </c>
      <c r="I1185" s="2619" t="s">
        <v>1146</v>
      </c>
    </row>
    <row r="1186" spans="1:9" ht="16.5">
      <c r="A1186" s="7" t="s">
        <v>2605</v>
      </c>
      <c r="B1186" s="8" t="s">
        <v>7539</v>
      </c>
      <c r="C1186" s="9" t="s">
        <v>7398</v>
      </c>
      <c r="D1186" s="104"/>
      <c r="E1186" s="104"/>
      <c r="F1186" s="105">
        <f t="shared" si="37"/>
        <v>0</v>
      </c>
      <c r="G1186" s="106">
        <f t="shared" si="36"/>
        <v>0</v>
      </c>
      <c r="H1186" s="81">
        <v>0.83089999999999997</v>
      </c>
      <c r="I1186" s="2619" t="s">
        <v>1146</v>
      </c>
    </row>
    <row r="1187" spans="1:9" ht="16.5">
      <c r="A1187" s="7" t="s">
        <v>2606</v>
      </c>
      <c r="B1187" s="8" t="s">
        <v>7540</v>
      </c>
      <c r="C1187" s="9" t="s">
        <v>7398</v>
      </c>
      <c r="D1187" s="104"/>
      <c r="E1187" s="104"/>
      <c r="F1187" s="105">
        <f t="shared" si="37"/>
        <v>0</v>
      </c>
      <c r="G1187" s="106">
        <f t="shared" si="36"/>
        <v>0</v>
      </c>
      <c r="H1187" s="81">
        <v>0.83020000000000005</v>
      </c>
      <c r="I1187" s="2619" t="s">
        <v>1146</v>
      </c>
    </row>
    <row r="1188" spans="1:9" ht="16.5">
      <c r="A1188" s="7" t="s">
        <v>2469</v>
      </c>
      <c r="B1188" s="8" t="s">
        <v>7541</v>
      </c>
      <c r="C1188" s="9" t="s">
        <v>7398</v>
      </c>
      <c r="D1188" s="104"/>
      <c r="E1188" s="104"/>
      <c r="F1188" s="105">
        <f t="shared" si="37"/>
        <v>0</v>
      </c>
      <c r="G1188" s="106">
        <f t="shared" si="36"/>
        <v>0</v>
      </c>
      <c r="H1188" s="81">
        <v>1.0509999999999999</v>
      </c>
      <c r="I1188" s="2619" t="s">
        <v>1146</v>
      </c>
    </row>
    <row r="1189" spans="1:9" ht="16.5">
      <c r="A1189" s="7" t="s">
        <v>2470</v>
      </c>
      <c r="B1189" s="8" t="s">
        <v>7542</v>
      </c>
      <c r="C1189" s="9" t="s">
        <v>7398</v>
      </c>
      <c r="D1189" s="104"/>
      <c r="E1189" s="104"/>
      <c r="F1189" s="105">
        <f t="shared" si="37"/>
        <v>0</v>
      </c>
      <c r="G1189" s="106">
        <f t="shared" si="36"/>
        <v>0</v>
      </c>
      <c r="H1189" s="81">
        <v>1.123</v>
      </c>
      <c r="I1189" s="2619" t="s">
        <v>1146</v>
      </c>
    </row>
    <row r="1190" spans="1:9" ht="16.5">
      <c r="A1190" s="7" t="s">
        <v>2471</v>
      </c>
      <c r="B1190" s="8" t="s">
        <v>7543</v>
      </c>
      <c r="C1190" s="9" t="s">
        <v>7398</v>
      </c>
      <c r="D1190" s="104"/>
      <c r="E1190" s="104"/>
      <c r="F1190" s="105">
        <f t="shared" si="37"/>
        <v>0</v>
      </c>
      <c r="G1190" s="106">
        <f t="shared" si="36"/>
        <v>0</v>
      </c>
      <c r="H1190" s="81">
        <v>1.4738</v>
      </c>
      <c r="I1190" s="2619" t="s">
        <v>1146</v>
      </c>
    </row>
    <row r="1191" spans="1:9" ht="16.5">
      <c r="A1191" s="7" t="s">
        <v>2472</v>
      </c>
      <c r="B1191" s="8" t="s">
        <v>7544</v>
      </c>
      <c r="C1191" s="9" t="s">
        <v>7398</v>
      </c>
      <c r="D1191" s="104"/>
      <c r="E1191" s="104"/>
      <c r="F1191" s="105">
        <f t="shared" si="37"/>
        <v>0</v>
      </c>
      <c r="G1191" s="106">
        <f t="shared" si="36"/>
        <v>0</v>
      </c>
      <c r="H1191" s="81">
        <v>1.4742999999999999</v>
      </c>
      <c r="I1191" s="2619" t="s">
        <v>1146</v>
      </c>
    </row>
    <row r="1192" spans="1:9" ht="16.5">
      <c r="A1192" s="7" t="s">
        <v>2473</v>
      </c>
      <c r="B1192" s="8" t="s">
        <v>7545</v>
      </c>
      <c r="C1192" s="9" t="s">
        <v>7398</v>
      </c>
      <c r="D1192" s="104"/>
      <c r="E1192" s="104"/>
      <c r="F1192" s="105">
        <f t="shared" si="37"/>
        <v>0</v>
      </c>
      <c r="G1192" s="106">
        <f t="shared" si="36"/>
        <v>0</v>
      </c>
      <c r="H1192" s="81">
        <v>1.2257</v>
      </c>
      <c r="I1192" s="2619" t="s">
        <v>1146</v>
      </c>
    </row>
    <row r="1193" spans="1:9" ht="16.5">
      <c r="A1193" s="7" t="s">
        <v>2474</v>
      </c>
      <c r="B1193" s="8" t="s">
        <v>7546</v>
      </c>
      <c r="C1193" s="9" t="s">
        <v>7398</v>
      </c>
      <c r="D1193" s="104"/>
      <c r="E1193" s="104"/>
      <c r="F1193" s="105">
        <f t="shared" si="37"/>
        <v>0</v>
      </c>
      <c r="G1193" s="106">
        <f t="shared" si="36"/>
        <v>0</v>
      </c>
      <c r="H1193" s="81">
        <v>1.4157</v>
      </c>
      <c r="I1193" s="2619" t="s">
        <v>1146</v>
      </c>
    </row>
    <row r="1194" spans="1:9" ht="16.5">
      <c r="A1194" s="7" t="s">
        <v>2475</v>
      </c>
      <c r="B1194" s="8" t="s">
        <v>7547</v>
      </c>
      <c r="C1194" s="9" t="s">
        <v>7398</v>
      </c>
      <c r="D1194" s="104"/>
      <c r="E1194" s="104"/>
      <c r="F1194" s="105">
        <f t="shared" si="37"/>
        <v>0</v>
      </c>
      <c r="G1194" s="106">
        <f t="shared" si="36"/>
        <v>0</v>
      </c>
      <c r="H1194" s="81">
        <v>1.4159999999999999</v>
      </c>
      <c r="I1194" s="2619" t="s">
        <v>1146</v>
      </c>
    </row>
    <row r="1195" spans="1:9" ht="16.5">
      <c r="A1195" s="7" t="s">
        <v>2476</v>
      </c>
      <c r="B1195" s="8" t="s">
        <v>7548</v>
      </c>
      <c r="C1195" s="9" t="s">
        <v>7398</v>
      </c>
      <c r="D1195" s="104"/>
      <c r="E1195" s="104"/>
      <c r="F1195" s="105">
        <f t="shared" si="37"/>
        <v>0</v>
      </c>
      <c r="G1195" s="106">
        <f t="shared" si="36"/>
        <v>0</v>
      </c>
      <c r="H1195" s="81">
        <v>1.5093000000000001</v>
      </c>
      <c r="I1195" s="2619" t="s">
        <v>1146</v>
      </c>
    </row>
    <row r="1196" spans="1:9" ht="16.5">
      <c r="A1196" s="7" t="s">
        <v>2379</v>
      </c>
      <c r="B1196" s="8" t="s">
        <v>7549</v>
      </c>
      <c r="C1196" s="9" t="s">
        <v>7401</v>
      </c>
      <c r="D1196" s="104"/>
      <c r="E1196" s="104"/>
      <c r="F1196" s="105">
        <f t="shared" si="37"/>
        <v>0</v>
      </c>
      <c r="G1196" s="106">
        <f t="shared" si="36"/>
        <v>0</v>
      </c>
      <c r="H1196" s="81">
        <v>1.0831</v>
      </c>
      <c r="I1196" s="2619" t="s">
        <v>1146</v>
      </c>
    </row>
    <row r="1197" spans="1:9" ht="16.5">
      <c r="A1197" s="7" t="s">
        <v>2477</v>
      </c>
      <c r="B1197" s="8" t="s">
        <v>7550</v>
      </c>
      <c r="C1197" s="9" t="s">
        <v>7398</v>
      </c>
      <c r="D1197" s="104"/>
      <c r="E1197" s="104"/>
      <c r="F1197" s="105">
        <f t="shared" ref="F1197:F1217" si="38">D1197*E1197</f>
        <v>0</v>
      </c>
      <c r="G1197" s="106">
        <f t="shared" si="36"/>
        <v>0</v>
      </c>
      <c r="H1197" s="81">
        <v>1.5846</v>
      </c>
      <c r="I1197" s="2619" t="s">
        <v>1146</v>
      </c>
    </row>
    <row r="1198" spans="1:9" ht="16.5">
      <c r="A1198" s="7" t="s">
        <v>2478</v>
      </c>
      <c r="B1198" s="8" t="s">
        <v>7551</v>
      </c>
      <c r="C1198" s="9" t="s">
        <v>7398</v>
      </c>
      <c r="D1198" s="104"/>
      <c r="E1198" s="104"/>
      <c r="F1198" s="105">
        <f t="shared" si="38"/>
        <v>0</v>
      </c>
      <c r="G1198" s="106">
        <f t="shared" si="36"/>
        <v>0</v>
      </c>
      <c r="H1198" s="81">
        <v>1.5130999999999999</v>
      </c>
      <c r="I1198" s="2619" t="s">
        <v>1146</v>
      </c>
    </row>
    <row r="1199" spans="1:9" ht="16.5">
      <c r="A1199" s="7" t="s">
        <v>2479</v>
      </c>
      <c r="B1199" s="8" t="s">
        <v>7552</v>
      </c>
      <c r="C1199" s="9" t="s">
        <v>7398</v>
      </c>
      <c r="D1199" s="104"/>
      <c r="E1199" s="104"/>
      <c r="F1199" s="105">
        <f t="shared" si="38"/>
        <v>0</v>
      </c>
      <c r="G1199" s="106">
        <f t="shared" si="36"/>
        <v>0</v>
      </c>
      <c r="H1199" s="81">
        <v>1.5117</v>
      </c>
      <c r="I1199" s="2619" t="s">
        <v>1146</v>
      </c>
    </row>
    <row r="1200" spans="1:9" ht="16.5">
      <c r="A1200" s="7" t="s">
        <v>2480</v>
      </c>
      <c r="B1200" s="8" t="s">
        <v>7553</v>
      </c>
      <c r="C1200" s="9" t="s">
        <v>7398</v>
      </c>
      <c r="D1200" s="104"/>
      <c r="E1200" s="104"/>
      <c r="F1200" s="105">
        <f t="shared" si="38"/>
        <v>0</v>
      </c>
      <c r="G1200" s="106">
        <f t="shared" si="36"/>
        <v>0</v>
      </c>
      <c r="H1200" s="81">
        <v>1.5471999999999999</v>
      </c>
      <c r="I1200" s="2619" t="s">
        <v>1146</v>
      </c>
    </row>
    <row r="1201" spans="1:9" ht="16.5">
      <c r="A1201" s="7" t="s">
        <v>2481</v>
      </c>
      <c r="B1201" s="8" t="s">
        <v>7554</v>
      </c>
      <c r="C1201" s="9" t="s">
        <v>7398</v>
      </c>
      <c r="D1201" s="104"/>
      <c r="E1201" s="104"/>
      <c r="F1201" s="105">
        <f t="shared" si="38"/>
        <v>0</v>
      </c>
      <c r="G1201" s="106">
        <f t="shared" si="36"/>
        <v>0</v>
      </c>
      <c r="H1201" s="81">
        <v>1.5539000000000001</v>
      </c>
      <c r="I1201" s="2619" t="s">
        <v>1146</v>
      </c>
    </row>
    <row r="1202" spans="1:9" ht="16.5">
      <c r="A1202" s="7" t="s">
        <v>2380</v>
      </c>
      <c r="B1202" s="8" t="s">
        <v>7555</v>
      </c>
      <c r="C1202" s="9" t="s">
        <v>7401</v>
      </c>
      <c r="D1202" s="104"/>
      <c r="E1202" s="104"/>
      <c r="F1202" s="105">
        <f t="shared" si="38"/>
        <v>0</v>
      </c>
      <c r="G1202" s="106">
        <f t="shared" si="36"/>
        <v>0</v>
      </c>
      <c r="H1202" s="81">
        <v>1.0972999999999999</v>
      </c>
      <c r="I1202" s="2619" t="s">
        <v>1146</v>
      </c>
    </row>
    <row r="1203" spans="1:9" ht="16.5">
      <c r="A1203" s="7" t="s">
        <v>2482</v>
      </c>
      <c r="B1203" s="8" t="s">
        <v>7556</v>
      </c>
      <c r="C1203" s="9" t="s">
        <v>7398</v>
      </c>
      <c r="D1203" s="104"/>
      <c r="E1203" s="104"/>
      <c r="F1203" s="105">
        <f t="shared" si="38"/>
        <v>0</v>
      </c>
      <c r="G1203" s="106">
        <f t="shared" si="36"/>
        <v>0</v>
      </c>
      <c r="H1203" s="81">
        <v>1.5179</v>
      </c>
      <c r="I1203" s="2619" t="s">
        <v>1146</v>
      </c>
    </row>
    <row r="1204" spans="1:9" ht="16.5">
      <c r="A1204" s="7" t="s">
        <v>2483</v>
      </c>
      <c r="B1204" s="8" t="s">
        <v>7557</v>
      </c>
      <c r="C1204" s="9" t="s">
        <v>7398</v>
      </c>
      <c r="D1204" s="104"/>
      <c r="E1204" s="104"/>
      <c r="F1204" s="105">
        <f t="shared" si="38"/>
        <v>0</v>
      </c>
      <c r="G1204" s="106">
        <f t="shared" si="36"/>
        <v>0</v>
      </c>
      <c r="H1204" s="81">
        <v>1.5692999999999999</v>
      </c>
      <c r="I1204" s="2619" t="s">
        <v>1146</v>
      </c>
    </row>
    <row r="1205" spans="1:9" ht="16.5">
      <c r="A1205" s="7" t="s">
        <v>2484</v>
      </c>
      <c r="B1205" s="8" t="s">
        <v>7558</v>
      </c>
      <c r="C1205" s="9" t="s">
        <v>7398</v>
      </c>
      <c r="D1205" s="104"/>
      <c r="E1205" s="104"/>
      <c r="F1205" s="105">
        <f t="shared" si="38"/>
        <v>0</v>
      </c>
      <c r="G1205" s="106">
        <f t="shared" si="36"/>
        <v>0</v>
      </c>
      <c r="H1205" s="81">
        <v>0.83950000000000002</v>
      </c>
      <c r="I1205" s="2619" t="s">
        <v>1146</v>
      </c>
    </row>
    <row r="1206" spans="1:9" ht="16.5">
      <c r="A1206" s="7" t="s">
        <v>2485</v>
      </c>
      <c r="B1206" s="8" t="s">
        <v>7559</v>
      </c>
      <c r="C1206" s="9" t="s">
        <v>7398</v>
      </c>
      <c r="D1206" s="104"/>
      <c r="E1206" s="104"/>
      <c r="F1206" s="105">
        <f t="shared" si="38"/>
        <v>0</v>
      </c>
      <c r="G1206" s="106">
        <f t="shared" si="36"/>
        <v>0</v>
      </c>
      <c r="H1206" s="81">
        <v>1.2713000000000001</v>
      </c>
      <c r="I1206" s="2619" t="s">
        <v>1146</v>
      </c>
    </row>
    <row r="1207" spans="1:9" ht="16.5">
      <c r="A1207" s="7" t="s">
        <v>2486</v>
      </c>
      <c r="B1207" s="8" t="s">
        <v>7560</v>
      </c>
      <c r="C1207" s="9" t="s">
        <v>7398</v>
      </c>
      <c r="D1207" s="104"/>
      <c r="E1207" s="104"/>
      <c r="F1207" s="105">
        <f t="shared" si="38"/>
        <v>0</v>
      </c>
      <c r="G1207" s="106">
        <f t="shared" si="36"/>
        <v>0</v>
      </c>
      <c r="H1207" s="81">
        <v>0.97030000000000005</v>
      </c>
      <c r="I1207" s="2619" t="s">
        <v>1146</v>
      </c>
    </row>
    <row r="1208" spans="1:9" ht="16.5">
      <c r="A1208" s="7" t="s">
        <v>2381</v>
      </c>
      <c r="B1208" s="8" t="s">
        <v>7561</v>
      </c>
      <c r="C1208" s="9" t="s">
        <v>7401</v>
      </c>
      <c r="D1208" s="104"/>
      <c r="E1208" s="104"/>
      <c r="F1208" s="105">
        <f t="shared" si="38"/>
        <v>0</v>
      </c>
      <c r="G1208" s="106">
        <f t="shared" si="36"/>
        <v>0</v>
      </c>
      <c r="H1208" s="81">
        <v>0.85660000000000003</v>
      </c>
      <c r="I1208" s="2619" t="s">
        <v>1146</v>
      </c>
    </row>
    <row r="1209" spans="1:9" ht="33">
      <c r="A1209" s="7" t="s">
        <v>5769</v>
      </c>
      <c r="B1209" s="8" t="s">
        <v>7562</v>
      </c>
      <c r="C1209" s="9" t="s">
        <v>7401</v>
      </c>
      <c r="D1209" s="104"/>
      <c r="E1209" s="104"/>
      <c r="F1209" s="105">
        <f t="shared" si="38"/>
        <v>0</v>
      </c>
      <c r="G1209" s="106">
        <f t="shared" si="36"/>
        <v>0</v>
      </c>
      <c r="H1209" s="81">
        <v>1.145239090909091</v>
      </c>
      <c r="I1209" s="2619" t="s">
        <v>6404</v>
      </c>
    </row>
    <row r="1210" spans="1:9" ht="33">
      <c r="A1210" s="7" t="s">
        <v>5770</v>
      </c>
      <c r="B1210" s="8" t="s">
        <v>7562</v>
      </c>
      <c r="C1210" s="9" t="s">
        <v>7401</v>
      </c>
      <c r="D1210" s="104"/>
      <c r="E1210" s="104"/>
      <c r="F1210" s="105">
        <f t="shared" si="38"/>
        <v>0</v>
      </c>
      <c r="G1210" s="106">
        <f t="shared" si="36"/>
        <v>0</v>
      </c>
      <c r="H1210" s="81">
        <v>1.145239090909091</v>
      </c>
      <c r="I1210" s="2619" t="s">
        <v>6404</v>
      </c>
    </row>
    <row r="1211" spans="1:9" ht="33">
      <c r="A1211" s="7" t="s">
        <v>5771</v>
      </c>
      <c r="B1211" s="8" t="s">
        <v>7562</v>
      </c>
      <c r="C1211" s="9" t="s">
        <v>7401</v>
      </c>
      <c r="D1211" s="104"/>
      <c r="E1211" s="104"/>
      <c r="F1211" s="105">
        <f t="shared" si="38"/>
        <v>0</v>
      </c>
      <c r="G1211" s="106">
        <f t="shared" si="36"/>
        <v>0</v>
      </c>
      <c r="H1211" s="81">
        <v>1.145239090909091</v>
      </c>
      <c r="I1211" s="2619" t="s">
        <v>6404</v>
      </c>
    </row>
    <row r="1212" spans="1:9" ht="33">
      <c r="A1212" s="7" t="s">
        <v>5772</v>
      </c>
      <c r="B1212" s="8" t="s">
        <v>7562</v>
      </c>
      <c r="C1212" s="9" t="s">
        <v>7401</v>
      </c>
      <c r="D1212" s="104"/>
      <c r="E1212" s="104"/>
      <c r="F1212" s="105">
        <f t="shared" si="38"/>
        <v>0</v>
      </c>
      <c r="G1212" s="106">
        <f t="shared" si="36"/>
        <v>0</v>
      </c>
      <c r="H1212" s="81">
        <v>1.145239090909091</v>
      </c>
      <c r="I1212" s="2619" t="s">
        <v>6404</v>
      </c>
    </row>
    <row r="1213" spans="1:9" ht="16.5">
      <c r="A1213" s="7" t="s">
        <v>2487</v>
      </c>
      <c r="B1213" s="8" t="s">
        <v>7563</v>
      </c>
      <c r="C1213" s="9" t="s">
        <v>7398</v>
      </c>
      <c r="D1213" s="104"/>
      <c r="E1213" s="104"/>
      <c r="F1213" s="105">
        <f t="shared" si="38"/>
        <v>0</v>
      </c>
      <c r="G1213" s="106">
        <f t="shared" si="36"/>
        <v>0</v>
      </c>
      <c r="H1213" s="81">
        <v>1.4044000000000001</v>
      </c>
      <c r="I1213" s="2619" t="s">
        <v>1146</v>
      </c>
    </row>
    <row r="1214" spans="1:9" ht="16.5">
      <c r="A1214" s="7" t="s">
        <v>2488</v>
      </c>
      <c r="B1214" s="8" t="s">
        <v>7564</v>
      </c>
      <c r="C1214" s="9" t="s">
        <v>7398</v>
      </c>
      <c r="D1214" s="104"/>
      <c r="E1214" s="104"/>
      <c r="F1214" s="105">
        <f t="shared" si="38"/>
        <v>0</v>
      </c>
      <c r="G1214" s="106">
        <f t="shared" si="36"/>
        <v>0</v>
      </c>
      <c r="H1214" s="81">
        <v>1.4031</v>
      </c>
      <c r="I1214" s="2619" t="s">
        <v>1146</v>
      </c>
    </row>
    <row r="1215" spans="1:9" ht="16.5">
      <c r="A1215" s="7" t="s">
        <v>2489</v>
      </c>
      <c r="B1215" s="8" t="s">
        <v>7565</v>
      </c>
      <c r="C1215" s="9" t="s">
        <v>7398</v>
      </c>
      <c r="D1215" s="104"/>
      <c r="E1215" s="104"/>
      <c r="F1215" s="105">
        <f t="shared" si="38"/>
        <v>0</v>
      </c>
      <c r="G1215" s="106">
        <f t="shared" si="36"/>
        <v>0</v>
      </c>
      <c r="H1215" s="81">
        <v>1.4121999999999999</v>
      </c>
      <c r="I1215" s="2619" t="s">
        <v>1146</v>
      </c>
    </row>
    <row r="1216" spans="1:9" ht="16.5">
      <c r="A1216" s="7" t="s">
        <v>2490</v>
      </c>
      <c r="B1216" s="8" t="s">
        <v>7566</v>
      </c>
      <c r="C1216" s="9" t="s">
        <v>7398</v>
      </c>
      <c r="D1216" s="104"/>
      <c r="E1216" s="104"/>
      <c r="F1216" s="105">
        <f t="shared" si="38"/>
        <v>0</v>
      </c>
      <c r="G1216" s="106">
        <f t="shared" si="36"/>
        <v>0</v>
      </c>
      <c r="H1216" s="81">
        <v>1.3868</v>
      </c>
      <c r="I1216" s="2619" t="s">
        <v>1146</v>
      </c>
    </row>
    <row r="1217" spans="1:9" ht="16.5">
      <c r="A1217" s="7" t="s">
        <v>2491</v>
      </c>
      <c r="B1217" s="8" t="s">
        <v>7567</v>
      </c>
      <c r="C1217" s="9" t="s">
        <v>7398</v>
      </c>
      <c r="D1217" s="104"/>
      <c r="E1217" s="104"/>
      <c r="F1217" s="105">
        <f t="shared" si="38"/>
        <v>0</v>
      </c>
      <c r="G1217" s="106">
        <f t="shared" si="36"/>
        <v>0</v>
      </c>
      <c r="H1217" s="81">
        <v>1.3544</v>
      </c>
      <c r="I1217" s="2619" t="s">
        <v>1146</v>
      </c>
    </row>
    <row r="1218" spans="1:9" ht="16.5">
      <c r="A1218" s="7" t="s">
        <v>2492</v>
      </c>
      <c r="B1218" s="8" t="s">
        <v>7568</v>
      </c>
      <c r="C1218" s="9" t="s">
        <v>7398</v>
      </c>
      <c r="D1218" s="104"/>
      <c r="E1218" s="104"/>
      <c r="F1218" s="105">
        <f t="shared" ref="F1218:F1259" si="39">D1218*E1218</f>
        <v>0</v>
      </c>
      <c r="G1218" s="106">
        <f t="shared" si="36"/>
        <v>0</v>
      </c>
      <c r="H1218" s="81">
        <v>1.3544</v>
      </c>
      <c r="I1218" s="2619" t="s">
        <v>1146</v>
      </c>
    </row>
    <row r="1219" spans="1:9" ht="16.5">
      <c r="A1219" s="7" t="s">
        <v>2607</v>
      </c>
      <c r="B1219" s="8" t="s">
        <v>7569</v>
      </c>
      <c r="C1219" s="9" t="s">
        <v>7398</v>
      </c>
      <c r="D1219" s="104"/>
      <c r="E1219" s="104"/>
      <c r="F1219" s="105">
        <f t="shared" si="39"/>
        <v>0</v>
      </c>
      <c r="G1219" s="106">
        <f t="shared" si="36"/>
        <v>0</v>
      </c>
      <c r="H1219" s="81">
        <v>1.5398000000000001</v>
      </c>
      <c r="I1219" s="2619" t="s">
        <v>1146</v>
      </c>
    </row>
    <row r="1220" spans="1:9" ht="16.5">
      <c r="A1220" s="7" t="s">
        <v>2493</v>
      </c>
      <c r="B1220" s="8" t="s">
        <v>7570</v>
      </c>
      <c r="C1220" s="9" t="s">
        <v>7398</v>
      </c>
      <c r="D1220" s="104"/>
      <c r="E1220" s="104"/>
      <c r="F1220" s="105">
        <f t="shared" si="39"/>
        <v>0</v>
      </c>
      <c r="G1220" s="106">
        <f t="shared" ref="G1220:G1253" si="40">IF($F$1265=0,0,F1220/$F$1265)</f>
        <v>0</v>
      </c>
      <c r="H1220" s="81">
        <v>1.3351999999999999</v>
      </c>
      <c r="I1220" s="2619" t="s">
        <v>1146</v>
      </c>
    </row>
    <row r="1221" spans="1:9" ht="16.5">
      <c r="A1221" s="7" t="s">
        <v>2494</v>
      </c>
      <c r="B1221" s="8" t="s">
        <v>7571</v>
      </c>
      <c r="C1221" s="9" t="s">
        <v>7398</v>
      </c>
      <c r="D1221" s="104"/>
      <c r="E1221" s="104"/>
      <c r="F1221" s="105">
        <f t="shared" si="39"/>
        <v>0</v>
      </c>
      <c r="G1221" s="106">
        <f t="shared" si="40"/>
        <v>0</v>
      </c>
      <c r="H1221" s="81">
        <v>1.3573999999999999</v>
      </c>
      <c r="I1221" s="2619" t="s">
        <v>1146</v>
      </c>
    </row>
    <row r="1222" spans="1:9" ht="16.5">
      <c r="A1222" s="7" t="s">
        <v>2495</v>
      </c>
      <c r="B1222" s="8" t="s">
        <v>7572</v>
      </c>
      <c r="C1222" s="9" t="s">
        <v>7398</v>
      </c>
      <c r="D1222" s="104"/>
      <c r="E1222" s="104"/>
      <c r="F1222" s="105">
        <f t="shared" si="39"/>
        <v>0</v>
      </c>
      <c r="G1222" s="106">
        <f t="shared" si="40"/>
        <v>0</v>
      </c>
      <c r="H1222" s="81">
        <v>1.3913</v>
      </c>
      <c r="I1222" s="2619" t="s">
        <v>1146</v>
      </c>
    </row>
    <row r="1223" spans="1:9" ht="16.5">
      <c r="A1223" s="7" t="s">
        <v>3415</v>
      </c>
      <c r="B1223" s="8" t="s">
        <v>7573</v>
      </c>
      <c r="C1223" s="9" t="s">
        <v>7398</v>
      </c>
      <c r="D1223" s="104"/>
      <c r="E1223" s="104"/>
      <c r="F1223" s="105">
        <f t="shared" si="39"/>
        <v>0</v>
      </c>
      <c r="G1223" s="106">
        <f t="shared" si="40"/>
        <v>0</v>
      </c>
      <c r="H1223" s="81">
        <v>1.3636999999999999</v>
      </c>
      <c r="I1223" s="2619" t="s">
        <v>1146</v>
      </c>
    </row>
    <row r="1224" spans="1:9" ht="16.5">
      <c r="A1224" s="7" t="s">
        <v>2608</v>
      </c>
      <c r="B1224" s="8" t="s">
        <v>7574</v>
      </c>
      <c r="C1224" s="9" t="s">
        <v>7398</v>
      </c>
      <c r="D1224" s="104"/>
      <c r="E1224" s="104"/>
      <c r="F1224" s="105">
        <f t="shared" si="39"/>
        <v>0</v>
      </c>
      <c r="G1224" s="106">
        <f t="shared" si="40"/>
        <v>0</v>
      </c>
      <c r="H1224" s="81">
        <v>1.4521999999999999</v>
      </c>
      <c r="I1224" s="2619" t="s">
        <v>1146</v>
      </c>
    </row>
    <row r="1225" spans="1:9" ht="16.5">
      <c r="A1225" s="7" t="s">
        <v>2496</v>
      </c>
      <c r="B1225" s="8" t="s">
        <v>7575</v>
      </c>
      <c r="C1225" s="9" t="s">
        <v>7398</v>
      </c>
      <c r="D1225" s="104"/>
      <c r="E1225" s="104"/>
      <c r="F1225" s="105">
        <f t="shared" si="39"/>
        <v>0</v>
      </c>
      <c r="G1225" s="106">
        <f t="shared" si="40"/>
        <v>0</v>
      </c>
      <c r="H1225" s="81">
        <v>1.3652</v>
      </c>
      <c r="I1225" s="2619" t="s">
        <v>1146</v>
      </c>
    </row>
    <row r="1226" spans="1:9" ht="16.5">
      <c r="A1226" s="7" t="s">
        <v>3379</v>
      </c>
      <c r="B1226" s="8" t="s">
        <v>7576</v>
      </c>
      <c r="C1226" s="9" t="s">
        <v>7398</v>
      </c>
      <c r="D1226" s="104"/>
      <c r="E1226" s="104"/>
      <c r="F1226" s="105">
        <f t="shared" si="39"/>
        <v>0</v>
      </c>
      <c r="G1226" s="106">
        <f t="shared" si="40"/>
        <v>0</v>
      </c>
      <c r="H1226" s="81">
        <v>1.0754999999999999</v>
      </c>
      <c r="I1226" s="2619" t="s">
        <v>1146</v>
      </c>
    </row>
    <row r="1227" spans="1:9" ht="16.5">
      <c r="A1227" s="7" t="s">
        <v>3416</v>
      </c>
      <c r="B1227" s="8" t="s">
        <v>7577</v>
      </c>
      <c r="C1227" s="9" t="s">
        <v>7398</v>
      </c>
      <c r="D1227" s="104"/>
      <c r="E1227" s="104"/>
      <c r="F1227" s="105">
        <f t="shared" si="39"/>
        <v>0</v>
      </c>
      <c r="G1227" s="106">
        <f t="shared" si="40"/>
        <v>0</v>
      </c>
      <c r="H1227" s="81">
        <v>1.0774999999999999</v>
      </c>
      <c r="I1227" s="2619" t="s">
        <v>1146</v>
      </c>
    </row>
    <row r="1228" spans="1:9" ht="16.5">
      <c r="A1228" s="7" t="s">
        <v>2497</v>
      </c>
      <c r="B1228" s="8" t="s">
        <v>7578</v>
      </c>
      <c r="C1228" s="9" t="s">
        <v>7398</v>
      </c>
      <c r="D1228" s="104"/>
      <c r="E1228" s="104"/>
      <c r="F1228" s="105">
        <f t="shared" si="39"/>
        <v>0</v>
      </c>
      <c r="G1228" s="106">
        <f t="shared" si="40"/>
        <v>0</v>
      </c>
      <c r="H1228" s="81">
        <v>1.3194999999999999</v>
      </c>
      <c r="I1228" s="2619" t="s">
        <v>1146</v>
      </c>
    </row>
    <row r="1229" spans="1:9" ht="16.5">
      <c r="A1229" s="7" t="s">
        <v>2498</v>
      </c>
      <c r="B1229" s="8" t="s">
        <v>7579</v>
      </c>
      <c r="C1229" s="9" t="s">
        <v>7398</v>
      </c>
      <c r="D1229" s="104"/>
      <c r="E1229" s="104"/>
      <c r="F1229" s="105">
        <f t="shared" si="39"/>
        <v>0</v>
      </c>
      <c r="G1229" s="106">
        <f t="shared" si="40"/>
        <v>0</v>
      </c>
      <c r="H1229" s="81">
        <v>1.2058</v>
      </c>
      <c r="I1229" s="2619" t="s">
        <v>1146</v>
      </c>
    </row>
    <row r="1230" spans="1:9" ht="16.5">
      <c r="A1230" s="7" t="s">
        <v>2499</v>
      </c>
      <c r="B1230" s="8" t="s">
        <v>7580</v>
      </c>
      <c r="C1230" s="9" t="s">
        <v>7398</v>
      </c>
      <c r="D1230" s="104"/>
      <c r="E1230" s="104"/>
      <c r="F1230" s="105">
        <f t="shared" si="39"/>
        <v>0</v>
      </c>
      <c r="G1230" s="106">
        <f t="shared" si="40"/>
        <v>0</v>
      </c>
      <c r="H1230" s="81">
        <v>1.0629999999999999</v>
      </c>
      <c r="I1230" s="2619" t="s">
        <v>1146</v>
      </c>
    </row>
    <row r="1231" spans="1:9" ht="16.5">
      <c r="A1231" s="7" t="s">
        <v>2500</v>
      </c>
      <c r="B1231" s="8" t="s">
        <v>7581</v>
      </c>
      <c r="C1231" s="9" t="s">
        <v>7398</v>
      </c>
      <c r="D1231" s="104"/>
      <c r="E1231" s="104"/>
      <c r="F1231" s="105">
        <f t="shared" si="39"/>
        <v>0</v>
      </c>
      <c r="G1231" s="106">
        <f t="shared" si="40"/>
        <v>0</v>
      </c>
      <c r="H1231" s="81">
        <v>1.0091000000000001</v>
      </c>
      <c r="I1231" s="2619" t="s">
        <v>1146</v>
      </c>
    </row>
    <row r="1232" spans="1:9" ht="16.5">
      <c r="A1232" s="7" t="s">
        <v>2501</v>
      </c>
      <c r="B1232" s="8" t="s">
        <v>7582</v>
      </c>
      <c r="C1232" s="9" t="s">
        <v>7398</v>
      </c>
      <c r="D1232" s="104"/>
      <c r="E1232" s="104"/>
      <c r="F1232" s="105">
        <f t="shared" si="39"/>
        <v>0</v>
      </c>
      <c r="G1232" s="106">
        <f t="shared" si="40"/>
        <v>0</v>
      </c>
      <c r="H1232" s="81">
        <v>1.0962000000000001</v>
      </c>
      <c r="I1232" s="2619" t="s">
        <v>1146</v>
      </c>
    </row>
    <row r="1233" spans="1:9" ht="16.5">
      <c r="A1233" s="7" t="s">
        <v>5773</v>
      </c>
      <c r="B1233" s="8" t="s">
        <v>7583</v>
      </c>
      <c r="C1233" s="9" t="s">
        <v>7398</v>
      </c>
      <c r="D1233" s="104"/>
      <c r="E1233" s="104"/>
      <c r="F1233" s="105">
        <f t="shared" si="39"/>
        <v>0</v>
      </c>
      <c r="G1233" s="106">
        <f t="shared" si="40"/>
        <v>0</v>
      </c>
      <c r="H1233" s="81">
        <v>0</v>
      </c>
      <c r="I1233" s="2619" t="s">
        <v>1146</v>
      </c>
    </row>
    <row r="1234" spans="1:9" ht="16.5">
      <c r="A1234" s="7" t="s">
        <v>2502</v>
      </c>
      <c r="B1234" s="8" t="s">
        <v>7584</v>
      </c>
      <c r="C1234" s="9" t="s">
        <v>7398</v>
      </c>
      <c r="D1234" s="104"/>
      <c r="E1234" s="104"/>
      <c r="F1234" s="105">
        <f t="shared" si="39"/>
        <v>0</v>
      </c>
      <c r="G1234" s="106">
        <f t="shared" si="40"/>
        <v>0</v>
      </c>
      <c r="H1234" s="81">
        <v>1.0935999999999999</v>
      </c>
      <c r="I1234" s="2619" t="s">
        <v>1146</v>
      </c>
    </row>
    <row r="1235" spans="1:9" ht="16.5">
      <c r="A1235" s="7" t="s">
        <v>2503</v>
      </c>
      <c r="B1235" s="8" t="s">
        <v>7585</v>
      </c>
      <c r="C1235" s="9" t="s">
        <v>7398</v>
      </c>
      <c r="D1235" s="104"/>
      <c r="E1235" s="104"/>
      <c r="F1235" s="105">
        <f t="shared" si="39"/>
        <v>0</v>
      </c>
      <c r="G1235" s="106">
        <f t="shared" si="40"/>
        <v>0</v>
      </c>
      <c r="H1235" s="81">
        <v>1.3571</v>
      </c>
      <c r="I1235" s="2619" t="s">
        <v>1146</v>
      </c>
    </row>
    <row r="1236" spans="1:9" ht="16.5">
      <c r="A1236" s="7" t="s">
        <v>2504</v>
      </c>
      <c r="B1236" s="8" t="s">
        <v>7586</v>
      </c>
      <c r="C1236" s="9" t="s">
        <v>7398</v>
      </c>
      <c r="D1236" s="104"/>
      <c r="E1236" s="104"/>
      <c r="F1236" s="105">
        <f t="shared" si="39"/>
        <v>0</v>
      </c>
      <c r="G1236" s="106">
        <f t="shared" si="40"/>
        <v>0</v>
      </c>
      <c r="H1236" s="81">
        <v>1.3722000000000001</v>
      </c>
      <c r="I1236" s="2619" t="s">
        <v>1146</v>
      </c>
    </row>
    <row r="1237" spans="1:9" ht="16.5">
      <c r="A1237" s="7" t="s">
        <v>2505</v>
      </c>
      <c r="B1237" s="8" t="s">
        <v>7587</v>
      </c>
      <c r="C1237" s="9" t="s">
        <v>7398</v>
      </c>
      <c r="D1237" s="104"/>
      <c r="E1237" s="104"/>
      <c r="F1237" s="105">
        <f t="shared" si="39"/>
        <v>0</v>
      </c>
      <c r="G1237" s="106">
        <f t="shared" si="40"/>
        <v>0</v>
      </c>
      <c r="H1237" s="81">
        <v>1.0321</v>
      </c>
      <c r="I1237" s="2619" t="s">
        <v>1146</v>
      </c>
    </row>
    <row r="1238" spans="1:9" ht="16.5">
      <c r="A1238" s="7" t="s">
        <v>2506</v>
      </c>
      <c r="B1238" s="8" t="s">
        <v>7588</v>
      </c>
      <c r="C1238" s="9" t="s">
        <v>7398</v>
      </c>
      <c r="D1238" s="104"/>
      <c r="E1238" s="104"/>
      <c r="F1238" s="105">
        <f t="shared" si="39"/>
        <v>0</v>
      </c>
      <c r="G1238" s="106">
        <f t="shared" si="40"/>
        <v>0</v>
      </c>
      <c r="H1238" s="81">
        <v>1.2414000000000001</v>
      </c>
      <c r="I1238" s="2619" t="s">
        <v>1146</v>
      </c>
    </row>
    <row r="1239" spans="1:9" ht="16.5">
      <c r="A1239" s="7" t="s">
        <v>3417</v>
      </c>
      <c r="B1239" s="8" t="s">
        <v>7589</v>
      </c>
      <c r="C1239" s="9" t="s">
        <v>7401</v>
      </c>
      <c r="D1239" s="104"/>
      <c r="E1239" s="104"/>
      <c r="F1239" s="105">
        <f t="shared" si="39"/>
        <v>0</v>
      </c>
      <c r="G1239" s="106">
        <f t="shared" si="40"/>
        <v>0</v>
      </c>
      <c r="H1239" s="81">
        <v>0.86009999999999998</v>
      </c>
      <c r="I1239" s="2619" t="s">
        <v>1146</v>
      </c>
    </row>
    <row r="1240" spans="1:9" ht="16.5">
      <c r="A1240" s="7" t="s">
        <v>3418</v>
      </c>
      <c r="B1240" s="8" t="s">
        <v>7590</v>
      </c>
      <c r="C1240" s="9" t="s">
        <v>7401</v>
      </c>
      <c r="D1240" s="104"/>
      <c r="E1240" s="104"/>
      <c r="F1240" s="105">
        <f t="shared" si="39"/>
        <v>0</v>
      </c>
      <c r="G1240" s="106">
        <f t="shared" si="40"/>
        <v>0</v>
      </c>
      <c r="H1240" s="81">
        <v>0.86</v>
      </c>
      <c r="I1240" s="2619" t="s">
        <v>1146</v>
      </c>
    </row>
    <row r="1241" spans="1:9" ht="16.5">
      <c r="A1241" s="7" t="s">
        <v>3419</v>
      </c>
      <c r="B1241" s="8" t="s">
        <v>7591</v>
      </c>
      <c r="C1241" s="9" t="s">
        <v>7401</v>
      </c>
      <c r="D1241" s="104"/>
      <c r="E1241" s="104"/>
      <c r="F1241" s="105">
        <f t="shared" si="39"/>
        <v>0</v>
      </c>
      <c r="G1241" s="106">
        <f t="shared" si="40"/>
        <v>0</v>
      </c>
      <c r="H1241" s="81">
        <v>0.86009999999999998</v>
      </c>
      <c r="I1241" s="2619" t="s">
        <v>1146</v>
      </c>
    </row>
    <row r="1242" spans="1:9" ht="16.5">
      <c r="A1242" s="7" t="s">
        <v>2382</v>
      </c>
      <c r="B1242" s="8" t="s">
        <v>7592</v>
      </c>
      <c r="C1242" s="9" t="s">
        <v>7401</v>
      </c>
      <c r="D1242" s="104"/>
      <c r="E1242" s="104"/>
      <c r="F1242" s="105">
        <f t="shared" si="39"/>
        <v>0</v>
      </c>
      <c r="G1242" s="106">
        <f t="shared" si="40"/>
        <v>0</v>
      </c>
      <c r="H1242" s="81">
        <v>0.86</v>
      </c>
      <c r="I1242" s="2619" t="s">
        <v>1146</v>
      </c>
    </row>
    <row r="1243" spans="1:9" ht="16.5">
      <c r="A1243" s="7" t="s">
        <v>2507</v>
      </c>
      <c r="B1243" s="8" t="s">
        <v>7593</v>
      </c>
      <c r="C1243" s="9" t="s">
        <v>7398</v>
      </c>
      <c r="D1243" s="104"/>
      <c r="E1243" s="104"/>
      <c r="F1243" s="105">
        <f t="shared" si="39"/>
        <v>0</v>
      </c>
      <c r="G1243" s="106">
        <f t="shared" si="40"/>
        <v>0</v>
      </c>
      <c r="H1243" s="81">
        <v>1.3</v>
      </c>
      <c r="I1243" s="2619" t="s">
        <v>1146</v>
      </c>
    </row>
    <row r="1244" spans="1:9" ht="16.5">
      <c r="A1244" s="7" t="s">
        <v>2508</v>
      </c>
      <c r="B1244" s="8" t="s">
        <v>7594</v>
      </c>
      <c r="C1244" s="9" t="s">
        <v>7398</v>
      </c>
      <c r="D1244" s="104"/>
      <c r="E1244" s="104"/>
      <c r="F1244" s="105">
        <f t="shared" si="39"/>
        <v>0</v>
      </c>
      <c r="G1244" s="106">
        <f t="shared" si="40"/>
        <v>0</v>
      </c>
      <c r="H1244" s="81">
        <v>1.1811</v>
      </c>
      <c r="I1244" s="2619" t="s">
        <v>1146</v>
      </c>
    </row>
    <row r="1245" spans="1:9" ht="16.5">
      <c r="A1245" s="7" t="s">
        <v>2509</v>
      </c>
      <c r="B1245" s="8" t="s">
        <v>7595</v>
      </c>
      <c r="C1245" s="9" t="s">
        <v>7398</v>
      </c>
      <c r="D1245" s="104"/>
      <c r="E1245" s="104"/>
      <c r="F1245" s="105">
        <f t="shared" si="39"/>
        <v>0</v>
      </c>
      <c r="G1245" s="106">
        <f t="shared" si="40"/>
        <v>0</v>
      </c>
      <c r="H1245" s="81">
        <v>1.3028</v>
      </c>
      <c r="I1245" s="2619" t="s">
        <v>1146</v>
      </c>
    </row>
    <row r="1246" spans="1:9" ht="16.5">
      <c r="A1246" s="7" t="s">
        <v>2609</v>
      </c>
      <c r="B1246" s="8" t="s">
        <v>7596</v>
      </c>
      <c r="C1246" s="9" t="s">
        <v>7398</v>
      </c>
      <c r="D1246" s="104"/>
      <c r="E1246" s="104"/>
      <c r="F1246" s="105">
        <f t="shared" si="39"/>
        <v>0</v>
      </c>
      <c r="G1246" s="106">
        <f t="shared" si="40"/>
        <v>0</v>
      </c>
      <c r="H1246" s="81">
        <v>1.2790999999999999</v>
      </c>
      <c r="I1246" s="2619" t="s">
        <v>1146</v>
      </c>
    </row>
    <row r="1247" spans="1:9" ht="16.5">
      <c r="A1247" s="7" t="s">
        <v>2510</v>
      </c>
      <c r="B1247" s="8" t="s">
        <v>7597</v>
      </c>
      <c r="C1247" s="9" t="s">
        <v>7398</v>
      </c>
      <c r="D1247" s="104"/>
      <c r="E1247" s="104"/>
      <c r="F1247" s="105">
        <f t="shared" si="39"/>
        <v>0</v>
      </c>
      <c r="G1247" s="106">
        <f t="shared" si="40"/>
        <v>0</v>
      </c>
      <c r="H1247" s="81">
        <v>1.2789999999999999</v>
      </c>
      <c r="I1247" s="2619" t="s">
        <v>1146</v>
      </c>
    </row>
    <row r="1248" spans="1:9" ht="32.25">
      <c r="A1248" s="7" t="s">
        <v>2511</v>
      </c>
      <c r="B1248" s="8" t="s">
        <v>7598</v>
      </c>
      <c r="C1248" s="9" t="s">
        <v>7398</v>
      </c>
      <c r="D1248" s="104"/>
      <c r="E1248" s="104"/>
      <c r="F1248" s="105">
        <f t="shared" si="39"/>
        <v>0</v>
      </c>
      <c r="G1248" s="106">
        <f t="shared" si="40"/>
        <v>0</v>
      </c>
      <c r="H1248" s="81">
        <v>1.093</v>
      </c>
      <c r="I1248" s="2619" t="s">
        <v>1146</v>
      </c>
    </row>
    <row r="1249" spans="1:9" ht="16.5">
      <c r="A1249" s="7" t="s">
        <v>2610</v>
      </c>
      <c r="B1249" s="8" t="s">
        <v>7599</v>
      </c>
      <c r="C1249" s="9" t="s">
        <v>7398</v>
      </c>
      <c r="D1249" s="104"/>
      <c r="E1249" s="104"/>
      <c r="F1249" s="105">
        <f t="shared" si="39"/>
        <v>0</v>
      </c>
      <c r="G1249" s="106">
        <f t="shared" si="40"/>
        <v>0</v>
      </c>
      <c r="H1249" s="81">
        <v>1.2361</v>
      </c>
      <c r="I1249" s="2619" t="s">
        <v>1146</v>
      </c>
    </row>
    <row r="1250" spans="1:9" ht="16.5">
      <c r="A1250" s="7" t="s">
        <v>2512</v>
      </c>
      <c r="B1250" s="8" t="s">
        <v>7600</v>
      </c>
      <c r="C1250" s="9" t="s">
        <v>7398</v>
      </c>
      <c r="D1250" s="104"/>
      <c r="E1250" s="104"/>
      <c r="F1250" s="105">
        <f t="shared" si="39"/>
        <v>0</v>
      </c>
      <c r="G1250" s="106">
        <f t="shared" si="40"/>
        <v>0</v>
      </c>
      <c r="H1250" s="81">
        <v>1.1982999999999999</v>
      </c>
      <c r="I1250" s="2619" t="s">
        <v>1146</v>
      </c>
    </row>
    <row r="1251" spans="1:9" ht="16.5">
      <c r="A1251" s="7" t="s">
        <v>2513</v>
      </c>
      <c r="B1251" s="8" t="s">
        <v>7601</v>
      </c>
      <c r="C1251" s="9" t="s">
        <v>7398</v>
      </c>
      <c r="D1251" s="104"/>
      <c r="E1251" s="104"/>
      <c r="F1251" s="105">
        <f t="shared" si="39"/>
        <v>0</v>
      </c>
      <c r="G1251" s="106">
        <f t="shared" si="40"/>
        <v>0</v>
      </c>
      <c r="H1251" s="81">
        <v>1.1986000000000001</v>
      </c>
      <c r="I1251" s="2619" t="s">
        <v>1146</v>
      </c>
    </row>
    <row r="1252" spans="1:9" ht="16.5">
      <c r="A1252" s="7" t="s">
        <v>2514</v>
      </c>
      <c r="B1252" s="8" t="s">
        <v>7602</v>
      </c>
      <c r="C1252" s="9" t="s">
        <v>7398</v>
      </c>
      <c r="D1252" s="104"/>
      <c r="E1252" s="104"/>
      <c r="F1252" s="105">
        <f t="shared" si="39"/>
        <v>0</v>
      </c>
      <c r="G1252" s="106">
        <f t="shared" si="40"/>
        <v>0</v>
      </c>
      <c r="H1252" s="81">
        <v>1.1961999999999999</v>
      </c>
      <c r="I1252" s="2619" t="s">
        <v>1146</v>
      </c>
    </row>
    <row r="1253" spans="1:9" ht="16.5">
      <c r="A1253" s="7" t="s">
        <v>2515</v>
      </c>
      <c r="B1253" s="8" t="s">
        <v>7603</v>
      </c>
      <c r="C1253" s="9" t="s">
        <v>7398</v>
      </c>
      <c r="D1253" s="104"/>
      <c r="E1253" s="104"/>
      <c r="F1253" s="105">
        <f t="shared" si="39"/>
        <v>0</v>
      </c>
      <c r="G1253" s="106">
        <f t="shared" si="40"/>
        <v>0</v>
      </c>
      <c r="H1253" s="81">
        <v>1.1955</v>
      </c>
      <c r="I1253" s="2619" t="s">
        <v>1146</v>
      </c>
    </row>
    <row r="1254" spans="1:9" ht="16.5">
      <c r="A1254" s="7" t="s">
        <v>5802</v>
      </c>
      <c r="B1254" s="8" t="s">
        <v>7604</v>
      </c>
      <c r="C1254" s="9" t="s">
        <v>7398</v>
      </c>
      <c r="D1254" s="2626"/>
      <c r="E1254" s="2626"/>
      <c r="F1254" s="2627">
        <f t="shared" si="39"/>
        <v>0</v>
      </c>
      <c r="G1254" s="106">
        <f t="shared" ref="G1254:G1259" si="41">IF($F$1265=0,0,F1254/$F$1265)</f>
        <v>0</v>
      </c>
      <c r="H1254" s="81">
        <v>1.1594</v>
      </c>
      <c r="I1254" s="2628"/>
    </row>
    <row r="1255" spans="1:9" ht="16.5">
      <c r="A1255" s="7" t="s">
        <v>5803</v>
      </c>
      <c r="B1255" s="8" t="s">
        <v>7605</v>
      </c>
      <c r="C1255" s="9" t="s">
        <v>3481</v>
      </c>
      <c r="D1255" s="2626"/>
      <c r="E1255" s="2626"/>
      <c r="F1255" s="2627">
        <f t="shared" si="39"/>
        <v>0</v>
      </c>
      <c r="G1255" s="106">
        <f t="shared" si="41"/>
        <v>0</v>
      </c>
      <c r="H1255" s="81">
        <v>1</v>
      </c>
      <c r="I1255" s="2628" t="s">
        <v>5804</v>
      </c>
    </row>
    <row r="1256" spans="1:9" ht="16.5">
      <c r="A1256" s="7" t="s">
        <v>5805</v>
      </c>
      <c r="B1256" s="8" t="s">
        <v>7606</v>
      </c>
      <c r="C1256" s="9" t="s">
        <v>3481</v>
      </c>
      <c r="D1256" s="2626"/>
      <c r="E1256" s="2626"/>
      <c r="F1256" s="2627">
        <f t="shared" si="39"/>
        <v>0</v>
      </c>
      <c r="G1256" s="106">
        <f t="shared" si="41"/>
        <v>0</v>
      </c>
      <c r="H1256" s="81">
        <v>1</v>
      </c>
      <c r="I1256" s="2628" t="s">
        <v>5804</v>
      </c>
    </row>
    <row r="1257" spans="1:9" ht="16.5">
      <c r="A1257" s="7" t="s">
        <v>5806</v>
      </c>
      <c r="B1257" s="8" t="s">
        <v>7607</v>
      </c>
      <c r="C1257" s="9" t="s">
        <v>3481</v>
      </c>
      <c r="D1257" s="2626"/>
      <c r="E1257" s="2626"/>
      <c r="F1257" s="2627">
        <f t="shared" si="39"/>
        <v>0</v>
      </c>
      <c r="G1257" s="106">
        <f t="shared" si="41"/>
        <v>0</v>
      </c>
      <c r="H1257" s="81">
        <v>1</v>
      </c>
      <c r="I1257" s="2628" t="s">
        <v>5804</v>
      </c>
    </row>
    <row r="1258" spans="1:9" ht="16.5">
      <c r="A1258" s="7" t="s">
        <v>5807</v>
      </c>
      <c r="B1258" s="8" t="s">
        <v>7608</v>
      </c>
      <c r="C1258" s="9" t="s">
        <v>3481</v>
      </c>
      <c r="D1258" s="2626"/>
      <c r="E1258" s="2626"/>
      <c r="F1258" s="2627">
        <f t="shared" si="39"/>
        <v>0</v>
      </c>
      <c r="G1258" s="106">
        <f t="shared" si="41"/>
        <v>0</v>
      </c>
      <c r="H1258" s="81">
        <v>1</v>
      </c>
      <c r="I1258" s="2628" t="s">
        <v>5804</v>
      </c>
    </row>
    <row r="1259" spans="1:9" ht="16.5">
      <c r="A1259" s="7" t="s">
        <v>5808</v>
      </c>
      <c r="B1259" s="8" t="s">
        <v>7609</v>
      </c>
      <c r="C1259" s="9" t="s">
        <v>3481</v>
      </c>
      <c r="D1259" s="2626"/>
      <c r="E1259" s="2626"/>
      <c r="F1259" s="2627">
        <f t="shared" si="39"/>
        <v>0</v>
      </c>
      <c r="G1259" s="106">
        <f t="shared" si="41"/>
        <v>0</v>
      </c>
      <c r="H1259" s="81">
        <v>1</v>
      </c>
      <c r="I1259" s="2628" t="s">
        <v>5804</v>
      </c>
    </row>
    <row r="1260" spans="1:9" ht="16.5">
      <c r="A1260" s="7"/>
      <c r="B1260" s="8"/>
      <c r="C1260" s="9"/>
      <c r="D1260" s="104"/>
      <c r="E1260" s="104"/>
      <c r="F1260" s="105"/>
      <c r="G1260" s="106"/>
      <c r="H1260" s="81"/>
      <c r="I1260" s="2619"/>
    </row>
    <row r="1261" spans="1:9" ht="16.5">
      <c r="A1261" s="7"/>
      <c r="B1261" s="8"/>
      <c r="C1261" s="9"/>
      <c r="D1261" s="104"/>
      <c r="E1261" s="104"/>
      <c r="F1261" s="105"/>
      <c r="G1261" s="106"/>
      <c r="H1261" s="81"/>
      <c r="I1261" s="2619"/>
    </row>
    <row r="1262" spans="1:9" ht="16.5">
      <c r="A1262" s="7"/>
      <c r="B1262" s="8"/>
      <c r="C1262" s="9"/>
      <c r="D1262" s="104"/>
      <c r="E1262" s="104"/>
      <c r="F1262" s="105"/>
      <c r="G1262" s="106"/>
      <c r="H1262" s="81"/>
      <c r="I1262" s="111"/>
    </row>
    <row r="1263" spans="1:9" ht="16.5">
      <c r="A1263" s="7"/>
      <c r="B1263" s="8"/>
      <c r="C1263" s="9"/>
      <c r="D1263" s="104"/>
      <c r="E1263" s="104"/>
      <c r="F1263" s="105"/>
      <c r="G1263" s="106"/>
      <c r="H1263" s="81"/>
      <c r="I1263" s="111"/>
    </row>
    <row r="1264" spans="1:9" ht="17.25" thickBot="1">
      <c r="A1264" s="112"/>
      <c r="B1264" s="113"/>
      <c r="C1264" s="114"/>
      <c r="D1264" s="115"/>
      <c r="E1264" s="115"/>
      <c r="F1264" s="116"/>
      <c r="G1264" s="117"/>
      <c r="H1264" s="94"/>
      <c r="I1264" s="118"/>
    </row>
    <row r="1265" spans="1:9" ht="17.25" thickTop="1" thickBot="1">
      <c r="A1265" s="3527" t="s">
        <v>3482</v>
      </c>
      <c r="B1265" s="3528"/>
      <c r="C1265" s="3528"/>
      <c r="D1265" s="3528"/>
      <c r="E1265" s="3528"/>
      <c r="F1265" s="119">
        <f>SUM(F4:F1264)</f>
        <v>0</v>
      </c>
      <c r="G1265" s="120">
        <f t="shared" ref="G1265" si="42">IF($F$1265=0,0,F1265/$F$1265)</f>
        <v>0</v>
      </c>
      <c r="H1265" s="121"/>
      <c r="I1265" s="122"/>
    </row>
    <row r="1266" spans="1:9">
      <c r="A1266" s="123"/>
      <c r="B1266" s="123"/>
      <c r="C1266" s="123"/>
      <c r="D1266" s="123"/>
      <c r="E1266" s="123"/>
      <c r="F1266" s="20"/>
      <c r="G1266" s="20"/>
      <c r="H1266" s="20"/>
      <c r="I1266" s="20"/>
    </row>
    <row r="1267" spans="1:9" ht="16.5">
      <c r="A1267" s="124" t="s">
        <v>3483</v>
      </c>
      <c r="B1267" s="123"/>
      <c r="C1267" s="123"/>
      <c r="D1267" s="123"/>
      <c r="E1267" s="123"/>
      <c r="F1267" s="20"/>
      <c r="G1267" s="20"/>
      <c r="H1267" s="20"/>
      <c r="I1267" s="20"/>
    </row>
    <row r="1268" spans="1:9" ht="16.5">
      <c r="A1268" s="124" t="s">
        <v>1028</v>
      </c>
      <c r="B1268" s="100" t="s">
        <v>3484</v>
      </c>
      <c r="F1268" s="20"/>
      <c r="G1268" s="20"/>
      <c r="H1268" s="20"/>
      <c r="I1268" s="20"/>
    </row>
    <row r="1269" spans="1:9" ht="16.5">
      <c r="A1269" s="124" t="s">
        <v>76</v>
      </c>
      <c r="B1269" s="100" t="s">
        <v>3485</v>
      </c>
      <c r="F1269" s="20"/>
      <c r="G1269" s="20"/>
      <c r="H1269" s="20"/>
      <c r="I1269" s="20"/>
    </row>
    <row r="1270" spans="1:9" ht="41.25" customHeight="1">
      <c r="A1270" s="124" t="s">
        <v>5714</v>
      </c>
      <c r="B1270" s="3529" t="s">
        <v>7610</v>
      </c>
      <c r="C1270" s="3529"/>
      <c r="D1270" s="3529"/>
      <c r="E1270" s="3529"/>
      <c r="F1270" s="3529"/>
      <c r="G1270" s="3529"/>
      <c r="H1270" s="3529"/>
      <c r="I1270" s="3529"/>
    </row>
    <row r="1271" spans="1:9">
      <c r="B1271" s="770"/>
    </row>
    <row r="1376" ht="17.649999999999999" customHeight="1"/>
  </sheetData>
  <mergeCells count="4">
    <mergeCell ref="K7:L7"/>
    <mergeCell ref="K31:L31"/>
    <mergeCell ref="A1265:E1265"/>
    <mergeCell ref="B1270:I1270"/>
  </mergeCells>
  <phoneticPr fontId="30"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38"/>
  <sheetViews>
    <sheetView zoomScale="90" zoomScaleNormal="90" zoomScaleSheetLayoutView="75" workbookViewId="0">
      <pane ySplit="3" topLeftCell="A4" activePane="bottomLeft" state="frozen"/>
      <selection pane="bottomLeft" sqref="A1:XFD1048576"/>
    </sheetView>
  </sheetViews>
  <sheetFormatPr defaultColWidth="15.625" defaultRowHeight="15.75"/>
  <cols>
    <col min="1" max="8" width="18.625" style="13" customWidth="1"/>
    <col min="9" max="9" width="30.625" style="13" customWidth="1"/>
    <col min="10" max="10" width="1.625" style="13" customWidth="1"/>
    <col min="11" max="16384" width="15.625" style="13"/>
  </cols>
  <sheetData>
    <row r="1" spans="1:11">
      <c r="A1" s="70" t="str">
        <f>+封面!A3&amp;" "&amp;封面!A2</f>
        <v xml:space="preserve"> 中央再保險股份有限公司 年度檢查報表</v>
      </c>
      <c r="B1" s="71"/>
      <c r="C1" s="71"/>
    </row>
    <row r="2" spans="1:11" ht="17.25" thickBot="1">
      <c r="A2" s="770" t="s">
        <v>7611</v>
      </c>
      <c r="B2" s="73"/>
      <c r="C2" s="40"/>
      <c r="I2" s="74" t="s">
        <v>3440</v>
      </c>
    </row>
    <row r="3" spans="1:11" ht="33.75" thickBot="1">
      <c r="A3" s="75" t="s">
        <v>3441</v>
      </c>
      <c r="B3" s="76" t="s">
        <v>3442</v>
      </c>
      <c r="C3" s="76" t="s">
        <v>3443</v>
      </c>
      <c r="D3" s="76" t="s">
        <v>3444</v>
      </c>
      <c r="E3" s="76" t="s">
        <v>3445</v>
      </c>
      <c r="F3" s="76" t="s">
        <v>3446</v>
      </c>
      <c r="G3" s="76" t="s">
        <v>3447</v>
      </c>
      <c r="H3" s="76" t="s">
        <v>3448</v>
      </c>
      <c r="I3" s="77" t="s">
        <v>3449</v>
      </c>
    </row>
    <row r="4" spans="1:11" ht="16.5">
      <c r="A4" s="2361" t="s">
        <v>2611</v>
      </c>
      <c r="B4" s="2362" t="s">
        <v>7612</v>
      </c>
      <c r="C4" s="9" t="s">
        <v>1349</v>
      </c>
      <c r="D4" s="78"/>
      <c r="E4" s="78"/>
      <c r="F4" s="79">
        <f>D4*E4</f>
        <v>0</v>
      </c>
      <c r="G4" s="80">
        <f t="shared" ref="G4:G67" si="0">IF($F$836=0,0,F4/$F$836)</f>
        <v>0</v>
      </c>
      <c r="H4" s="81">
        <v>1.085</v>
      </c>
      <c r="I4" s="2629" t="s">
        <v>1146</v>
      </c>
      <c r="K4" s="82" t="s">
        <v>3450</v>
      </c>
    </row>
    <row r="5" spans="1:11" ht="17.25" thickBot="1">
      <c r="A5" s="7" t="s">
        <v>5039</v>
      </c>
      <c r="B5" s="8" t="s">
        <v>7613</v>
      </c>
      <c r="C5" s="9" t="s">
        <v>1349</v>
      </c>
      <c r="D5" s="78"/>
      <c r="E5" s="78"/>
      <c r="F5" s="79">
        <f t="shared" ref="F5:F68" si="1">D5*E5</f>
        <v>0</v>
      </c>
      <c r="G5" s="80">
        <f t="shared" si="0"/>
        <v>0</v>
      </c>
      <c r="H5" s="81">
        <v>0.56330000000000002</v>
      </c>
      <c r="I5" s="2625" t="s">
        <v>1146</v>
      </c>
      <c r="K5" s="84">
        <f>SUMPRODUCT(G4:G835,H4:H835)</f>
        <v>0</v>
      </c>
    </row>
    <row r="6" spans="1:11" ht="16.5">
      <c r="A6" s="2361" t="s">
        <v>5716</v>
      </c>
      <c r="B6" s="2362" t="s">
        <v>7614</v>
      </c>
      <c r="C6" s="9" t="s">
        <v>1349</v>
      </c>
      <c r="D6" s="78"/>
      <c r="E6" s="78"/>
      <c r="F6" s="79">
        <f t="shared" si="1"/>
        <v>0</v>
      </c>
      <c r="G6" s="80">
        <f t="shared" si="0"/>
        <v>0</v>
      </c>
      <c r="H6" s="81">
        <v>1.145239090909091</v>
      </c>
      <c r="I6" s="2629" t="s">
        <v>6404</v>
      </c>
    </row>
    <row r="7" spans="1:11" ht="16.5">
      <c r="A7" s="2361" t="s">
        <v>2612</v>
      </c>
      <c r="B7" s="2362" t="s">
        <v>7615</v>
      </c>
      <c r="C7" s="9" t="s">
        <v>3451</v>
      </c>
      <c r="D7" s="78"/>
      <c r="E7" s="78"/>
      <c r="F7" s="79">
        <f t="shared" si="1"/>
        <v>0</v>
      </c>
      <c r="G7" s="80">
        <f t="shared" si="0"/>
        <v>0</v>
      </c>
      <c r="H7" s="81">
        <v>0.26960000000000001</v>
      </c>
      <c r="I7" s="2629" t="s">
        <v>1146</v>
      </c>
    </row>
    <row r="8" spans="1:11" ht="16.5">
      <c r="A8" s="2361" t="s">
        <v>2613</v>
      </c>
      <c r="B8" s="2362" t="s">
        <v>7616</v>
      </c>
      <c r="C8" s="9" t="s">
        <v>3451</v>
      </c>
      <c r="D8" s="78"/>
      <c r="E8" s="78"/>
      <c r="F8" s="79">
        <f t="shared" si="1"/>
        <v>0</v>
      </c>
      <c r="G8" s="80">
        <f t="shared" si="0"/>
        <v>0</v>
      </c>
      <c r="H8" s="81">
        <v>0.14499999999999999</v>
      </c>
      <c r="I8" s="2629" t="s">
        <v>1146</v>
      </c>
    </row>
    <row r="9" spans="1:11" ht="16.5">
      <c r="A9" s="2361" t="s">
        <v>2614</v>
      </c>
      <c r="B9" s="2362" t="s">
        <v>7617</v>
      </c>
      <c r="C9" s="9" t="s">
        <v>3451</v>
      </c>
      <c r="D9" s="78"/>
      <c r="E9" s="78"/>
      <c r="F9" s="79">
        <f t="shared" si="1"/>
        <v>0</v>
      </c>
      <c r="G9" s="80">
        <f t="shared" si="0"/>
        <v>0</v>
      </c>
      <c r="H9" s="81">
        <v>8.2699999999999996E-2</v>
      </c>
      <c r="I9" s="2629" t="s">
        <v>1146</v>
      </c>
    </row>
    <row r="10" spans="1:11" ht="16.5">
      <c r="A10" s="85" t="s">
        <v>2615</v>
      </c>
      <c r="B10" s="2362" t="s">
        <v>7618</v>
      </c>
      <c r="C10" s="9" t="s">
        <v>3451</v>
      </c>
      <c r="D10" s="78"/>
      <c r="E10" s="78"/>
      <c r="F10" s="79">
        <f t="shared" si="1"/>
        <v>0</v>
      </c>
      <c r="G10" s="80">
        <f t="shared" si="0"/>
        <v>0</v>
      </c>
      <c r="H10" s="81">
        <v>0.98770000000000002</v>
      </c>
      <c r="I10" s="2629" t="s">
        <v>1146</v>
      </c>
    </row>
    <row r="11" spans="1:11" ht="16.5">
      <c r="A11" s="85" t="s">
        <v>2616</v>
      </c>
      <c r="B11" s="2362" t="s">
        <v>7619</v>
      </c>
      <c r="C11" s="9" t="s">
        <v>3451</v>
      </c>
      <c r="D11" s="78"/>
      <c r="E11" s="78"/>
      <c r="F11" s="79">
        <f t="shared" si="1"/>
        <v>0</v>
      </c>
      <c r="G11" s="80">
        <f t="shared" si="0"/>
        <v>0</v>
      </c>
      <c r="H11" s="81">
        <v>0.79249999999999998</v>
      </c>
      <c r="I11" s="2629" t="s">
        <v>1146</v>
      </c>
    </row>
    <row r="12" spans="1:11" ht="16.5">
      <c r="A12" s="85" t="s">
        <v>2617</v>
      </c>
      <c r="B12" s="2362" t="s">
        <v>7620</v>
      </c>
      <c r="C12" s="9" t="s">
        <v>3451</v>
      </c>
      <c r="D12" s="78"/>
      <c r="E12" s="78"/>
      <c r="F12" s="79">
        <f t="shared" si="1"/>
        <v>0</v>
      </c>
      <c r="G12" s="80">
        <f t="shared" si="0"/>
        <v>0</v>
      </c>
      <c r="H12" s="81">
        <v>0.49209999999999998</v>
      </c>
      <c r="I12" s="2629" t="s">
        <v>1146</v>
      </c>
    </row>
    <row r="13" spans="1:11" ht="16.5">
      <c r="A13" s="85" t="s">
        <v>2618</v>
      </c>
      <c r="B13" s="2362" t="s">
        <v>7621</v>
      </c>
      <c r="C13" s="9" t="s">
        <v>3451</v>
      </c>
      <c r="D13" s="78"/>
      <c r="E13" s="78"/>
      <c r="F13" s="79">
        <f t="shared" si="1"/>
        <v>0</v>
      </c>
      <c r="G13" s="80">
        <f t="shared" si="0"/>
        <v>0</v>
      </c>
      <c r="H13" s="81">
        <v>0.59489999999999998</v>
      </c>
      <c r="I13" s="2629" t="s">
        <v>1146</v>
      </c>
    </row>
    <row r="14" spans="1:11" ht="16.5">
      <c r="A14" s="85" t="s">
        <v>2619</v>
      </c>
      <c r="B14" s="2362" t="s">
        <v>7622</v>
      </c>
      <c r="C14" s="9" t="s">
        <v>3451</v>
      </c>
      <c r="D14" s="78"/>
      <c r="E14" s="78"/>
      <c r="F14" s="79">
        <f t="shared" si="1"/>
        <v>0</v>
      </c>
      <c r="G14" s="80">
        <f t="shared" si="0"/>
        <v>0</v>
      </c>
      <c r="H14" s="81">
        <v>0.4108</v>
      </c>
      <c r="I14" s="2629" t="s">
        <v>1146</v>
      </c>
    </row>
    <row r="15" spans="1:11" ht="16.5">
      <c r="A15" s="85" t="s">
        <v>2620</v>
      </c>
      <c r="B15" s="2362" t="s">
        <v>7623</v>
      </c>
      <c r="C15" s="9" t="s">
        <v>3451</v>
      </c>
      <c r="D15" s="78"/>
      <c r="E15" s="78"/>
      <c r="F15" s="79">
        <f t="shared" si="1"/>
        <v>0</v>
      </c>
      <c r="G15" s="80">
        <f t="shared" si="0"/>
        <v>0</v>
      </c>
      <c r="H15" s="81">
        <v>0.38890000000000002</v>
      </c>
      <c r="I15" s="2629" t="s">
        <v>1146</v>
      </c>
    </row>
    <row r="16" spans="1:11" ht="16.5">
      <c r="A16" s="85" t="s">
        <v>2621</v>
      </c>
      <c r="B16" s="2362" t="s">
        <v>7624</v>
      </c>
      <c r="C16" s="9" t="s">
        <v>3451</v>
      </c>
      <c r="D16" s="78"/>
      <c r="E16" s="78"/>
      <c r="F16" s="79">
        <f t="shared" si="1"/>
        <v>0</v>
      </c>
      <c r="G16" s="80">
        <f t="shared" si="0"/>
        <v>0</v>
      </c>
      <c r="H16" s="81">
        <v>1.052</v>
      </c>
      <c r="I16" s="2629" t="s">
        <v>1146</v>
      </c>
    </row>
    <row r="17" spans="1:9" ht="16.5">
      <c r="A17" s="85" t="s">
        <v>2622</v>
      </c>
      <c r="B17" s="2362" t="s">
        <v>7625</v>
      </c>
      <c r="C17" s="9" t="s">
        <v>3451</v>
      </c>
      <c r="D17" s="78"/>
      <c r="E17" s="78"/>
      <c r="F17" s="79">
        <f t="shared" si="1"/>
        <v>0</v>
      </c>
      <c r="G17" s="80">
        <f t="shared" si="0"/>
        <v>0</v>
      </c>
      <c r="H17" s="81">
        <v>0.17630000000000001</v>
      </c>
      <c r="I17" s="2629" t="s">
        <v>1146</v>
      </c>
    </row>
    <row r="18" spans="1:9" ht="16.5">
      <c r="A18" s="85" t="s">
        <v>2623</v>
      </c>
      <c r="B18" s="2362" t="s">
        <v>7626</v>
      </c>
      <c r="C18" s="9" t="s">
        <v>3451</v>
      </c>
      <c r="D18" s="78"/>
      <c r="E18" s="78"/>
      <c r="F18" s="79">
        <f t="shared" si="1"/>
        <v>0</v>
      </c>
      <c r="G18" s="80">
        <f t="shared" si="0"/>
        <v>0</v>
      </c>
      <c r="H18" s="81">
        <v>0.64239999999999997</v>
      </c>
      <c r="I18" s="2629" t="s">
        <v>1146</v>
      </c>
    </row>
    <row r="19" spans="1:9" ht="16.5">
      <c r="A19" s="85" t="s">
        <v>2624</v>
      </c>
      <c r="B19" s="2362" t="s">
        <v>7627</v>
      </c>
      <c r="C19" s="9" t="s">
        <v>3451</v>
      </c>
      <c r="D19" s="78"/>
      <c r="E19" s="78"/>
      <c r="F19" s="79">
        <f t="shared" si="1"/>
        <v>0</v>
      </c>
      <c r="G19" s="80">
        <f t="shared" si="0"/>
        <v>0</v>
      </c>
      <c r="H19" s="81">
        <v>0.33810000000000001</v>
      </c>
      <c r="I19" s="2629" t="s">
        <v>1146</v>
      </c>
    </row>
    <row r="20" spans="1:9" ht="16.5">
      <c r="A20" s="85" t="s">
        <v>2625</v>
      </c>
      <c r="B20" s="2362" t="s">
        <v>7628</v>
      </c>
      <c r="C20" s="9" t="s">
        <v>3451</v>
      </c>
      <c r="D20" s="78"/>
      <c r="E20" s="78"/>
      <c r="F20" s="79">
        <f t="shared" si="1"/>
        <v>0</v>
      </c>
      <c r="G20" s="80">
        <f t="shared" si="0"/>
        <v>0</v>
      </c>
      <c r="H20" s="81">
        <v>0.42949999999999999</v>
      </c>
      <c r="I20" s="2629" t="s">
        <v>1146</v>
      </c>
    </row>
    <row r="21" spans="1:9" ht="16.5">
      <c r="A21" s="85" t="s">
        <v>2626</v>
      </c>
      <c r="B21" s="2362" t="s">
        <v>7629</v>
      </c>
      <c r="C21" s="9" t="s">
        <v>3451</v>
      </c>
      <c r="D21" s="78"/>
      <c r="E21" s="78"/>
      <c r="F21" s="79">
        <f t="shared" si="1"/>
        <v>0</v>
      </c>
      <c r="G21" s="80">
        <f t="shared" si="0"/>
        <v>0</v>
      </c>
      <c r="H21" s="81">
        <v>0.23480000000000001</v>
      </c>
      <c r="I21" s="2629" t="s">
        <v>1146</v>
      </c>
    </row>
    <row r="22" spans="1:9" ht="16.5">
      <c r="A22" s="85" t="s">
        <v>2627</v>
      </c>
      <c r="B22" s="2362" t="s">
        <v>7630</v>
      </c>
      <c r="C22" s="9" t="s">
        <v>3451</v>
      </c>
      <c r="D22" s="78"/>
      <c r="E22" s="78"/>
      <c r="F22" s="79">
        <f t="shared" si="1"/>
        <v>0</v>
      </c>
      <c r="G22" s="80">
        <f t="shared" si="0"/>
        <v>0</v>
      </c>
      <c r="H22" s="81">
        <v>0.14149999999999999</v>
      </c>
      <c r="I22" s="2629" t="s">
        <v>1146</v>
      </c>
    </row>
    <row r="23" spans="1:9" ht="16.5">
      <c r="A23" s="85" t="s">
        <v>2629</v>
      </c>
      <c r="B23" s="2362" t="s">
        <v>7631</v>
      </c>
      <c r="C23" s="9" t="s">
        <v>3451</v>
      </c>
      <c r="D23" s="78"/>
      <c r="E23" s="78"/>
      <c r="F23" s="79">
        <f t="shared" si="1"/>
        <v>0</v>
      </c>
      <c r="G23" s="80">
        <f t="shared" si="0"/>
        <v>0</v>
      </c>
      <c r="H23" s="81">
        <v>0.43619999999999998</v>
      </c>
      <c r="I23" s="2629" t="s">
        <v>1146</v>
      </c>
    </row>
    <row r="24" spans="1:9" ht="16.5">
      <c r="A24" s="85" t="s">
        <v>2630</v>
      </c>
      <c r="B24" s="2362" t="s">
        <v>7632</v>
      </c>
      <c r="C24" s="9" t="s">
        <v>3451</v>
      </c>
      <c r="D24" s="78"/>
      <c r="E24" s="78"/>
      <c r="F24" s="79">
        <f t="shared" si="1"/>
        <v>0</v>
      </c>
      <c r="G24" s="80">
        <f t="shared" si="0"/>
        <v>0</v>
      </c>
      <c r="H24" s="81">
        <v>0.1764</v>
      </c>
      <c r="I24" s="2629" t="s">
        <v>1146</v>
      </c>
    </row>
    <row r="25" spans="1:9" ht="16.5">
      <c r="A25" s="85" t="s">
        <v>2631</v>
      </c>
      <c r="B25" s="2362" t="s">
        <v>7633</v>
      </c>
      <c r="C25" s="9" t="s">
        <v>3451</v>
      </c>
      <c r="D25" s="78"/>
      <c r="E25" s="78"/>
      <c r="F25" s="79">
        <f t="shared" si="1"/>
        <v>0</v>
      </c>
      <c r="G25" s="80">
        <f t="shared" si="0"/>
        <v>0</v>
      </c>
      <c r="H25" s="81">
        <v>0.95550000000000002</v>
      </c>
      <c r="I25" s="2629" t="s">
        <v>1146</v>
      </c>
    </row>
    <row r="26" spans="1:9" ht="16.5">
      <c r="A26" s="85" t="s">
        <v>2632</v>
      </c>
      <c r="B26" s="2362" t="s">
        <v>7634</v>
      </c>
      <c r="C26" s="9" t="s">
        <v>3451</v>
      </c>
      <c r="D26" s="78"/>
      <c r="E26" s="78"/>
      <c r="F26" s="79">
        <f t="shared" si="1"/>
        <v>0</v>
      </c>
      <c r="G26" s="80">
        <f t="shared" si="0"/>
        <v>0</v>
      </c>
      <c r="H26" s="81">
        <v>0.62190000000000001</v>
      </c>
      <c r="I26" s="2629" t="s">
        <v>1146</v>
      </c>
    </row>
    <row r="27" spans="1:9" ht="16.5">
      <c r="A27" s="85" t="s">
        <v>2633</v>
      </c>
      <c r="B27" s="2362" t="s">
        <v>7635</v>
      </c>
      <c r="C27" s="9" t="s">
        <v>3451</v>
      </c>
      <c r="D27" s="78"/>
      <c r="E27" s="78"/>
      <c r="F27" s="79">
        <f t="shared" si="1"/>
        <v>0</v>
      </c>
      <c r="G27" s="80">
        <f t="shared" si="0"/>
        <v>0</v>
      </c>
      <c r="H27" s="81">
        <v>0.1229</v>
      </c>
      <c r="I27" s="2629" t="s">
        <v>1146</v>
      </c>
    </row>
    <row r="28" spans="1:9" ht="16.5">
      <c r="A28" s="85" t="s">
        <v>2634</v>
      </c>
      <c r="B28" s="2362" t="s">
        <v>7636</v>
      </c>
      <c r="C28" s="9" t="s">
        <v>3451</v>
      </c>
      <c r="D28" s="78"/>
      <c r="E28" s="78"/>
      <c r="F28" s="79">
        <f t="shared" si="1"/>
        <v>0</v>
      </c>
      <c r="G28" s="80">
        <f t="shared" si="0"/>
        <v>0</v>
      </c>
      <c r="H28" s="81">
        <v>1.0430999999999999</v>
      </c>
      <c r="I28" s="2629" t="s">
        <v>1146</v>
      </c>
    </row>
    <row r="29" spans="1:9" ht="16.5">
      <c r="A29" s="85" t="s">
        <v>2635</v>
      </c>
      <c r="B29" s="2362" t="s">
        <v>7637</v>
      </c>
      <c r="C29" s="9" t="s">
        <v>3451</v>
      </c>
      <c r="D29" s="78"/>
      <c r="E29" s="78"/>
      <c r="F29" s="79">
        <f t="shared" si="1"/>
        <v>0</v>
      </c>
      <c r="G29" s="80">
        <f t="shared" si="0"/>
        <v>0</v>
      </c>
      <c r="H29" s="81">
        <v>-1.4E-2</v>
      </c>
      <c r="I29" s="2629" t="s">
        <v>1146</v>
      </c>
    </row>
    <row r="30" spans="1:9" ht="16.5">
      <c r="A30" s="85" t="s">
        <v>2636</v>
      </c>
      <c r="B30" s="2362" t="s">
        <v>7638</v>
      </c>
      <c r="C30" s="9" t="s">
        <v>3451</v>
      </c>
      <c r="D30" s="78"/>
      <c r="E30" s="78"/>
      <c r="F30" s="79">
        <f t="shared" si="1"/>
        <v>0</v>
      </c>
      <c r="G30" s="80">
        <f t="shared" si="0"/>
        <v>0</v>
      </c>
      <c r="H30" s="81">
        <v>0.31140000000000001</v>
      </c>
      <c r="I30" s="2629" t="s">
        <v>1146</v>
      </c>
    </row>
    <row r="31" spans="1:9" ht="16.5">
      <c r="A31" s="85" t="s">
        <v>2637</v>
      </c>
      <c r="B31" s="2362" t="s">
        <v>7639</v>
      </c>
      <c r="C31" s="9" t="s">
        <v>3451</v>
      </c>
      <c r="D31" s="78"/>
      <c r="E31" s="78"/>
      <c r="F31" s="79">
        <f t="shared" si="1"/>
        <v>0</v>
      </c>
      <c r="G31" s="80">
        <f t="shared" si="0"/>
        <v>0</v>
      </c>
      <c r="H31" s="81">
        <v>1.4201999999999999</v>
      </c>
      <c r="I31" s="2629" t="s">
        <v>1146</v>
      </c>
    </row>
    <row r="32" spans="1:9" ht="16.5">
      <c r="A32" s="85" t="s">
        <v>2638</v>
      </c>
      <c r="B32" s="2362" t="s">
        <v>7640</v>
      </c>
      <c r="C32" s="9" t="s">
        <v>3451</v>
      </c>
      <c r="D32" s="78"/>
      <c r="E32" s="78"/>
      <c r="F32" s="79">
        <f t="shared" si="1"/>
        <v>0</v>
      </c>
      <c r="G32" s="80">
        <f t="shared" si="0"/>
        <v>0</v>
      </c>
      <c r="H32" s="81">
        <v>2.76E-2</v>
      </c>
      <c r="I32" s="2629" t="s">
        <v>1146</v>
      </c>
    </row>
    <row r="33" spans="1:9" ht="16.5">
      <c r="A33" s="85" t="s">
        <v>2639</v>
      </c>
      <c r="B33" s="2362" t="s">
        <v>7641</v>
      </c>
      <c r="C33" s="9" t="s">
        <v>3451</v>
      </c>
      <c r="D33" s="78"/>
      <c r="E33" s="78"/>
      <c r="F33" s="79">
        <f t="shared" si="1"/>
        <v>0</v>
      </c>
      <c r="G33" s="80">
        <f t="shared" si="0"/>
        <v>0</v>
      </c>
      <c r="H33" s="81">
        <v>2.46E-2</v>
      </c>
      <c r="I33" s="2629" t="s">
        <v>1146</v>
      </c>
    </row>
    <row r="34" spans="1:9" ht="16.5">
      <c r="A34" s="85" t="s">
        <v>2640</v>
      </c>
      <c r="B34" s="2362" t="s">
        <v>7642</v>
      </c>
      <c r="C34" s="9" t="s">
        <v>3451</v>
      </c>
      <c r="D34" s="78"/>
      <c r="E34" s="78"/>
      <c r="F34" s="79">
        <f t="shared" si="1"/>
        <v>0</v>
      </c>
      <c r="G34" s="80">
        <f t="shared" si="0"/>
        <v>0</v>
      </c>
      <c r="H34" s="81">
        <v>0.40239999999999998</v>
      </c>
      <c r="I34" s="2629" t="s">
        <v>1146</v>
      </c>
    </row>
    <row r="35" spans="1:9" ht="16.5">
      <c r="A35" s="85" t="s">
        <v>2641</v>
      </c>
      <c r="B35" s="2362" t="s">
        <v>7643</v>
      </c>
      <c r="C35" s="9" t="s">
        <v>3451</v>
      </c>
      <c r="D35" s="78"/>
      <c r="E35" s="78"/>
      <c r="F35" s="79">
        <f t="shared" si="1"/>
        <v>0</v>
      </c>
      <c r="G35" s="80">
        <f t="shared" si="0"/>
        <v>0</v>
      </c>
      <c r="H35" s="81">
        <v>0.2888</v>
      </c>
      <c r="I35" s="2629" t="s">
        <v>1146</v>
      </c>
    </row>
    <row r="36" spans="1:9" ht="16.5">
      <c r="A36" s="85" t="s">
        <v>2642</v>
      </c>
      <c r="B36" s="2362" t="s">
        <v>7644</v>
      </c>
      <c r="C36" s="9" t="s">
        <v>3451</v>
      </c>
      <c r="D36" s="78"/>
      <c r="E36" s="78"/>
      <c r="F36" s="79">
        <f t="shared" si="1"/>
        <v>0</v>
      </c>
      <c r="G36" s="80">
        <f t="shared" si="0"/>
        <v>0</v>
      </c>
      <c r="H36" s="81">
        <v>0.35089999999999999</v>
      </c>
      <c r="I36" s="2629" t="s">
        <v>1146</v>
      </c>
    </row>
    <row r="37" spans="1:9" ht="16.5">
      <c r="A37" s="85" t="s">
        <v>2643</v>
      </c>
      <c r="B37" s="2362" t="s">
        <v>7645</v>
      </c>
      <c r="C37" s="9" t="s">
        <v>3451</v>
      </c>
      <c r="D37" s="78"/>
      <c r="E37" s="78"/>
      <c r="F37" s="79">
        <f t="shared" si="1"/>
        <v>0</v>
      </c>
      <c r="G37" s="80">
        <f t="shared" si="0"/>
        <v>0</v>
      </c>
      <c r="H37" s="81">
        <v>1.1827000000000001</v>
      </c>
      <c r="I37" s="2629" t="s">
        <v>1146</v>
      </c>
    </row>
    <row r="38" spans="1:9" ht="16.5">
      <c r="A38" s="85" t="s">
        <v>2644</v>
      </c>
      <c r="B38" s="2362" t="s">
        <v>7646</v>
      </c>
      <c r="C38" s="9" t="s">
        <v>3451</v>
      </c>
      <c r="D38" s="78"/>
      <c r="E38" s="78"/>
      <c r="F38" s="79">
        <f t="shared" si="1"/>
        <v>0</v>
      </c>
      <c r="G38" s="80">
        <f t="shared" si="0"/>
        <v>0</v>
      </c>
      <c r="H38" s="81">
        <v>0.16039999999999999</v>
      </c>
      <c r="I38" s="2629" t="s">
        <v>1146</v>
      </c>
    </row>
    <row r="39" spans="1:9" ht="16.5">
      <c r="A39" s="85" t="s">
        <v>2645</v>
      </c>
      <c r="B39" s="2362" t="s">
        <v>7647</v>
      </c>
      <c r="C39" s="9" t="s">
        <v>3451</v>
      </c>
      <c r="D39" s="78"/>
      <c r="E39" s="78"/>
      <c r="F39" s="79">
        <f t="shared" si="1"/>
        <v>0</v>
      </c>
      <c r="G39" s="80">
        <f t="shared" si="0"/>
        <v>0</v>
      </c>
      <c r="H39" s="81">
        <v>0.14710000000000001</v>
      </c>
      <c r="I39" s="2629" t="s">
        <v>1146</v>
      </c>
    </row>
    <row r="40" spans="1:9" ht="16.5">
      <c r="A40" s="85" t="s">
        <v>5717</v>
      </c>
      <c r="B40" s="2362" t="s">
        <v>7648</v>
      </c>
      <c r="C40" s="9" t="s">
        <v>3451</v>
      </c>
      <c r="D40" s="78"/>
      <c r="E40" s="78"/>
      <c r="F40" s="79">
        <f t="shared" si="1"/>
        <v>0</v>
      </c>
      <c r="G40" s="80">
        <f t="shared" si="0"/>
        <v>0</v>
      </c>
      <c r="H40" s="81">
        <v>1</v>
      </c>
      <c r="I40" s="2629" t="s">
        <v>7649</v>
      </c>
    </row>
    <row r="41" spans="1:9" ht="16.5">
      <c r="A41" s="85" t="s">
        <v>2646</v>
      </c>
      <c r="B41" s="2362" t="s">
        <v>7650</v>
      </c>
      <c r="C41" s="9" t="s">
        <v>3451</v>
      </c>
      <c r="D41" s="78"/>
      <c r="E41" s="78"/>
      <c r="F41" s="79">
        <f t="shared" si="1"/>
        <v>0</v>
      </c>
      <c r="G41" s="80">
        <f t="shared" si="0"/>
        <v>0</v>
      </c>
      <c r="H41" s="81">
        <v>0.60770000000000002</v>
      </c>
      <c r="I41" s="2629" t="s">
        <v>1146</v>
      </c>
    </row>
    <row r="42" spans="1:9" ht="16.5">
      <c r="A42" s="85" t="s">
        <v>2647</v>
      </c>
      <c r="B42" s="2362" t="s">
        <v>7651</v>
      </c>
      <c r="C42" s="9" t="s">
        <v>3451</v>
      </c>
      <c r="D42" s="78"/>
      <c r="E42" s="78"/>
      <c r="F42" s="79">
        <f t="shared" si="1"/>
        <v>0</v>
      </c>
      <c r="G42" s="80">
        <f t="shared" si="0"/>
        <v>0</v>
      </c>
      <c r="H42" s="81">
        <v>1.6759999999999999</v>
      </c>
      <c r="I42" s="2629" t="s">
        <v>1146</v>
      </c>
    </row>
    <row r="43" spans="1:9" ht="16.5">
      <c r="A43" s="85" t="s">
        <v>2648</v>
      </c>
      <c r="B43" s="2362" t="s">
        <v>7652</v>
      </c>
      <c r="C43" s="9" t="s">
        <v>3451</v>
      </c>
      <c r="D43" s="78"/>
      <c r="E43" s="78"/>
      <c r="F43" s="79">
        <f t="shared" si="1"/>
        <v>0</v>
      </c>
      <c r="G43" s="80">
        <f t="shared" si="0"/>
        <v>0</v>
      </c>
      <c r="H43" s="81">
        <v>0.16950000000000001</v>
      </c>
      <c r="I43" s="2629" t="s">
        <v>1146</v>
      </c>
    </row>
    <row r="44" spans="1:9" ht="16.5">
      <c r="A44" s="85" t="s">
        <v>2649</v>
      </c>
      <c r="B44" s="2362" t="s">
        <v>7653</v>
      </c>
      <c r="C44" s="9" t="s">
        <v>3451</v>
      </c>
      <c r="D44" s="78"/>
      <c r="E44" s="78"/>
      <c r="F44" s="79">
        <f t="shared" si="1"/>
        <v>0</v>
      </c>
      <c r="G44" s="80">
        <f t="shared" si="0"/>
        <v>0</v>
      </c>
      <c r="H44" s="81">
        <v>0.22689999999999999</v>
      </c>
      <c r="I44" s="2629" t="s">
        <v>1146</v>
      </c>
    </row>
    <row r="45" spans="1:9" ht="16.5">
      <c r="A45" s="85" t="s">
        <v>2650</v>
      </c>
      <c r="B45" s="2362" t="s">
        <v>7654</v>
      </c>
      <c r="C45" s="9" t="s">
        <v>3451</v>
      </c>
      <c r="D45" s="78"/>
      <c r="E45" s="78"/>
      <c r="F45" s="79">
        <f t="shared" si="1"/>
        <v>0</v>
      </c>
      <c r="G45" s="80">
        <f t="shared" si="0"/>
        <v>0</v>
      </c>
      <c r="H45" s="81">
        <v>0.63019999999999998</v>
      </c>
      <c r="I45" s="2629" t="s">
        <v>1146</v>
      </c>
    </row>
    <row r="46" spans="1:9" ht="16.5">
      <c r="A46" s="85" t="s">
        <v>2651</v>
      </c>
      <c r="B46" s="2362" t="s">
        <v>7655</v>
      </c>
      <c r="C46" s="9" t="s">
        <v>3451</v>
      </c>
      <c r="D46" s="78"/>
      <c r="E46" s="78"/>
      <c r="F46" s="79">
        <f t="shared" si="1"/>
        <v>0</v>
      </c>
      <c r="G46" s="80">
        <f t="shared" si="0"/>
        <v>0</v>
      </c>
      <c r="H46" s="81">
        <v>0.63170000000000004</v>
      </c>
      <c r="I46" s="2629" t="s">
        <v>1146</v>
      </c>
    </row>
    <row r="47" spans="1:9" ht="16.5">
      <c r="A47" s="85" t="s">
        <v>2652</v>
      </c>
      <c r="B47" s="2362" t="s">
        <v>7656</v>
      </c>
      <c r="C47" s="9" t="s">
        <v>3451</v>
      </c>
      <c r="D47" s="78"/>
      <c r="E47" s="78"/>
      <c r="F47" s="79">
        <f t="shared" si="1"/>
        <v>0</v>
      </c>
      <c r="G47" s="80">
        <f t="shared" si="0"/>
        <v>0</v>
      </c>
      <c r="H47" s="81">
        <v>0.39240000000000003</v>
      </c>
      <c r="I47" s="2629" t="s">
        <v>1146</v>
      </c>
    </row>
    <row r="48" spans="1:9" ht="16.5">
      <c r="A48" s="85" t="s">
        <v>2653</v>
      </c>
      <c r="B48" s="2362" t="s">
        <v>7657</v>
      </c>
      <c r="C48" s="9" t="s">
        <v>3451</v>
      </c>
      <c r="D48" s="78"/>
      <c r="E48" s="78"/>
      <c r="F48" s="79">
        <f t="shared" si="1"/>
        <v>0</v>
      </c>
      <c r="G48" s="80">
        <f t="shared" si="0"/>
        <v>0</v>
      </c>
      <c r="H48" s="81">
        <v>0.42309999999999998</v>
      </c>
      <c r="I48" s="2629" t="s">
        <v>1146</v>
      </c>
    </row>
    <row r="49" spans="1:9" ht="16.5">
      <c r="A49" s="85" t="s">
        <v>2654</v>
      </c>
      <c r="B49" s="2362" t="s">
        <v>7658</v>
      </c>
      <c r="C49" s="9" t="s">
        <v>3451</v>
      </c>
      <c r="D49" s="78"/>
      <c r="E49" s="78"/>
      <c r="F49" s="79">
        <f t="shared" si="1"/>
        <v>0</v>
      </c>
      <c r="G49" s="80">
        <f t="shared" si="0"/>
        <v>0</v>
      </c>
      <c r="H49" s="81">
        <v>1.2801</v>
      </c>
      <c r="I49" s="2629" t="s">
        <v>1146</v>
      </c>
    </row>
    <row r="50" spans="1:9" ht="16.5">
      <c r="A50" s="85" t="s">
        <v>2655</v>
      </c>
      <c r="B50" s="2362" t="s">
        <v>7659</v>
      </c>
      <c r="C50" s="9" t="s">
        <v>3451</v>
      </c>
      <c r="D50" s="78"/>
      <c r="E50" s="78"/>
      <c r="F50" s="79">
        <f t="shared" si="1"/>
        <v>0</v>
      </c>
      <c r="G50" s="80">
        <f t="shared" si="0"/>
        <v>0</v>
      </c>
      <c r="H50" s="81">
        <v>-0.1116</v>
      </c>
      <c r="I50" s="2629" t="s">
        <v>1146</v>
      </c>
    </row>
    <row r="51" spans="1:9" ht="16.5">
      <c r="A51" s="85" t="s">
        <v>2656</v>
      </c>
      <c r="B51" s="2362" t="s">
        <v>7660</v>
      </c>
      <c r="C51" s="9" t="s">
        <v>3451</v>
      </c>
      <c r="D51" s="78"/>
      <c r="E51" s="78"/>
      <c r="F51" s="79">
        <f t="shared" si="1"/>
        <v>0</v>
      </c>
      <c r="G51" s="80">
        <f t="shared" si="0"/>
        <v>0</v>
      </c>
      <c r="H51" s="81">
        <v>0.2555</v>
      </c>
      <c r="I51" s="2629" t="s">
        <v>1146</v>
      </c>
    </row>
    <row r="52" spans="1:9" ht="16.5">
      <c r="A52" s="85" t="s">
        <v>2657</v>
      </c>
      <c r="B52" s="2362" t="s">
        <v>7661</v>
      </c>
      <c r="C52" s="9" t="s">
        <v>3451</v>
      </c>
      <c r="D52" s="78"/>
      <c r="E52" s="78"/>
      <c r="F52" s="79">
        <f t="shared" si="1"/>
        <v>0</v>
      </c>
      <c r="G52" s="80">
        <f t="shared" si="0"/>
        <v>0</v>
      </c>
      <c r="H52" s="81">
        <v>0.70250000000000001</v>
      </c>
      <c r="I52" s="2629" t="s">
        <v>1146</v>
      </c>
    </row>
    <row r="53" spans="1:9" ht="16.5">
      <c r="A53" s="85" t="s">
        <v>2658</v>
      </c>
      <c r="B53" s="2362" t="s">
        <v>7662</v>
      </c>
      <c r="C53" s="9" t="s">
        <v>3451</v>
      </c>
      <c r="D53" s="78"/>
      <c r="E53" s="78"/>
      <c r="F53" s="79">
        <f t="shared" si="1"/>
        <v>0</v>
      </c>
      <c r="G53" s="80">
        <f t="shared" si="0"/>
        <v>0</v>
      </c>
      <c r="H53" s="81">
        <v>1.2092000000000001</v>
      </c>
      <c r="I53" s="2629" t="s">
        <v>1146</v>
      </c>
    </row>
    <row r="54" spans="1:9" ht="16.5">
      <c r="A54" s="85" t="s">
        <v>2659</v>
      </c>
      <c r="B54" s="2362" t="s">
        <v>7663</v>
      </c>
      <c r="C54" s="9" t="s">
        <v>3451</v>
      </c>
      <c r="D54" s="78"/>
      <c r="E54" s="78"/>
      <c r="F54" s="79">
        <f t="shared" si="1"/>
        <v>0</v>
      </c>
      <c r="G54" s="80">
        <f t="shared" si="0"/>
        <v>0</v>
      </c>
      <c r="H54" s="81">
        <v>1.3373999999999999</v>
      </c>
      <c r="I54" s="2629" t="s">
        <v>1146</v>
      </c>
    </row>
    <row r="55" spans="1:9" ht="16.5">
      <c r="A55" s="85" t="s">
        <v>2660</v>
      </c>
      <c r="B55" s="2362" t="s">
        <v>7664</v>
      </c>
      <c r="C55" s="9" t="s">
        <v>3451</v>
      </c>
      <c r="D55" s="78"/>
      <c r="E55" s="78"/>
      <c r="F55" s="79">
        <f t="shared" si="1"/>
        <v>0</v>
      </c>
      <c r="G55" s="80">
        <f t="shared" si="0"/>
        <v>0</v>
      </c>
      <c r="H55" s="81">
        <v>1.3913</v>
      </c>
      <c r="I55" s="2629" t="s">
        <v>1146</v>
      </c>
    </row>
    <row r="56" spans="1:9" ht="16.5">
      <c r="A56" s="85" t="s">
        <v>2661</v>
      </c>
      <c r="B56" s="2362" t="s">
        <v>7665</v>
      </c>
      <c r="C56" s="9" t="s">
        <v>3451</v>
      </c>
      <c r="D56" s="78"/>
      <c r="E56" s="78"/>
      <c r="F56" s="79">
        <f t="shared" si="1"/>
        <v>0</v>
      </c>
      <c r="G56" s="80">
        <f t="shared" si="0"/>
        <v>0</v>
      </c>
      <c r="H56" s="81">
        <v>4.6399999999999997E-2</v>
      </c>
      <c r="I56" s="2629" t="s">
        <v>1146</v>
      </c>
    </row>
    <row r="57" spans="1:9" ht="16.5">
      <c r="A57" s="85" t="s">
        <v>2662</v>
      </c>
      <c r="B57" s="2362" t="s">
        <v>7666</v>
      </c>
      <c r="C57" s="9" t="s">
        <v>3451</v>
      </c>
      <c r="D57" s="78"/>
      <c r="E57" s="78"/>
      <c r="F57" s="79">
        <f t="shared" si="1"/>
        <v>0</v>
      </c>
      <c r="G57" s="80">
        <f t="shared" si="0"/>
        <v>0</v>
      </c>
      <c r="H57" s="81">
        <v>1.581</v>
      </c>
      <c r="I57" s="2619" t="s">
        <v>1146</v>
      </c>
    </row>
    <row r="58" spans="1:9" ht="16.5">
      <c r="A58" s="85" t="s">
        <v>2663</v>
      </c>
      <c r="B58" s="2362" t="s">
        <v>7667</v>
      </c>
      <c r="C58" s="9" t="s">
        <v>3451</v>
      </c>
      <c r="D58" s="78"/>
      <c r="E58" s="78"/>
      <c r="F58" s="79">
        <f t="shared" si="1"/>
        <v>0</v>
      </c>
      <c r="G58" s="80">
        <f t="shared" si="0"/>
        <v>0</v>
      </c>
      <c r="H58" s="81">
        <v>1.2838000000000001</v>
      </c>
      <c r="I58" s="2629" t="s">
        <v>1146</v>
      </c>
    </row>
    <row r="59" spans="1:9" ht="16.5">
      <c r="A59" s="85" t="s">
        <v>2664</v>
      </c>
      <c r="B59" s="2362" t="s">
        <v>7668</v>
      </c>
      <c r="C59" s="9" t="s">
        <v>3451</v>
      </c>
      <c r="D59" s="78"/>
      <c r="E59" s="78"/>
      <c r="F59" s="79">
        <f t="shared" si="1"/>
        <v>0</v>
      </c>
      <c r="G59" s="80">
        <f t="shared" si="0"/>
        <v>0</v>
      </c>
      <c r="H59" s="81">
        <v>0.1666</v>
      </c>
      <c r="I59" s="2629" t="s">
        <v>1146</v>
      </c>
    </row>
    <row r="60" spans="1:9" ht="16.5">
      <c r="A60" s="85" t="s">
        <v>2665</v>
      </c>
      <c r="B60" s="2362" t="s">
        <v>7669</v>
      </c>
      <c r="C60" s="9" t="s">
        <v>3451</v>
      </c>
      <c r="D60" s="78"/>
      <c r="E60" s="78"/>
      <c r="F60" s="79">
        <f t="shared" si="1"/>
        <v>0</v>
      </c>
      <c r="G60" s="80">
        <f t="shared" si="0"/>
        <v>0</v>
      </c>
      <c r="H60" s="81">
        <v>1.1394</v>
      </c>
      <c r="I60" s="2619" t="s">
        <v>1146</v>
      </c>
    </row>
    <row r="61" spans="1:9" ht="16.5">
      <c r="A61" s="85" t="s">
        <v>2666</v>
      </c>
      <c r="B61" s="2362" t="s">
        <v>7670</v>
      </c>
      <c r="C61" s="9" t="s">
        <v>3451</v>
      </c>
      <c r="D61" s="78"/>
      <c r="E61" s="78"/>
      <c r="F61" s="79">
        <f t="shared" si="1"/>
        <v>0</v>
      </c>
      <c r="G61" s="80">
        <f t="shared" si="0"/>
        <v>0</v>
      </c>
      <c r="H61" s="81">
        <v>0.86660000000000004</v>
      </c>
      <c r="I61" s="2619" t="s">
        <v>1146</v>
      </c>
    </row>
    <row r="62" spans="1:9" ht="16.5">
      <c r="A62" s="85" t="s">
        <v>5040</v>
      </c>
      <c r="B62" s="2362" t="s">
        <v>7671</v>
      </c>
      <c r="C62" s="9" t="s">
        <v>3451</v>
      </c>
      <c r="D62" s="78"/>
      <c r="E62" s="78"/>
      <c r="F62" s="79">
        <f t="shared" si="1"/>
        <v>0</v>
      </c>
      <c r="G62" s="80">
        <f t="shared" si="0"/>
        <v>0</v>
      </c>
      <c r="H62" s="81">
        <v>0.44540000000000002</v>
      </c>
      <c r="I62" s="2629" t="s">
        <v>1146</v>
      </c>
    </row>
    <row r="63" spans="1:9" ht="16.5">
      <c r="A63" s="85" t="s">
        <v>2667</v>
      </c>
      <c r="B63" s="2362" t="s">
        <v>7672</v>
      </c>
      <c r="C63" s="9" t="s">
        <v>3451</v>
      </c>
      <c r="D63" s="78"/>
      <c r="E63" s="78"/>
      <c r="F63" s="79">
        <f t="shared" si="1"/>
        <v>0</v>
      </c>
      <c r="G63" s="80">
        <f t="shared" si="0"/>
        <v>0</v>
      </c>
      <c r="H63" s="81">
        <v>0.56159999999999999</v>
      </c>
      <c r="I63" s="2629" t="s">
        <v>1146</v>
      </c>
    </row>
    <row r="64" spans="1:9" ht="16.5">
      <c r="A64" s="85" t="s">
        <v>2668</v>
      </c>
      <c r="B64" s="2362" t="s">
        <v>7673</v>
      </c>
      <c r="C64" s="9" t="s">
        <v>3451</v>
      </c>
      <c r="D64" s="78"/>
      <c r="E64" s="78"/>
      <c r="F64" s="79">
        <f t="shared" si="1"/>
        <v>0</v>
      </c>
      <c r="G64" s="80">
        <f t="shared" si="0"/>
        <v>0</v>
      </c>
      <c r="H64" s="81">
        <v>0.46970000000000001</v>
      </c>
      <c r="I64" s="2629" t="s">
        <v>1146</v>
      </c>
    </row>
    <row r="65" spans="1:9" ht="16.5">
      <c r="A65" s="85" t="s">
        <v>2669</v>
      </c>
      <c r="B65" s="2362" t="s">
        <v>7674</v>
      </c>
      <c r="C65" s="9" t="s">
        <v>3451</v>
      </c>
      <c r="D65" s="78"/>
      <c r="E65" s="78"/>
      <c r="F65" s="79">
        <f t="shared" si="1"/>
        <v>0</v>
      </c>
      <c r="G65" s="80">
        <f t="shared" si="0"/>
        <v>0</v>
      </c>
      <c r="H65" s="81">
        <v>0.24859999999999999</v>
      </c>
      <c r="I65" s="2629" t="s">
        <v>1146</v>
      </c>
    </row>
    <row r="66" spans="1:9" ht="16.5">
      <c r="A66" s="85" t="s">
        <v>2670</v>
      </c>
      <c r="B66" s="2362" t="s">
        <v>7675</v>
      </c>
      <c r="C66" s="9" t="s">
        <v>3451</v>
      </c>
      <c r="D66" s="78"/>
      <c r="E66" s="78"/>
      <c r="F66" s="79">
        <f t="shared" si="1"/>
        <v>0</v>
      </c>
      <c r="G66" s="80">
        <f t="shared" si="0"/>
        <v>0</v>
      </c>
      <c r="H66" s="81">
        <v>0.1729</v>
      </c>
      <c r="I66" s="2619" t="s">
        <v>1146</v>
      </c>
    </row>
    <row r="67" spans="1:9" ht="16.5">
      <c r="A67" s="85" t="s">
        <v>3420</v>
      </c>
      <c r="B67" s="2362" t="s">
        <v>7676</v>
      </c>
      <c r="C67" s="9" t="s">
        <v>3451</v>
      </c>
      <c r="D67" s="78"/>
      <c r="E67" s="78"/>
      <c r="F67" s="79">
        <f t="shared" si="1"/>
        <v>0</v>
      </c>
      <c r="G67" s="80">
        <f t="shared" si="0"/>
        <v>0</v>
      </c>
      <c r="H67" s="81">
        <v>0.22689999999999999</v>
      </c>
      <c r="I67" s="2629" t="s">
        <v>1146</v>
      </c>
    </row>
    <row r="68" spans="1:9" ht="16.5">
      <c r="A68" s="85" t="s">
        <v>5718</v>
      </c>
      <c r="B68" s="2362" t="s">
        <v>7677</v>
      </c>
      <c r="C68" s="9" t="s">
        <v>3451</v>
      </c>
      <c r="D68" s="78"/>
      <c r="E68" s="78"/>
      <c r="F68" s="79">
        <f t="shared" si="1"/>
        <v>0</v>
      </c>
      <c r="G68" s="80">
        <f t="shared" ref="G68:G131" si="2">IF($F$836=0,0,F68/$F$836)</f>
        <v>0</v>
      </c>
      <c r="H68" s="81">
        <v>1</v>
      </c>
      <c r="I68" s="2629" t="s">
        <v>7649</v>
      </c>
    </row>
    <row r="69" spans="1:9" ht="16.5">
      <c r="A69" s="85" t="s">
        <v>5719</v>
      </c>
      <c r="B69" s="2362" t="s">
        <v>7678</v>
      </c>
      <c r="C69" s="9" t="s">
        <v>3451</v>
      </c>
      <c r="D69" s="78"/>
      <c r="E69" s="78"/>
      <c r="F69" s="79">
        <f t="shared" ref="F69:F132" si="3">D69*E69</f>
        <v>0</v>
      </c>
      <c r="G69" s="80">
        <f t="shared" si="2"/>
        <v>0</v>
      </c>
      <c r="H69" s="81">
        <v>1</v>
      </c>
      <c r="I69" s="2629" t="s">
        <v>7649</v>
      </c>
    </row>
    <row r="70" spans="1:9" ht="16.5">
      <c r="A70" s="85" t="s">
        <v>2671</v>
      </c>
      <c r="B70" s="2362" t="s">
        <v>7679</v>
      </c>
      <c r="C70" s="9" t="s">
        <v>3451</v>
      </c>
      <c r="D70" s="78"/>
      <c r="E70" s="78"/>
      <c r="F70" s="79">
        <f t="shared" si="3"/>
        <v>0</v>
      </c>
      <c r="G70" s="80">
        <f t="shared" si="2"/>
        <v>0</v>
      </c>
      <c r="H70" s="81">
        <v>0.151</v>
      </c>
      <c r="I70" s="2629" t="s">
        <v>1146</v>
      </c>
    </row>
    <row r="71" spans="1:9" ht="16.5">
      <c r="A71" s="85" t="s">
        <v>2672</v>
      </c>
      <c r="B71" s="2362" t="s">
        <v>7680</v>
      </c>
      <c r="C71" s="9" t="s">
        <v>3451</v>
      </c>
      <c r="D71" s="78"/>
      <c r="E71" s="78"/>
      <c r="F71" s="79">
        <f t="shared" si="3"/>
        <v>0</v>
      </c>
      <c r="G71" s="80">
        <f t="shared" si="2"/>
        <v>0</v>
      </c>
      <c r="H71" s="81">
        <v>0.35339999999999999</v>
      </c>
      <c r="I71" s="2629" t="s">
        <v>1146</v>
      </c>
    </row>
    <row r="72" spans="1:9" ht="16.5">
      <c r="A72" s="85" t="s">
        <v>2673</v>
      </c>
      <c r="B72" s="2362" t="s">
        <v>7681</v>
      </c>
      <c r="C72" s="9" t="s">
        <v>3451</v>
      </c>
      <c r="D72" s="78"/>
      <c r="E72" s="78"/>
      <c r="F72" s="79">
        <f t="shared" si="3"/>
        <v>0</v>
      </c>
      <c r="G72" s="80">
        <f t="shared" si="2"/>
        <v>0</v>
      </c>
      <c r="H72" s="81">
        <v>0.1144</v>
      </c>
      <c r="I72" s="2629" t="s">
        <v>1146</v>
      </c>
    </row>
    <row r="73" spans="1:9" ht="16.5">
      <c r="A73" s="85" t="s">
        <v>2674</v>
      </c>
      <c r="B73" s="2362" t="s">
        <v>7682</v>
      </c>
      <c r="C73" s="9" t="s">
        <v>3451</v>
      </c>
      <c r="D73" s="78"/>
      <c r="E73" s="78"/>
      <c r="F73" s="79">
        <f t="shared" si="3"/>
        <v>0</v>
      </c>
      <c r="G73" s="80">
        <f t="shared" si="2"/>
        <v>0</v>
      </c>
      <c r="H73" s="81">
        <v>1.3181</v>
      </c>
      <c r="I73" s="2629" t="s">
        <v>1146</v>
      </c>
    </row>
    <row r="74" spans="1:9" ht="16.5">
      <c r="A74" s="85" t="s">
        <v>3421</v>
      </c>
      <c r="B74" s="2362" t="s">
        <v>7683</v>
      </c>
      <c r="C74" s="9" t="s">
        <v>3451</v>
      </c>
      <c r="D74" s="78"/>
      <c r="E74" s="78"/>
      <c r="F74" s="79">
        <f t="shared" si="3"/>
        <v>0</v>
      </c>
      <c r="G74" s="80">
        <f t="shared" si="2"/>
        <v>0</v>
      </c>
      <c r="H74" s="81">
        <v>5.6500000000000002E-2</v>
      </c>
      <c r="I74" s="2629" t="s">
        <v>1146</v>
      </c>
    </row>
    <row r="75" spans="1:9" ht="16.5">
      <c r="A75" s="85" t="s">
        <v>2675</v>
      </c>
      <c r="B75" s="2362" t="s">
        <v>7684</v>
      </c>
      <c r="C75" s="9" t="s">
        <v>3451</v>
      </c>
      <c r="D75" s="78"/>
      <c r="E75" s="78"/>
      <c r="F75" s="79">
        <f t="shared" si="3"/>
        <v>0</v>
      </c>
      <c r="G75" s="80">
        <f t="shared" si="2"/>
        <v>0</v>
      </c>
      <c r="H75" s="81">
        <v>1.6485000000000001</v>
      </c>
      <c r="I75" s="2629" t="s">
        <v>1146</v>
      </c>
    </row>
    <row r="76" spans="1:9" ht="16.5">
      <c r="A76" s="85" t="s">
        <v>2676</v>
      </c>
      <c r="B76" s="2362" t="s">
        <v>7685</v>
      </c>
      <c r="C76" s="9" t="s">
        <v>3451</v>
      </c>
      <c r="D76" s="78"/>
      <c r="E76" s="78"/>
      <c r="F76" s="79">
        <f t="shared" si="3"/>
        <v>0</v>
      </c>
      <c r="G76" s="80">
        <f t="shared" si="2"/>
        <v>0</v>
      </c>
      <c r="H76" s="81">
        <v>1.6933</v>
      </c>
      <c r="I76" s="2629" t="s">
        <v>1146</v>
      </c>
    </row>
    <row r="77" spans="1:9" ht="16.5">
      <c r="A77" s="85" t="s">
        <v>2677</v>
      </c>
      <c r="B77" s="2362" t="s">
        <v>7686</v>
      </c>
      <c r="C77" s="9" t="s">
        <v>3451</v>
      </c>
      <c r="D77" s="78"/>
      <c r="E77" s="78"/>
      <c r="F77" s="79">
        <f t="shared" si="3"/>
        <v>0</v>
      </c>
      <c r="G77" s="80">
        <f t="shared" si="2"/>
        <v>0</v>
      </c>
      <c r="H77" s="81">
        <v>0.71540000000000004</v>
      </c>
      <c r="I77" s="2629" t="s">
        <v>1146</v>
      </c>
    </row>
    <row r="78" spans="1:9" ht="16.5">
      <c r="A78" s="85" t="s">
        <v>2678</v>
      </c>
      <c r="B78" s="2362" t="s">
        <v>7687</v>
      </c>
      <c r="C78" s="9" t="s">
        <v>3451</v>
      </c>
      <c r="D78" s="78"/>
      <c r="E78" s="78"/>
      <c r="F78" s="79">
        <f t="shared" si="3"/>
        <v>0</v>
      </c>
      <c r="G78" s="80">
        <f t="shared" si="2"/>
        <v>0</v>
      </c>
      <c r="H78" s="81">
        <v>3.0000000000000001E-3</v>
      </c>
      <c r="I78" s="2629" t="s">
        <v>1146</v>
      </c>
    </row>
    <row r="79" spans="1:9" ht="16.5">
      <c r="A79" s="85" t="s">
        <v>2679</v>
      </c>
      <c r="B79" s="2362" t="s">
        <v>7688</v>
      </c>
      <c r="C79" s="9" t="s">
        <v>3451</v>
      </c>
      <c r="D79" s="78"/>
      <c r="E79" s="78"/>
      <c r="F79" s="79">
        <f t="shared" si="3"/>
        <v>0</v>
      </c>
      <c r="G79" s="80">
        <f t="shared" si="2"/>
        <v>0</v>
      </c>
      <c r="H79" s="81">
        <v>0.48570000000000002</v>
      </c>
      <c r="I79" s="2629" t="s">
        <v>1146</v>
      </c>
    </row>
    <row r="80" spans="1:9" ht="16.5">
      <c r="A80" s="85" t="s">
        <v>2680</v>
      </c>
      <c r="B80" s="2362" t="s">
        <v>7689</v>
      </c>
      <c r="C80" s="9" t="s">
        <v>3451</v>
      </c>
      <c r="D80" s="78"/>
      <c r="E80" s="78"/>
      <c r="F80" s="79">
        <f t="shared" si="3"/>
        <v>0</v>
      </c>
      <c r="G80" s="80">
        <f t="shared" si="2"/>
        <v>0</v>
      </c>
      <c r="H80" s="81">
        <v>1.1852</v>
      </c>
      <c r="I80" s="2629" t="s">
        <v>1146</v>
      </c>
    </row>
    <row r="81" spans="1:9" ht="16.5">
      <c r="A81" s="85" t="s">
        <v>2681</v>
      </c>
      <c r="B81" s="2362" t="s">
        <v>7690</v>
      </c>
      <c r="C81" s="9" t="s">
        <v>3451</v>
      </c>
      <c r="D81" s="78"/>
      <c r="E81" s="78"/>
      <c r="F81" s="79">
        <f t="shared" si="3"/>
        <v>0</v>
      </c>
      <c r="G81" s="80">
        <f t="shared" si="2"/>
        <v>0</v>
      </c>
      <c r="H81" s="81">
        <v>0.41460000000000002</v>
      </c>
      <c r="I81" s="2629" t="s">
        <v>1146</v>
      </c>
    </row>
    <row r="82" spans="1:9" ht="16.5">
      <c r="A82" s="85" t="s">
        <v>2683</v>
      </c>
      <c r="B82" s="2362" t="s">
        <v>7691</v>
      </c>
      <c r="C82" s="9" t="s">
        <v>3451</v>
      </c>
      <c r="D82" s="78"/>
      <c r="E82" s="78"/>
      <c r="F82" s="79">
        <f t="shared" si="3"/>
        <v>0</v>
      </c>
      <c r="G82" s="80">
        <f t="shared" si="2"/>
        <v>0</v>
      </c>
      <c r="H82" s="81">
        <v>0.72340000000000004</v>
      </c>
      <c r="I82" s="2629" t="s">
        <v>1146</v>
      </c>
    </row>
    <row r="83" spans="1:9" ht="16.5">
      <c r="A83" s="85" t="s">
        <v>2684</v>
      </c>
      <c r="B83" s="2362" t="s">
        <v>7692</v>
      </c>
      <c r="C83" s="9" t="s">
        <v>3451</v>
      </c>
      <c r="D83" s="78"/>
      <c r="E83" s="78"/>
      <c r="F83" s="79">
        <f t="shared" si="3"/>
        <v>0</v>
      </c>
      <c r="G83" s="80">
        <f t="shared" si="2"/>
        <v>0</v>
      </c>
      <c r="H83" s="81">
        <v>-0.39939999999999998</v>
      </c>
      <c r="I83" s="2629" t="s">
        <v>1146</v>
      </c>
    </row>
    <row r="84" spans="1:9" ht="16.5">
      <c r="A84" s="85" t="s">
        <v>2685</v>
      </c>
      <c r="B84" s="2362" t="s">
        <v>7693</v>
      </c>
      <c r="C84" s="9" t="s">
        <v>3451</v>
      </c>
      <c r="D84" s="78"/>
      <c r="E84" s="78"/>
      <c r="F84" s="79">
        <f t="shared" si="3"/>
        <v>0</v>
      </c>
      <c r="G84" s="80">
        <f t="shared" si="2"/>
        <v>0</v>
      </c>
      <c r="H84" s="81">
        <v>1.4636</v>
      </c>
      <c r="I84" s="2629" t="s">
        <v>1146</v>
      </c>
    </row>
    <row r="85" spans="1:9" ht="16.5">
      <c r="A85" s="85" t="s">
        <v>2686</v>
      </c>
      <c r="B85" s="2362" t="s">
        <v>7694</v>
      </c>
      <c r="C85" s="9" t="s">
        <v>3451</v>
      </c>
      <c r="D85" s="78"/>
      <c r="E85" s="78"/>
      <c r="F85" s="79">
        <f t="shared" si="3"/>
        <v>0</v>
      </c>
      <c r="G85" s="80">
        <f t="shared" si="2"/>
        <v>0</v>
      </c>
      <c r="H85" s="81">
        <v>0.50509999999999999</v>
      </c>
      <c r="I85" s="2629" t="s">
        <v>1146</v>
      </c>
    </row>
    <row r="86" spans="1:9" ht="16.5">
      <c r="A86" s="85" t="s">
        <v>2687</v>
      </c>
      <c r="B86" s="2362" t="s">
        <v>7695</v>
      </c>
      <c r="C86" s="9" t="s">
        <v>3451</v>
      </c>
      <c r="D86" s="78"/>
      <c r="E86" s="78"/>
      <c r="F86" s="79">
        <f t="shared" si="3"/>
        <v>0</v>
      </c>
      <c r="G86" s="80">
        <f t="shared" si="2"/>
        <v>0</v>
      </c>
      <c r="H86" s="81">
        <v>0.18029999999999999</v>
      </c>
      <c r="I86" s="2619" t="s">
        <v>1146</v>
      </c>
    </row>
    <row r="87" spans="1:9" ht="16.5">
      <c r="A87" s="85" t="s">
        <v>2688</v>
      </c>
      <c r="B87" s="2362" t="s">
        <v>7696</v>
      </c>
      <c r="C87" s="9" t="s">
        <v>3451</v>
      </c>
      <c r="D87" s="78"/>
      <c r="E87" s="78"/>
      <c r="F87" s="79">
        <f t="shared" si="3"/>
        <v>0</v>
      </c>
      <c r="G87" s="80">
        <f t="shared" si="2"/>
        <v>0</v>
      </c>
      <c r="H87" s="81">
        <v>0.22420000000000001</v>
      </c>
      <c r="I87" s="2629" t="s">
        <v>1146</v>
      </c>
    </row>
    <row r="88" spans="1:9" ht="16.5">
      <c r="A88" s="85" t="s">
        <v>2689</v>
      </c>
      <c r="B88" s="2362" t="s">
        <v>7697</v>
      </c>
      <c r="C88" s="9" t="s">
        <v>3451</v>
      </c>
      <c r="D88" s="78"/>
      <c r="E88" s="78"/>
      <c r="F88" s="79">
        <f t="shared" si="3"/>
        <v>0</v>
      </c>
      <c r="G88" s="80">
        <f t="shared" si="2"/>
        <v>0</v>
      </c>
      <c r="H88" s="81">
        <v>1.0920000000000001</v>
      </c>
      <c r="I88" s="2629" t="s">
        <v>1146</v>
      </c>
    </row>
    <row r="89" spans="1:9" ht="16.5">
      <c r="A89" s="85" t="s">
        <v>2690</v>
      </c>
      <c r="B89" s="2362" t="s">
        <v>7698</v>
      </c>
      <c r="C89" s="9" t="s">
        <v>3451</v>
      </c>
      <c r="D89" s="78"/>
      <c r="E89" s="78"/>
      <c r="F89" s="79">
        <f t="shared" si="3"/>
        <v>0</v>
      </c>
      <c r="G89" s="80">
        <f t="shared" si="2"/>
        <v>0</v>
      </c>
      <c r="H89" s="81">
        <v>1.3964000000000001</v>
      </c>
      <c r="I89" s="2629" t="s">
        <v>1146</v>
      </c>
    </row>
    <row r="90" spans="1:9" ht="16.5">
      <c r="A90" s="85" t="s">
        <v>2691</v>
      </c>
      <c r="B90" s="2362" t="s">
        <v>7699</v>
      </c>
      <c r="C90" s="9" t="s">
        <v>3451</v>
      </c>
      <c r="D90" s="78"/>
      <c r="E90" s="78"/>
      <c r="F90" s="79">
        <f t="shared" si="3"/>
        <v>0</v>
      </c>
      <c r="G90" s="80">
        <f t="shared" si="2"/>
        <v>0</v>
      </c>
      <c r="H90" s="81">
        <v>1.2929999999999999</v>
      </c>
      <c r="I90" s="2629" t="s">
        <v>1146</v>
      </c>
    </row>
    <row r="91" spans="1:9" ht="16.5">
      <c r="A91" s="85" t="s">
        <v>2692</v>
      </c>
      <c r="B91" s="2362" t="s">
        <v>7700</v>
      </c>
      <c r="C91" s="9" t="s">
        <v>3451</v>
      </c>
      <c r="D91" s="78"/>
      <c r="E91" s="78"/>
      <c r="F91" s="79">
        <f t="shared" si="3"/>
        <v>0</v>
      </c>
      <c r="G91" s="80">
        <f t="shared" si="2"/>
        <v>0</v>
      </c>
      <c r="H91" s="81">
        <v>1.7685999999999999</v>
      </c>
      <c r="I91" s="2629" t="s">
        <v>1146</v>
      </c>
    </row>
    <row r="92" spans="1:9" ht="16.5">
      <c r="A92" s="85" t="s">
        <v>2693</v>
      </c>
      <c r="B92" s="2362" t="s">
        <v>7701</v>
      </c>
      <c r="C92" s="9" t="s">
        <v>3451</v>
      </c>
      <c r="D92" s="78"/>
      <c r="E92" s="78"/>
      <c r="F92" s="79">
        <f t="shared" si="3"/>
        <v>0</v>
      </c>
      <c r="G92" s="80">
        <f t="shared" si="2"/>
        <v>0</v>
      </c>
      <c r="H92" s="81">
        <v>1.1775</v>
      </c>
      <c r="I92" s="2629" t="s">
        <v>1146</v>
      </c>
    </row>
    <row r="93" spans="1:9" ht="16.5">
      <c r="A93" s="85" t="s">
        <v>2694</v>
      </c>
      <c r="B93" s="2362" t="s">
        <v>7702</v>
      </c>
      <c r="C93" s="9" t="s">
        <v>3451</v>
      </c>
      <c r="D93" s="78"/>
      <c r="E93" s="78"/>
      <c r="F93" s="79">
        <f t="shared" si="3"/>
        <v>0</v>
      </c>
      <c r="G93" s="80">
        <f t="shared" si="2"/>
        <v>0</v>
      </c>
      <c r="H93" s="81">
        <v>0.94589999999999996</v>
      </c>
      <c r="I93" s="2629" t="s">
        <v>1146</v>
      </c>
    </row>
    <row r="94" spans="1:9" ht="16.5">
      <c r="A94" s="85" t="s">
        <v>2695</v>
      </c>
      <c r="B94" s="2362" t="s">
        <v>7703</v>
      </c>
      <c r="C94" s="9" t="s">
        <v>3451</v>
      </c>
      <c r="D94" s="78"/>
      <c r="E94" s="78"/>
      <c r="F94" s="79">
        <f t="shared" si="3"/>
        <v>0</v>
      </c>
      <c r="G94" s="80">
        <f t="shared" si="2"/>
        <v>0</v>
      </c>
      <c r="H94" s="81">
        <v>1.0707</v>
      </c>
      <c r="I94" s="2629" t="s">
        <v>1146</v>
      </c>
    </row>
    <row r="95" spans="1:9" ht="16.5">
      <c r="A95" s="85" t="s">
        <v>2696</v>
      </c>
      <c r="B95" s="2362" t="s">
        <v>7704</v>
      </c>
      <c r="C95" s="9" t="s">
        <v>3451</v>
      </c>
      <c r="D95" s="78"/>
      <c r="E95" s="78"/>
      <c r="F95" s="79">
        <f t="shared" si="3"/>
        <v>0</v>
      </c>
      <c r="G95" s="80">
        <f t="shared" si="2"/>
        <v>0</v>
      </c>
      <c r="H95" s="81">
        <v>1.7527999999999999</v>
      </c>
      <c r="I95" s="2629" t="s">
        <v>1146</v>
      </c>
    </row>
    <row r="96" spans="1:9" ht="16.5">
      <c r="A96" s="85" t="s">
        <v>2697</v>
      </c>
      <c r="B96" s="2362" t="s">
        <v>7705</v>
      </c>
      <c r="C96" s="9" t="s">
        <v>3451</v>
      </c>
      <c r="D96" s="78"/>
      <c r="E96" s="78"/>
      <c r="F96" s="79">
        <f t="shared" si="3"/>
        <v>0</v>
      </c>
      <c r="G96" s="80">
        <f t="shared" si="2"/>
        <v>0</v>
      </c>
      <c r="H96" s="81">
        <v>1.8359000000000001</v>
      </c>
      <c r="I96" s="2629" t="s">
        <v>1146</v>
      </c>
    </row>
    <row r="97" spans="1:9" ht="16.5">
      <c r="A97" s="85" t="s">
        <v>2698</v>
      </c>
      <c r="B97" s="2362" t="s">
        <v>7706</v>
      </c>
      <c r="C97" s="9" t="s">
        <v>3451</v>
      </c>
      <c r="D97" s="78"/>
      <c r="E97" s="78"/>
      <c r="F97" s="79">
        <f t="shared" si="3"/>
        <v>0</v>
      </c>
      <c r="G97" s="80">
        <f t="shared" si="2"/>
        <v>0</v>
      </c>
      <c r="H97" s="81">
        <v>0.29399999999999998</v>
      </c>
      <c r="I97" s="2629" t="s">
        <v>1146</v>
      </c>
    </row>
    <row r="98" spans="1:9" ht="16.5">
      <c r="A98" s="85" t="s">
        <v>2699</v>
      </c>
      <c r="B98" s="2362" t="s">
        <v>7707</v>
      </c>
      <c r="C98" s="9" t="s">
        <v>3451</v>
      </c>
      <c r="D98" s="78"/>
      <c r="E98" s="78"/>
      <c r="F98" s="79">
        <f t="shared" si="3"/>
        <v>0</v>
      </c>
      <c r="G98" s="80">
        <f t="shared" si="2"/>
        <v>0</v>
      </c>
      <c r="H98" s="81">
        <v>0.68640000000000001</v>
      </c>
      <c r="I98" s="2629" t="s">
        <v>1146</v>
      </c>
    </row>
    <row r="99" spans="1:9" ht="16.5">
      <c r="A99" s="85" t="s">
        <v>2700</v>
      </c>
      <c r="B99" s="2362" t="s">
        <v>7708</v>
      </c>
      <c r="C99" s="9" t="s">
        <v>3451</v>
      </c>
      <c r="D99" s="78"/>
      <c r="E99" s="78"/>
      <c r="F99" s="79">
        <f t="shared" si="3"/>
        <v>0</v>
      </c>
      <c r="G99" s="80">
        <f t="shared" si="2"/>
        <v>0</v>
      </c>
      <c r="H99" s="81">
        <v>1.0623</v>
      </c>
      <c r="I99" s="2629" t="s">
        <v>1146</v>
      </c>
    </row>
    <row r="100" spans="1:9" ht="16.5">
      <c r="A100" s="85" t="s">
        <v>2701</v>
      </c>
      <c r="B100" s="2362" t="s">
        <v>7709</v>
      </c>
      <c r="C100" s="9" t="s">
        <v>3451</v>
      </c>
      <c r="D100" s="78"/>
      <c r="E100" s="78"/>
      <c r="F100" s="79">
        <f t="shared" si="3"/>
        <v>0</v>
      </c>
      <c r="G100" s="80">
        <f t="shared" si="2"/>
        <v>0</v>
      </c>
      <c r="H100" s="81">
        <v>0.36930000000000002</v>
      </c>
      <c r="I100" s="2629" t="s">
        <v>1146</v>
      </c>
    </row>
    <row r="101" spans="1:9" ht="16.5">
      <c r="A101" s="85" t="s">
        <v>2702</v>
      </c>
      <c r="B101" s="2362" t="s">
        <v>7710</v>
      </c>
      <c r="C101" s="9" t="s">
        <v>3451</v>
      </c>
      <c r="D101" s="78"/>
      <c r="E101" s="78"/>
      <c r="F101" s="79">
        <f t="shared" si="3"/>
        <v>0</v>
      </c>
      <c r="G101" s="80">
        <f t="shared" si="2"/>
        <v>0</v>
      </c>
      <c r="H101" s="81">
        <v>0.2772</v>
      </c>
      <c r="I101" s="2629" t="s">
        <v>1146</v>
      </c>
    </row>
    <row r="102" spans="1:9" ht="16.5">
      <c r="A102" s="85" t="s">
        <v>2703</v>
      </c>
      <c r="B102" s="2362" t="s">
        <v>7711</v>
      </c>
      <c r="C102" s="9" t="s">
        <v>3451</v>
      </c>
      <c r="D102" s="78"/>
      <c r="E102" s="78"/>
      <c r="F102" s="79">
        <f t="shared" si="3"/>
        <v>0</v>
      </c>
      <c r="G102" s="80">
        <f t="shared" si="2"/>
        <v>0</v>
      </c>
      <c r="H102" s="81">
        <v>0.76829999999999998</v>
      </c>
      <c r="I102" s="2629" t="s">
        <v>1146</v>
      </c>
    </row>
    <row r="103" spans="1:9" ht="16.5">
      <c r="A103" s="85" t="s">
        <v>2704</v>
      </c>
      <c r="B103" s="2362" t="s">
        <v>7712</v>
      </c>
      <c r="C103" s="9" t="s">
        <v>3451</v>
      </c>
      <c r="D103" s="78"/>
      <c r="E103" s="78"/>
      <c r="F103" s="79">
        <f t="shared" si="3"/>
        <v>0</v>
      </c>
      <c r="G103" s="80">
        <f t="shared" si="2"/>
        <v>0</v>
      </c>
      <c r="H103" s="81">
        <v>1.4473</v>
      </c>
      <c r="I103" s="2629" t="s">
        <v>1146</v>
      </c>
    </row>
    <row r="104" spans="1:9" ht="16.5">
      <c r="A104" s="85" t="s">
        <v>2705</v>
      </c>
      <c r="B104" s="2362" t="s">
        <v>7713</v>
      </c>
      <c r="C104" s="9" t="s">
        <v>3451</v>
      </c>
      <c r="D104" s="78"/>
      <c r="E104" s="78"/>
      <c r="F104" s="79">
        <f t="shared" si="3"/>
        <v>0</v>
      </c>
      <c r="G104" s="80">
        <f t="shared" si="2"/>
        <v>0</v>
      </c>
      <c r="H104" s="81">
        <v>0.48649999999999999</v>
      </c>
      <c r="I104" s="2629" t="s">
        <v>1146</v>
      </c>
    </row>
    <row r="105" spans="1:9" ht="16.5">
      <c r="A105" s="85" t="s">
        <v>2706</v>
      </c>
      <c r="B105" s="2362" t="s">
        <v>7714</v>
      </c>
      <c r="C105" s="9" t="s">
        <v>3451</v>
      </c>
      <c r="D105" s="78"/>
      <c r="E105" s="78"/>
      <c r="F105" s="79">
        <f t="shared" si="3"/>
        <v>0</v>
      </c>
      <c r="G105" s="80">
        <f t="shared" si="2"/>
        <v>0</v>
      </c>
      <c r="H105" s="81">
        <v>1.0926</v>
      </c>
      <c r="I105" s="2629" t="s">
        <v>1146</v>
      </c>
    </row>
    <row r="106" spans="1:9" ht="16.5">
      <c r="A106" s="85" t="s">
        <v>2707</v>
      </c>
      <c r="B106" s="2362" t="s">
        <v>7715</v>
      </c>
      <c r="C106" s="9" t="s">
        <v>3451</v>
      </c>
      <c r="D106" s="78"/>
      <c r="E106" s="78"/>
      <c r="F106" s="79">
        <f t="shared" si="3"/>
        <v>0</v>
      </c>
      <c r="G106" s="80">
        <f t="shared" si="2"/>
        <v>0</v>
      </c>
      <c r="H106" s="81">
        <v>0.39650000000000002</v>
      </c>
      <c r="I106" s="2629" t="s">
        <v>1146</v>
      </c>
    </row>
    <row r="107" spans="1:9" ht="16.5">
      <c r="A107" s="85" t="s">
        <v>2708</v>
      </c>
      <c r="B107" s="2362" t="s">
        <v>7716</v>
      </c>
      <c r="C107" s="9" t="s">
        <v>3451</v>
      </c>
      <c r="D107" s="78"/>
      <c r="E107" s="78"/>
      <c r="F107" s="79">
        <f t="shared" si="3"/>
        <v>0</v>
      </c>
      <c r="G107" s="80">
        <f t="shared" si="2"/>
        <v>0</v>
      </c>
      <c r="H107" s="81">
        <v>0.36</v>
      </c>
      <c r="I107" s="2629" t="s">
        <v>1146</v>
      </c>
    </row>
    <row r="108" spans="1:9" ht="16.5">
      <c r="A108" s="85" t="s">
        <v>2709</v>
      </c>
      <c r="B108" s="2362" t="s">
        <v>7717</v>
      </c>
      <c r="C108" s="9" t="s">
        <v>3451</v>
      </c>
      <c r="D108" s="78"/>
      <c r="E108" s="78"/>
      <c r="F108" s="79">
        <f t="shared" si="3"/>
        <v>0</v>
      </c>
      <c r="G108" s="80">
        <f t="shared" si="2"/>
        <v>0</v>
      </c>
      <c r="H108" s="81">
        <v>1.8082</v>
      </c>
      <c r="I108" s="2629" t="s">
        <v>1146</v>
      </c>
    </row>
    <row r="109" spans="1:9" ht="16.5">
      <c r="A109" s="85" t="s">
        <v>2710</v>
      </c>
      <c r="B109" s="2362" t="s">
        <v>7718</v>
      </c>
      <c r="C109" s="9" t="s">
        <v>3451</v>
      </c>
      <c r="D109" s="78"/>
      <c r="E109" s="78"/>
      <c r="F109" s="79">
        <f t="shared" si="3"/>
        <v>0</v>
      </c>
      <c r="G109" s="80">
        <f t="shared" si="2"/>
        <v>0</v>
      </c>
      <c r="H109" s="81">
        <v>0.63839999999999997</v>
      </c>
      <c r="I109" s="2629" t="s">
        <v>1146</v>
      </c>
    </row>
    <row r="110" spans="1:9" ht="16.5">
      <c r="A110" s="85" t="s">
        <v>2711</v>
      </c>
      <c r="B110" s="2362" t="s">
        <v>7719</v>
      </c>
      <c r="C110" s="9" t="s">
        <v>3451</v>
      </c>
      <c r="D110" s="78"/>
      <c r="E110" s="78"/>
      <c r="F110" s="79">
        <f t="shared" si="3"/>
        <v>0</v>
      </c>
      <c r="G110" s="80">
        <f t="shared" si="2"/>
        <v>0</v>
      </c>
      <c r="H110" s="81">
        <v>0.4919</v>
      </c>
      <c r="I110" s="2629" t="s">
        <v>1146</v>
      </c>
    </row>
    <row r="111" spans="1:9" ht="16.5">
      <c r="A111" s="85" t="s">
        <v>2712</v>
      </c>
      <c r="B111" s="2362" t="s">
        <v>7720</v>
      </c>
      <c r="C111" s="9" t="s">
        <v>3451</v>
      </c>
      <c r="D111" s="78"/>
      <c r="E111" s="78"/>
      <c r="F111" s="79">
        <f t="shared" si="3"/>
        <v>0</v>
      </c>
      <c r="G111" s="80">
        <f t="shared" si="2"/>
        <v>0</v>
      </c>
      <c r="H111" s="81">
        <v>0.85199999999999998</v>
      </c>
      <c r="I111" s="2629" t="s">
        <v>1146</v>
      </c>
    </row>
    <row r="112" spans="1:9" ht="16.5">
      <c r="A112" s="85" t="s">
        <v>2713</v>
      </c>
      <c r="B112" s="2362" t="s">
        <v>7721</v>
      </c>
      <c r="C112" s="9" t="s">
        <v>3451</v>
      </c>
      <c r="D112" s="78"/>
      <c r="E112" s="78"/>
      <c r="F112" s="79">
        <f t="shared" si="3"/>
        <v>0</v>
      </c>
      <c r="G112" s="80">
        <f t="shared" si="2"/>
        <v>0</v>
      </c>
      <c r="H112" s="81">
        <v>0.66110000000000002</v>
      </c>
      <c r="I112" s="2629" t="s">
        <v>1146</v>
      </c>
    </row>
    <row r="113" spans="1:9" ht="16.5">
      <c r="A113" s="85" t="s">
        <v>2714</v>
      </c>
      <c r="B113" s="2362" t="s">
        <v>7722</v>
      </c>
      <c r="C113" s="9" t="s">
        <v>3451</v>
      </c>
      <c r="D113" s="78"/>
      <c r="E113" s="78"/>
      <c r="F113" s="79">
        <f t="shared" si="3"/>
        <v>0</v>
      </c>
      <c r="G113" s="80">
        <f t="shared" si="2"/>
        <v>0</v>
      </c>
      <c r="H113" s="81">
        <v>7.3400000000000007E-2</v>
      </c>
      <c r="I113" s="2629" t="s">
        <v>1146</v>
      </c>
    </row>
    <row r="114" spans="1:9" ht="16.5">
      <c r="A114" s="85" t="s">
        <v>2715</v>
      </c>
      <c r="B114" s="2362" t="s">
        <v>7723</v>
      </c>
      <c r="C114" s="9" t="s">
        <v>3451</v>
      </c>
      <c r="D114" s="78"/>
      <c r="E114" s="78"/>
      <c r="F114" s="79">
        <f t="shared" si="3"/>
        <v>0</v>
      </c>
      <c r="G114" s="80">
        <f t="shared" si="2"/>
        <v>0</v>
      </c>
      <c r="H114" s="81">
        <v>1.0389999999999999</v>
      </c>
      <c r="I114" s="2629" t="s">
        <v>1146</v>
      </c>
    </row>
    <row r="115" spans="1:9" ht="16.5">
      <c r="A115" s="85" t="s">
        <v>2716</v>
      </c>
      <c r="B115" s="2362" t="s">
        <v>7724</v>
      </c>
      <c r="C115" s="9" t="s">
        <v>3451</v>
      </c>
      <c r="D115" s="78"/>
      <c r="E115" s="78"/>
      <c r="F115" s="79">
        <f t="shared" si="3"/>
        <v>0</v>
      </c>
      <c r="G115" s="80">
        <f t="shared" si="2"/>
        <v>0</v>
      </c>
      <c r="H115" s="81">
        <v>1.7175</v>
      </c>
      <c r="I115" s="2629" t="s">
        <v>1146</v>
      </c>
    </row>
    <row r="116" spans="1:9" ht="16.5">
      <c r="A116" s="85" t="s">
        <v>2717</v>
      </c>
      <c r="B116" s="2362" t="s">
        <v>7725</v>
      </c>
      <c r="C116" s="9" t="s">
        <v>3451</v>
      </c>
      <c r="D116" s="78"/>
      <c r="E116" s="78"/>
      <c r="F116" s="79">
        <f t="shared" si="3"/>
        <v>0</v>
      </c>
      <c r="G116" s="80">
        <f t="shared" si="2"/>
        <v>0</v>
      </c>
      <c r="H116" s="81">
        <v>0.35949999999999999</v>
      </c>
      <c r="I116" s="2629" t="s">
        <v>1146</v>
      </c>
    </row>
    <row r="117" spans="1:9" ht="16.5">
      <c r="A117" s="85" t="s">
        <v>2718</v>
      </c>
      <c r="B117" s="2362" t="s">
        <v>7726</v>
      </c>
      <c r="C117" s="9" t="s">
        <v>3451</v>
      </c>
      <c r="D117" s="78"/>
      <c r="E117" s="78"/>
      <c r="F117" s="79">
        <f t="shared" si="3"/>
        <v>0</v>
      </c>
      <c r="G117" s="80">
        <f t="shared" si="2"/>
        <v>0</v>
      </c>
      <c r="H117" s="81">
        <v>0.27529999999999999</v>
      </c>
      <c r="I117" s="2629" t="s">
        <v>1146</v>
      </c>
    </row>
    <row r="118" spans="1:9" ht="16.5">
      <c r="A118" s="85" t="s">
        <v>2719</v>
      </c>
      <c r="B118" s="2362" t="s">
        <v>7727</v>
      </c>
      <c r="C118" s="9" t="s">
        <v>3451</v>
      </c>
      <c r="D118" s="78"/>
      <c r="E118" s="78"/>
      <c r="F118" s="79">
        <f t="shared" si="3"/>
        <v>0</v>
      </c>
      <c r="G118" s="80">
        <f t="shared" si="2"/>
        <v>0</v>
      </c>
      <c r="H118" s="81">
        <v>1.1720999999999999</v>
      </c>
      <c r="I118" s="2629" t="s">
        <v>1146</v>
      </c>
    </row>
    <row r="119" spans="1:9" ht="16.5">
      <c r="A119" s="85" t="s">
        <v>2720</v>
      </c>
      <c r="B119" s="2362" t="s">
        <v>7728</v>
      </c>
      <c r="C119" s="9" t="s">
        <v>3451</v>
      </c>
      <c r="D119" s="78"/>
      <c r="E119" s="78"/>
      <c r="F119" s="79">
        <f t="shared" si="3"/>
        <v>0</v>
      </c>
      <c r="G119" s="80">
        <f t="shared" si="2"/>
        <v>0</v>
      </c>
      <c r="H119" s="81">
        <v>0.86680000000000001</v>
      </c>
      <c r="I119" s="2629" t="s">
        <v>1146</v>
      </c>
    </row>
    <row r="120" spans="1:9" ht="16.5">
      <c r="A120" s="85" t="s">
        <v>2721</v>
      </c>
      <c r="B120" s="2362" t="s">
        <v>7729</v>
      </c>
      <c r="C120" s="9" t="s">
        <v>3451</v>
      </c>
      <c r="D120" s="78"/>
      <c r="E120" s="78"/>
      <c r="F120" s="79">
        <f t="shared" si="3"/>
        <v>0</v>
      </c>
      <c r="G120" s="80">
        <f t="shared" si="2"/>
        <v>0</v>
      </c>
      <c r="H120" s="81">
        <v>0.67249999999999999</v>
      </c>
      <c r="I120" s="2629" t="s">
        <v>1146</v>
      </c>
    </row>
    <row r="121" spans="1:9" ht="16.5">
      <c r="A121" s="85" t="s">
        <v>2722</v>
      </c>
      <c r="B121" s="2362" t="s">
        <v>7730</v>
      </c>
      <c r="C121" s="9" t="s">
        <v>3451</v>
      </c>
      <c r="D121" s="78"/>
      <c r="E121" s="78"/>
      <c r="F121" s="79">
        <f t="shared" si="3"/>
        <v>0</v>
      </c>
      <c r="G121" s="80">
        <f t="shared" si="2"/>
        <v>0</v>
      </c>
      <c r="H121" s="81">
        <v>0.92079999999999995</v>
      </c>
      <c r="I121" s="2629" t="s">
        <v>1146</v>
      </c>
    </row>
    <row r="122" spans="1:9" ht="16.5">
      <c r="A122" s="85" t="s">
        <v>2723</v>
      </c>
      <c r="B122" s="2362" t="s">
        <v>7731</v>
      </c>
      <c r="C122" s="9" t="s">
        <v>3451</v>
      </c>
      <c r="D122" s="78"/>
      <c r="E122" s="78"/>
      <c r="F122" s="79">
        <f t="shared" si="3"/>
        <v>0</v>
      </c>
      <c r="G122" s="80">
        <f t="shared" si="2"/>
        <v>0</v>
      </c>
      <c r="H122" s="81">
        <v>1.2450000000000001</v>
      </c>
      <c r="I122" s="2629" t="s">
        <v>1146</v>
      </c>
    </row>
    <row r="123" spans="1:9" ht="16.5">
      <c r="A123" s="85" t="s">
        <v>2724</v>
      </c>
      <c r="B123" s="2362" t="s">
        <v>7732</v>
      </c>
      <c r="C123" s="9" t="s">
        <v>3451</v>
      </c>
      <c r="D123" s="78"/>
      <c r="E123" s="78"/>
      <c r="F123" s="79">
        <f t="shared" si="3"/>
        <v>0</v>
      </c>
      <c r="G123" s="80">
        <f t="shared" si="2"/>
        <v>0</v>
      </c>
      <c r="H123" s="81">
        <v>0.84460000000000002</v>
      </c>
      <c r="I123" s="2629" t="s">
        <v>1146</v>
      </c>
    </row>
    <row r="124" spans="1:9" ht="16.5">
      <c r="A124" s="85" t="s">
        <v>2725</v>
      </c>
      <c r="B124" s="2362" t="s">
        <v>7733</v>
      </c>
      <c r="C124" s="9" t="s">
        <v>3451</v>
      </c>
      <c r="D124" s="78"/>
      <c r="E124" s="78"/>
      <c r="F124" s="79">
        <f t="shared" si="3"/>
        <v>0</v>
      </c>
      <c r="G124" s="80">
        <f t="shared" si="2"/>
        <v>0</v>
      </c>
      <c r="H124" s="81">
        <v>1.0678000000000001</v>
      </c>
      <c r="I124" s="2629" t="s">
        <v>1146</v>
      </c>
    </row>
    <row r="125" spans="1:9" ht="16.5">
      <c r="A125" s="85" t="s">
        <v>2726</v>
      </c>
      <c r="B125" s="2362" t="s">
        <v>7734</v>
      </c>
      <c r="C125" s="9" t="s">
        <v>3451</v>
      </c>
      <c r="D125" s="78"/>
      <c r="E125" s="78"/>
      <c r="F125" s="79">
        <f t="shared" si="3"/>
        <v>0</v>
      </c>
      <c r="G125" s="80">
        <f t="shared" si="2"/>
        <v>0</v>
      </c>
      <c r="H125" s="81">
        <v>0.68600000000000005</v>
      </c>
      <c r="I125" s="2629" t="s">
        <v>1146</v>
      </c>
    </row>
    <row r="126" spans="1:9" ht="16.5">
      <c r="A126" s="85" t="s">
        <v>2727</v>
      </c>
      <c r="B126" s="2362" t="s">
        <v>7735</v>
      </c>
      <c r="C126" s="9" t="s">
        <v>3451</v>
      </c>
      <c r="D126" s="78"/>
      <c r="E126" s="78"/>
      <c r="F126" s="79">
        <f t="shared" si="3"/>
        <v>0</v>
      </c>
      <c r="G126" s="80">
        <f t="shared" si="2"/>
        <v>0</v>
      </c>
      <c r="H126" s="81">
        <v>0.94850000000000001</v>
      </c>
      <c r="I126" s="2629" t="s">
        <v>1146</v>
      </c>
    </row>
    <row r="127" spans="1:9" ht="16.5">
      <c r="A127" s="85" t="s">
        <v>2728</v>
      </c>
      <c r="B127" s="2362" t="s">
        <v>7736</v>
      </c>
      <c r="C127" s="9" t="s">
        <v>3451</v>
      </c>
      <c r="D127" s="78"/>
      <c r="E127" s="78"/>
      <c r="F127" s="79">
        <f t="shared" si="3"/>
        <v>0</v>
      </c>
      <c r="G127" s="80">
        <f t="shared" si="2"/>
        <v>0</v>
      </c>
      <c r="H127" s="81">
        <v>0.49859999999999999</v>
      </c>
      <c r="I127" s="2629" t="s">
        <v>1146</v>
      </c>
    </row>
    <row r="128" spans="1:9" ht="16.5">
      <c r="A128" s="85" t="s">
        <v>2729</v>
      </c>
      <c r="B128" s="2362" t="s">
        <v>7737</v>
      </c>
      <c r="C128" s="9" t="s">
        <v>3451</v>
      </c>
      <c r="D128" s="78"/>
      <c r="E128" s="78"/>
      <c r="F128" s="79">
        <f t="shared" si="3"/>
        <v>0</v>
      </c>
      <c r="G128" s="80">
        <f t="shared" si="2"/>
        <v>0</v>
      </c>
      <c r="H128" s="81">
        <v>0.46860000000000002</v>
      </c>
      <c r="I128" s="2629" t="s">
        <v>1146</v>
      </c>
    </row>
    <row r="129" spans="1:9" ht="16.5">
      <c r="A129" s="85" t="s">
        <v>2730</v>
      </c>
      <c r="B129" s="2362" t="s">
        <v>7738</v>
      </c>
      <c r="C129" s="9" t="s">
        <v>3451</v>
      </c>
      <c r="D129" s="78"/>
      <c r="E129" s="78"/>
      <c r="F129" s="79">
        <f t="shared" si="3"/>
        <v>0</v>
      </c>
      <c r="G129" s="80">
        <f t="shared" si="2"/>
        <v>0</v>
      </c>
      <c r="H129" s="81">
        <v>0.44</v>
      </c>
      <c r="I129" s="2629" t="s">
        <v>1146</v>
      </c>
    </row>
    <row r="130" spans="1:9" ht="16.5">
      <c r="A130" s="85" t="s">
        <v>2731</v>
      </c>
      <c r="B130" s="2362" t="s">
        <v>7739</v>
      </c>
      <c r="C130" s="9" t="s">
        <v>3451</v>
      </c>
      <c r="D130" s="78"/>
      <c r="E130" s="78"/>
      <c r="F130" s="79">
        <f t="shared" si="3"/>
        <v>0</v>
      </c>
      <c r="G130" s="80">
        <f t="shared" si="2"/>
        <v>0</v>
      </c>
      <c r="H130" s="81">
        <v>0.88919999999999999</v>
      </c>
      <c r="I130" s="2629" t="s">
        <v>1146</v>
      </c>
    </row>
    <row r="131" spans="1:9" ht="16.5">
      <c r="A131" s="85" t="s">
        <v>2732</v>
      </c>
      <c r="B131" s="2362" t="s">
        <v>7740</v>
      </c>
      <c r="C131" s="9" t="s">
        <v>3451</v>
      </c>
      <c r="D131" s="78"/>
      <c r="E131" s="78"/>
      <c r="F131" s="79">
        <f t="shared" si="3"/>
        <v>0</v>
      </c>
      <c r="G131" s="80">
        <f t="shared" si="2"/>
        <v>0</v>
      </c>
      <c r="H131" s="81">
        <v>0.17799999999999999</v>
      </c>
      <c r="I131" s="2629" t="s">
        <v>1146</v>
      </c>
    </row>
    <row r="132" spans="1:9" ht="16.5">
      <c r="A132" s="85" t="s">
        <v>2733</v>
      </c>
      <c r="B132" s="2362" t="s">
        <v>7741</v>
      </c>
      <c r="C132" s="9" t="s">
        <v>3451</v>
      </c>
      <c r="D132" s="78"/>
      <c r="E132" s="78"/>
      <c r="F132" s="79">
        <f t="shared" si="3"/>
        <v>0</v>
      </c>
      <c r="G132" s="80">
        <f t="shared" ref="G132:G195" si="4">IF($F$836=0,0,F132/$F$836)</f>
        <v>0</v>
      </c>
      <c r="H132" s="81">
        <v>1.6417999999999999</v>
      </c>
      <c r="I132" s="2629" t="s">
        <v>1146</v>
      </c>
    </row>
    <row r="133" spans="1:9" ht="16.5">
      <c r="A133" s="85" t="s">
        <v>2734</v>
      </c>
      <c r="B133" s="2362" t="s">
        <v>7742</v>
      </c>
      <c r="C133" s="9" t="s">
        <v>3451</v>
      </c>
      <c r="D133" s="78"/>
      <c r="E133" s="78"/>
      <c r="F133" s="79">
        <f t="shared" ref="F133:F196" si="5">D133*E133</f>
        <v>0</v>
      </c>
      <c r="G133" s="80">
        <f t="shared" si="4"/>
        <v>0</v>
      </c>
      <c r="H133" s="81">
        <v>0.82589999999999997</v>
      </c>
      <c r="I133" s="2629" t="s">
        <v>1146</v>
      </c>
    </row>
    <row r="134" spans="1:9" ht="16.5">
      <c r="A134" s="85" t="s">
        <v>2735</v>
      </c>
      <c r="B134" s="2362" t="s">
        <v>7743</v>
      </c>
      <c r="C134" s="9" t="s">
        <v>3451</v>
      </c>
      <c r="D134" s="78"/>
      <c r="E134" s="78"/>
      <c r="F134" s="79">
        <f t="shared" si="5"/>
        <v>0</v>
      </c>
      <c r="G134" s="80">
        <f t="shared" si="4"/>
        <v>0</v>
      </c>
      <c r="H134" s="81">
        <v>0.76949999999999996</v>
      </c>
      <c r="I134" s="2629" t="s">
        <v>1146</v>
      </c>
    </row>
    <row r="135" spans="1:9" ht="16.5">
      <c r="A135" s="85" t="s">
        <v>2736</v>
      </c>
      <c r="B135" s="2362" t="s">
        <v>7744</v>
      </c>
      <c r="C135" s="9" t="s">
        <v>3451</v>
      </c>
      <c r="D135" s="78"/>
      <c r="E135" s="78"/>
      <c r="F135" s="79">
        <f t="shared" si="5"/>
        <v>0</v>
      </c>
      <c r="G135" s="80">
        <f t="shared" si="4"/>
        <v>0</v>
      </c>
      <c r="H135" s="81">
        <v>0.44409999999999999</v>
      </c>
      <c r="I135" s="2629" t="s">
        <v>1146</v>
      </c>
    </row>
    <row r="136" spans="1:9" ht="16.5">
      <c r="A136" s="85" t="s">
        <v>2737</v>
      </c>
      <c r="B136" s="2362" t="s">
        <v>7745</v>
      </c>
      <c r="C136" s="9" t="s">
        <v>3451</v>
      </c>
      <c r="D136" s="78"/>
      <c r="E136" s="78"/>
      <c r="F136" s="79">
        <f t="shared" si="5"/>
        <v>0</v>
      </c>
      <c r="G136" s="80">
        <f t="shared" si="4"/>
        <v>0</v>
      </c>
      <c r="H136" s="81">
        <v>0.91539999999999999</v>
      </c>
      <c r="I136" s="2629" t="s">
        <v>1146</v>
      </c>
    </row>
    <row r="137" spans="1:9" ht="16.5">
      <c r="A137" s="85" t="s">
        <v>2738</v>
      </c>
      <c r="B137" s="2362" t="s">
        <v>7746</v>
      </c>
      <c r="C137" s="9" t="s">
        <v>3451</v>
      </c>
      <c r="D137" s="78"/>
      <c r="E137" s="78"/>
      <c r="F137" s="79">
        <f t="shared" si="5"/>
        <v>0</v>
      </c>
      <c r="G137" s="80">
        <f t="shared" si="4"/>
        <v>0</v>
      </c>
      <c r="H137" s="81">
        <v>0.30309999999999998</v>
      </c>
      <c r="I137" s="2629" t="s">
        <v>1146</v>
      </c>
    </row>
    <row r="138" spans="1:9" ht="16.5">
      <c r="A138" s="85" t="s">
        <v>2739</v>
      </c>
      <c r="B138" s="2362" t="s">
        <v>7747</v>
      </c>
      <c r="C138" s="9" t="s">
        <v>3451</v>
      </c>
      <c r="D138" s="78"/>
      <c r="E138" s="78"/>
      <c r="F138" s="79">
        <f t="shared" si="5"/>
        <v>0</v>
      </c>
      <c r="G138" s="80">
        <f t="shared" si="4"/>
        <v>0</v>
      </c>
      <c r="H138" s="81">
        <v>1.5993999999999999</v>
      </c>
      <c r="I138" s="2629" t="s">
        <v>1146</v>
      </c>
    </row>
    <row r="139" spans="1:9" ht="16.5">
      <c r="A139" s="85" t="s">
        <v>2740</v>
      </c>
      <c r="B139" s="2362" t="s">
        <v>7748</v>
      </c>
      <c r="C139" s="9" t="s">
        <v>3451</v>
      </c>
      <c r="D139" s="78"/>
      <c r="E139" s="78"/>
      <c r="F139" s="79">
        <f t="shared" si="5"/>
        <v>0</v>
      </c>
      <c r="G139" s="80">
        <f t="shared" si="4"/>
        <v>0</v>
      </c>
      <c r="H139" s="81">
        <v>0.39179999999999998</v>
      </c>
      <c r="I139" s="2629" t="s">
        <v>1146</v>
      </c>
    </row>
    <row r="140" spans="1:9" ht="16.5">
      <c r="A140" s="85" t="s">
        <v>2741</v>
      </c>
      <c r="B140" s="2362" t="s">
        <v>7749</v>
      </c>
      <c r="C140" s="9" t="s">
        <v>3451</v>
      </c>
      <c r="D140" s="78"/>
      <c r="E140" s="78"/>
      <c r="F140" s="79">
        <f t="shared" si="5"/>
        <v>0</v>
      </c>
      <c r="G140" s="80">
        <f t="shared" si="4"/>
        <v>0</v>
      </c>
      <c r="H140" s="81">
        <v>0.32919999999999999</v>
      </c>
      <c r="I140" s="2629" t="s">
        <v>1146</v>
      </c>
    </row>
    <row r="141" spans="1:9" ht="16.5">
      <c r="A141" s="85" t="s">
        <v>2742</v>
      </c>
      <c r="B141" s="2362" t="s">
        <v>7750</v>
      </c>
      <c r="C141" s="9" t="s">
        <v>3451</v>
      </c>
      <c r="D141" s="78"/>
      <c r="E141" s="78"/>
      <c r="F141" s="79">
        <f t="shared" si="5"/>
        <v>0</v>
      </c>
      <c r="G141" s="80">
        <f t="shared" si="4"/>
        <v>0</v>
      </c>
      <c r="H141" s="81">
        <v>1.2136</v>
      </c>
      <c r="I141" s="2629" t="s">
        <v>1146</v>
      </c>
    </row>
    <row r="142" spans="1:9" ht="16.5">
      <c r="A142" s="85" t="s">
        <v>2743</v>
      </c>
      <c r="B142" s="2362" t="s">
        <v>7751</v>
      </c>
      <c r="C142" s="9" t="s">
        <v>3451</v>
      </c>
      <c r="D142" s="78"/>
      <c r="E142" s="78"/>
      <c r="F142" s="79">
        <f t="shared" si="5"/>
        <v>0</v>
      </c>
      <c r="G142" s="80">
        <f t="shared" si="4"/>
        <v>0</v>
      </c>
      <c r="H142" s="81">
        <v>1.1694</v>
      </c>
      <c r="I142" s="2629" t="s">
        <v>1146</v>
      </c>
    </row>
    <row r="143" spans="1:9" ht="16.5">
      <c r="A143" s="85" t="s">
        <v>2744</v>
      </c>
      <c r="B143" s="2362" t="s">
        <v>7752</v>
      </c>
      <c r="C143" s="9" t="s">
        <v>3451</v>
      </c>
      <c r="D143" s="78"/>
      <c r="E143" s="78"/>
      <c r="F143" s="79">
        <f t="shared" si="5"/>
        <v>0</v>
      </c>
      <c r="G143" s="80">
        <f t="shared" si="4"/>
        <v>0</v>
      </c>
      <c r="H143" s="81">
        <v>0.69140000000000001</v>
      </c>
      <c r="I143" s="2629" t="s">
        <v>1146</v>
      </c>
    </row>
    <row r="144" spans="1:9" ht="16.5">
      <c r="A144" s="85" t="s">
        <v>2745</v>
      </c>
      <c r="B144" s="2362" t="s">
        <v>7753</v>
      </c>
      <c r="C144" s="9" t="s">
        <v>3451</v>
      </c>
      <c r="D144" s="78"/>
      <c r="E144" s="78"/>
      <c r="F144" s="79">
        <f t="shared" si="5"/>
        <v>0</v>
      </c>
      <c r="G144" s="80">
        <f t="shared" si="4"/>
        <v>0</v>
      </c>
      <c r="H144" s="81">
        <v>1.6518999999999999</v>
      </c>
      <c r="I144" s="2629" t="s">
        <v>1146</v>
      </c>
    </row>
    <row r="145" spans="1:9" ht="16.5">
      <c r="A145" s="85" t="s">
        <v>2746</v>
      </c>
      <c r="B145" s="2362" t="s">
        <v>7754</v>
      </c>
      <c r="C145" s="9" t="s">
        <v>3451</v>
      </c>
      <c r="D145" s="78"/>
      <c r="E145" s="78"/>
      <c r="F145" s="79">
        <f t="shared" si="5"/>
        <v>0</v>
      </c>
      <c r="G145" s="80">
        <f t="shared" si="4"/>
        <v>0</v>
      </c>
      <c r="H145" s="81">
        <v>1.4001999999999999</v>
      </c>
      <c r="I145" s="2629" t="s">
        <v>1146</v>
      </c>
    </row>
    <row r="146" spans="1:9" ht="16.5">
      <c r="A146" s="85" t="s">
        <v>2747</v>
      </c>
      <c r="B146" s="2362" t="s">
        <v>7755</v>
      </c>
      <c r="C146" s="9" t="s">
        <v>3451</v>
      </c>
      <c r="D146" s="78"/>
      <c r="E146" s="78"/>
      <c r="F146" s="79">
        <f t="shared" si="5"/>
        <v>0</v>
      </c>
      <c r="G146" s="80">
        <f t="shared" si="4"/>
        <v>0</v>
      </c>
      <c r="H146" s="81">
        <v>0.1923</v>
      </c>
      <c r="I146" s="2619" t="s">
        <v>1146</v>
      </c>
    </row>
    <row r="147" spans="1:9" ht="16.5">
      <c r="A147" s="85" t="s">
        <v>2748</v>
      </c>
      <c r="B147" s="2362" t="s">
        <v>7756</v>
      </c>
      <c r="C147" s="9" t="s">
        <v>3451</v>
      </c>
      <c r="D147" s="78"/>
      <c r="E147" s="78"/>
      <c r="F147" s="79">
        <f t="shared" si="5"/>
        <v>0</v>
      </c>
      <c r="G147" s="80">
        <f t="shared" si="4"/>
        <v>0</v>
      </c>
      <c r="H147" s="81">
        <v>0.78</v>
      </c>
      <c r="I147" s="2629" t="s">
        <v>1146</v>
      </c>
    </row>
    <row r="148" spans="1:9" ht="16.5">
      <c r="A148" s="85" t="s">
        <v>5041</v>
      </c>
      <c r="B148" s="2362" t="s">
        <v>7757</v>
      </c>
      <c r="C148" s="9" t="s">
        <v>3451</v>
      </c>
      <c r="D148" s="78"/>
      <c r="E148" s="78"/>
      <c r="F148" s="79">
        <f t="shared" si="5"/>
        <v>0</v>
      </c>
      <c r="G148" s="80">
        <f t="shared" si="4"/>
        <v>0</v>
      </c>
      <c r="H148" s="81">
        <v>0.4234</v>
      </c>
      <c r="I148" s="2629" t="s">
        <v>1146</v>
      </c>
    </row>
    <row r="149" spans="1:9" ht="16.5">
      <c r="A149" s="85" t="s">
        <v>2749</v>
      </c>
      <c r="B149" s="2362" t="s">
        <v>7758</v>
      </c>
      <c r="C149" s="9" t="s">
        <v>3451</v>
      </c>
      <c r="D149" s="78"/>
      <c r="E149" s="78"/>
      <c r="F149" s="79">
        <f t="shared" si="5"/>
        <v>0</v>
      </c>
      <c r="G149" s="80">
        <f t="shared" si="4"/>
        <v>0</v>
      </c>
      <c r="H149" s="81">
        <v>0.47499999999999998</v>
      </c>
      <c r="I149" s="2629" t="s">
        <v>1146</v>
      </c>
    </row>
    <row r="150" spans="1:9" ht="16.5">
      <c r="A150" s="85" t="s">
        <v>3422</v>
      </c>
      <c r="B150" s="2362" t="s">
        <v>7759</v>
      </c>
      <c r="C150" s="9" t="s">
        <v>3451</v>
      </c>
      <c r="D150" s="78"/>
      <c r="E150" s="78"/>
      <c r="F150" s="79">
        <f t="shared" si="5"/>
        <v>0</v>
      </c>
      <c r="G150" s="80">
        <f t="shared" si="4"/>
        <v>0</v>
      </c>
      <c r="H150" s="81">
        <v>1.1687000000000001</v>
      </c>
      <c r="I150" s="2629" t="s">
        <v>1146</v>
      </c>
    </row>
    <row r="151" spans="1:9" ht="16.5">
      <c r="A151" s="85" t="s">
        <v>2750</v>
      </c>
      <c r="B151" s="2362" t="s">
        <v>7760</v>
      </c>
      <c r="C151" s="9" t="s">
        <v>3451</v>
      </c>
      <c r="D151" s="78"/>
      <c r="E151" s="78"/>
      <c r="F151" s="79">
        <f t="shared" si="5"/>
        <v>0</v>
      </c>
      <c r="G151" s="80">
        <f t="shared" si="4"/>
        <v>0</v>
      </c>
      <c r="H151" s="81">
        <v>0.38829999999999998</v>
      </c>
      <c r="I151" s="2629" t="s">
        <v>1146</v>
      </c>
    </row>
    <row r="152" spans="1:9" ht="16.5">
      <c r="A152" s="85" t="s">
        <v>2751</v>
      </c>
      <c r="B152" s="2362" t="s">
        <v>7761</v>
      </c>
      <c r="C152" s="9" t="s">
        <v>3451</v>
      </c>
      <c r="D152" s="78"/>
      <c r="E152" s="78"/>
      <c r="F152" s="79">
        <f t="shared" si="5"/>
        <v>0</v>
      </c>
      <c r="G152" s="80">
        <f t="shared" si="4"/>
        <v>0</v>
      </c>
      <c r="H152" s="81">
        <v>1.8957999999999999</v>
      </c>
      <c r="I152" s="2629" t="s">
        <v>1146</v>
      </c>
    </row>
    <row r="153" spans="1:9" ht="16.5">
      <c r="A153" s="85" t="s">
        <v>2752</v>
      </c>
      <c r="B153" s="2362" t="s">
        <v>7762</v>
      </c>
      <c r="C153" s="9" t="s">
        <v>3451</v>
      </c>
      <c r="D153" s="78"/>
      <c r="E153" s="78"/>
      <c r="F153" s="79">
        <f t="shared" si="5"/>
        <v>0</v>
      </c>
      <c r="G153" s="80">
        <f t="shared" si="4"/>
        <v>0</v>
      </c>
      <c r="H153" s="81">
        <v>1.8318000000000001</v>
      </c>
      <c r="I153" s="2629" t="s">
        <v>1146</v>
      </c>
    </row>
    <row r="154" spans="1:9" ht="16.5">
      <c r="A154" s="85" t="s">
        <v>2753</v>
      </c>
      <c r="B154" s="2362" t="s">
        <v>7763</v>
      </c>
      <c r="C154" s="9" t="s">
        <v>3451</v>
      </c>
      <c r="D154" s="78"/>
      <c r="E154" s="78"/>
      <c r="F154" s="79">
        <f t="shared" si="5"/>
        <v>0</v>
      </c>
      <c r="G154" s="80">
        <f t="shared" si="4"/>
        <v>0</v>
      </c>
      <c r="H154" s="81">
        <v>1.0707</v>
      </c>
      <c r="I154" s="2629" t="s">
        <v>1146</v>
      </c>
    </row>
    <row r="155" spans="1:9" ht="16.5">
      <c r="A155" s="85" t="s">
        <v>2754</v>
      </c>
      <c r="B155" s="2362" t="s">
        <v>7764</v>
      </c>
      <c r="C155" s="9" t="s">
        <v>3451</v>
      </c>
      <c r="D155" s="78"/>
      <c r="E155" s="78"/>
      <c r="F155" s="79">
        <f t="shared" si="5"/>
        <v>0</v>
      </c>
      <c r="G155" s="80">
        <f t="shared" si="4"/>
        <v>0</v>
      </c>
      <c r="H155" s="81">
        <v>0.44190000000000002</v>
      </c>
      <c r="I155" s="2629" t="s">
        <v>1146</v>
      </c>
    </row>
    <row r="156" spans="1:9" ht="16.5">
      <c r="A156" s="85" t="s">
        <v>2755</v>
      </c>
      <c r="B156" s="2362" t="s">
        <v>7765</v>
      </c>
      <c r="C156" s="9" t="s">
        <v>3451</v>
      </c>
      <c r="D156" s="78"/>
      <c r="E156" s="78"/>
      <c r="F156" s="79">
        <f t="shared" si="5"/>
        <v>0</v>
      </c>
      <c r="G156" s="80">
        <f t="shared" si="4"/>
        <v>0</v>
      </c>
      <c r="H156" s="81">
        <v>1.3668</v>
      </c>
      <c r="I156" s="2629" t="s">
        <v>1146</v>
      </c>
    </row>
    <row r="157" spans="1:9" ht="16.5">
      <c r="A157" s="85" t="s">
        <v>2756</v>
      </c>
      <c r="B157" s="2362" t="s">
        <v>7766</v>
      </c>
      <c r="C157" s="9" t="s">
        <v>3451</v>
      </c>
      <c r="D157" s="78"/>
      <c r="E157" s="78"/>
      <c r="F157" s="79">
        <f t="shared" si="5"/>
        <v>0</v>
      </c>
      <c r="G157" s="80">
        <f t="shared" si="4"/>
        <v>0</v>
      </c>
      <c r="H157" s="81">
        <v>0.25319999999999998</v>
      </c>
      <c r="I157" s="2629" t="s">
        <v>1146</v>
      </c>
    </row>
    <row r="158" spans="1:9" ht="16.5">
      <c r="A158" s="85" t="s">
        <v>2757</v>
      </c>
      <c r="B158" s="2362" t="s">
        <v>7767</v>
      </c>
      <c r="C158" s="9" t="s">
        <v>3451</v>
      </c>
      <c r="D158" s="78"/>
      <c r="E158" s="78"/>
      <c r="F158" s="79">
        <f t="shared" si="5"/>
        <v>0</v>
      </c>
      <c r="G158" s="80">
        <f t="shared" si="4"/>
        <v>0</v>
      </c>
      <c r="H158" s="81">
        <v>0.17100000000000001</v>
      </c>
      <c r="I158" s="2629" t="s">
        <v>1146</v>
      </c>
    </row>
    <row r="159" spans="1:9" ht="16.5">
      <c r="A159" s="85" t="s">
        <v>2758</v>
      </c>
      <c r="B159" s="2362" t="s">
        <v>7768</v>
      </c>
      <c r="C159" s="9" t="s">
        <v>3451</v>
      </c>
      <c r="D159" s="78"/>
      <c r="E159" s="78"/>
      <c r="F159" s="79">
        <f t="shared" si="5"/>
        <v>0</v>
      </c>
      <c r="G159" s="80">
        <f t="shared" si="4"/>
        <v>0</v>
      </c>
      <c r="H159" s="81">
        <v>0.72450000000000003</v>
      </c>
      <c r="I159" s="2629" t="s">
        <v>1146</v>
      </c>
    </row>
    <row r="160" spans="1:9" ht="16.5">
      <c r="A160" s="85" t="s">
        <v>2759</v>
      </c>
      <c r="B160" s="2362" t="s">
        <v>7769</v>
      </c>
      <c r="C160" s="9" t="s">
        <v>3451</v>
      </c>
      <c r="D160" s="78"/>
      <c r="E160" s="78"/>
      <c r="F160" s="79">
        <f t="shared" si="5"/>
        <v>0</v>
      </c>
      <c r="G160" s="80">
        <f t="shared" si="4"/>
        <v>0</v>
      </c>
      <c r="H160" s="81">
        <v>0.71930000000000005</v>
      </c>
      <c r="I160" s="2629" t="s">
        <v>1146</v>
      </c>
    </row>
    <row r="161" spans="1:9" ht="16.5">
      <c r="A161" s="85" t="s">
        <v>2760</v>
      </c>
      <c r="B161" s="2362" t="s">
        <v>7770</v>
      </c>
      <c r="C161" s="9" t="s">
        <v>3451</v>
      </c>
      <c r="D161" s="78"/>
      <c r="E161" s="78"/>
      <c r="F161" s="79">
        <f t="shared" si="5"/>
        <v>0</v>
      </c>
      <c r="G161" s="80">
        <f t="shared" si="4"/>
        <v>0</v>
      </c>
      <c r="H161" s="81">
        <v>0.1191</v>
      </c>
      <c r="I161" s="2629" t="s">
        <v>1146</v>
      </c>
    </row>
    <row r="162" spans="1:9" ht="16.5">
      <c r="A162" s="85" t="s">
        <v>5042</v>
      </c>
      <c r="B162" s="2362" t="s">
        <v>7771</v>
      </c>
      <c r="C162" s="9" t="s">
        <v>3451</v>
      </c>
      <c r="D162" s="78"/>
      <c r="E162" s="78"/>
      <c r="F162" s="79">
        <f t="shared" si="5"/>
        <v>0</v>
      </c>
      <c r="G162" s="80">
        <f t="shared" si="4"/>
        <v>0</v>
      </c>
      <c r="H162" s="81">
        <v>0.61229999999999996</v>
      </c>
      <c r="I162" s="2629" t="s">
        <v>1146</v>
      </c>
    </row>
    <row r="163" spans="1:9" ht="16.5">
      <c r="A163" s="85" t="s">
        <v>2761</v>
      </c>
      <c r="B163" s="2362" t="s">
        <v>7772</v>
      </c>
      <c r="C163" s="9" t="s">
        <v>3451</v>
      </c>
      <c r="D163" s="78"/>
      <c r="E163" s="78"/>
      <c r="F163" s="79">
        <f t="shared" si="5"/>
        <v>0</v>
      </c>
      <c r="G163" s="80">
        <f t="shared" si="4"/>
        <v>0</v>
      </c>
      <c r="H163" s="81">
        <v>0.6744</v>
      </c>
      <c r="I163" s="2629" t="s">
        <v>1146</v>
      </c>
    </row>
    <row r="164" spans="1:9" ht="16.5">
      <c r="A164" s="85" t="s">
        <v>2762</v>
      </c>
      <c r="B164" s="2362" t="s">
        <v>7773</v>
      </c>
      <c r="C164" s="9" t="s">
        <v>3451</v>
      </c>
      <c r="D164" s="78"/>
      <c r="E164" s="78"/>
      <c r="F164" s="79">
        <f t="shared" si="5"/>
        <v>0</v>
      </c>
      <c r="G164" s="80">
        <f t="shared" si="4"/>
        <v>0</v>
      </c>
      <c r="H164" s="81">
        <v>1.3512999999999999</v>
      </c>
      <c r="I164" s="2629" t="s">
        <v>1146</v>
      </c>
    </row>
    <row r="165" spans="1:9" ht="16.5">
      <c r="A165" s="85" t="s">
        <v>2763</v>
      </c>
      <c r="B165" s="2362" t="s">
        <v>7774</v>
      </c>
      <c r="C165" s="9" t="s">
        <v>3451</v>
      </c>
      <c r="D165" s="78"/>
      <c r="E165" s="78"/>
      <c r="F165" s="79">
        <f t="shared" si="5"/>
        <v>0</v>
      </c>
      <c r="G165" s="80">
        <f t="shared" si="4"/>
        <v>0</v>
      </c>
      <c r="H165" s="81">
        <v>1.4535</v>
      </c>
      <c r="I165" s="2629" t="s">
        <v>1146</v>
      </c>
    </row>
    <row r="166" spans="1:9" ht="16.5">
      <c r="A166" s="85" t="s">
        <v>2764</v>
      </c>
      <c r="B166" s="2362" t="s">
        <v>7775</v>
      </c>
      <c r="C166" s="9" t="s">
        <v>3451</v>
      </c>
      <c r="D166" s="78"/>
      <c r="E166" s="78"/>
      <c r="F166" s="79">
        <f t="shared" si="5"/>
        <v>0</v>
      </c>
      <c r="G166" s="80">
        <f t="shared" si="4"/>
        <v>0</v>
      </c>
      <c r="H166" s="81">
        <v>0.67669999999999997</v>
      </c>
      <c r="I166" s="2629" t="s">
        <v>1146</v>
      </c>
    </row>
    <row r="167" spans="1:9" ht="16.5">
      <c r="A167" s="85" t="s">
        <v>2765</v>
      </c>
      <c r="B167" s="2362" t="s">
        <v>7776</v>
      </c>
      <c r="C167" s="9" t="s">
        <v>3451</v>
      </c>
      <c r="D167" s="78"/>
      <c r="E167" s="78"/>
      <c r="F167" s="79">
        <f t="shared" si="5"/>
        <v>0</v>
      </c>
      <c r="G167" s="80">
        <f t="shared" si="4"/>
        <v>0</v>
      </c>
      <c r="H167" s="81">
        <v>0.63529999999999998</v>
      </c>
      <c r="I167" s="2629" t="s">
        <v>1146</v>
      </c>
    </row>
    <row r="168" spans="1:9" ht="16.5">
      <c r="A168" s="85" t="s">
        <v>2766</v>
      </c>
      <c r="B168" s="2362" t="s">
        <v>7777</v>
      </c>
      <c r="C168" s="9" t="s">
        <v>3451</v>
      </c>
      <c r="D168" s="78"/>
      <c r="E168" s="78"/>
      <c r="F168" s="79">
        <f t="shared" si="5"/>
        <v>0</v>
      </c>
      <c r="G168" s="80">
        <f t="shared" si="4"/>
        <v>0</v>
      </c>
      <c r="H168" s="81">
        <v>0.42220000000000002</v>
      </c>
      <c r="I168" s="2629" t="s">
        <v>1146</v>
      </c>
    </row>
    <row r="169" spans="1:9" ht="16.5">
      <c r="A169" s="85" t="s">
        <v>2767</v>
      </c>
      <c r="B169" s="2362" t="s">
        <v>7778</v>
      </c>
      <c r="C169" s="9" t="s">
        <v>3451</v>
      </c>
      <c r="D169" s="78"/>
      <c r="E169" s="78"/>
      <c r="F169" s="79">
        <f t="shared" si="5"/>
        <v>0</v>
      </c>
      <c r="G169" s="80">
        <f t="shared" si="4"/>
        <v>0</v>
      </c>
      <c r="H169" s="81">
        <v>0.7641</v>
      </c>
      <c r="I169" s="2629" t="s">
        <v>1146</v>
      </c>
    </row>
    <row r="170" spans="1:9" ht="16.5">
      <c r="A170" s="85" t="s">
        <v>2768</v>
      </c>
      <c r="B170" s="2362" t="s">
        <v>7779</v>
      </c>
      <c r="C170" s="9" t="s">
        <v>3451</v>
      </c>
      <c r="D170" s="78"/>
      <c r="E170" s="78"/>
      <c r="F170" s="79">
        <f t="shared" si="5"/>
        <v>0</v>
      </c>
      <c r="G170" s="80">
        <f t="shared" si="4"/>
        <v>0</v>
      </c>
      <c r="H170" s="81">
        <v>1.3935</v>
      </c>
      <c r="I170" s="2629" t="s">
        <v>1146</v>
      </c>
    </row>
    <row r="171" spans="1:9" ht="16.5">
      <c r="A171" s="85" t="s">
        <v>2769</v>
      </c>
      <c r="B171" s="2362" t="s">
        <v>7780</v>
      </c>
      <c r="C171" s="9" t="s">
        <v>3451</v>
      </c>
      <c r="D171" s="78"/>
      <c r="E171" s="78"/>
      <c r="F171" s="79">
        <f t="shared" si="5"/>
        <v>0</v>
      </c>
      <c r="G171" s="80">
        <f t="shared" si="4"/>
        <v>0</v>
      </c>
      <c r="H171" s="81">
        <v>1.7264999999999999</v>
      </c>
      <c r="I171" s="2629" t="s">
        <v>1146</v>
      </c>
    </row>
    <row r="172" spans="1:9" ht="16.5">
      <c r="A172" s="85" t="s">
        <v>2770</v>
      </c>
      <c r="B172" s="2362" t="s">
        <v>7781</v>
      </c>
      <c r="C172" s="9" t="s">
        <v>3451</v>
      </c>
      <c r="D172" s="78"/>
      <c r="E172" s="78"/>
      <c r="F172" s="79">
        <f t="shared" si="5"/>
        <v>0</v>
      </c>
      <c r="G172" s="80">
        <f t="shared" si="4"/>
        <v>0</v>
      </c>
      <c r="H172" s="81">
        <v>0.79530000000000001</v>
      </c>
      <c r="I172" s="2629" t="s">
        <v>1146</v>
      </c>
    </row>
    <row r="173" spans="1:9" ht="16.5">
      <c r="A173" s="85" t="s">
        <v>2771</v>
      </c>
      <c r="B173" s="2362" t="s">
        <v>7782</v>
      </c>
      <c r="C173" s="9" t="s">
        <v>3451</v>
      </c>
      <c r="D173" s="78"/>
      <c r="E173" s="78"/>
      <c r="F173" s="79">
        <f t="shared" si="5"/>
        <v>0</v>
      </c>
      <c r="G173" s="80">
        <f t="shared" si="4"/>
        <v>0</v>
      </c>
      <c r="H173" s="81">
        <v>0.33900000000000002</v>
      </c>
      <c r="I173" s="2629" t="s">
        <v>1146</v>
      </c>
    </row>
    <row r="174" spans="1:9" ht="16.5">
      <c r="A174" s="85" t="s">
        <v>2772</v>
      </c>
      <c r="B174" s="2362" t="s">
        <v>7783</v>
      </c>
      <c r="C174" s="9" t="s">
        <v>3451</v>
      </c>
      <c r="D174" s="78"/>
      <c r="E174" s="78"/>
      <c r="F174" s="79">
        <f t="shared" si="5"/>
        <v>0</v>
      </c>
      <c r="G174" s="80">
        <f t="shared" si="4"/>
        <v>0</v>
      </c>
      <c r="H174" s="81">
        <v>0.66110000000000002</v>
      </c>
      <c r="I174" s="2629" t="s">
        <v>1146</v>
      </c>
    </row>
    <row r="175" spans="1:9" ht="16.5">
      <c r="A175" s="85" t="s">
        <v>2773</v>
      </c>
      <c r="B175" s="2362" t="s">
        <v>7784</v>
      </c>
      <c r="C175" s="9" t="s">
        <v>3451</v>
      </c>
      <c r="D175" s="78"/>
      <c r="E175" s="78"/>
      <c r="F175" s="79">
        <f t="shared" si="5"/>
        <v>0</v>
      </c>
      <c r="G175" s="80">
        <f t="shared" si="4"/>
        <v>0</v>
      </c>
      <c r="H175" s="81">
        <v>1.0452999999999999</v>
      </c>
      <c r="I175" s="2629" t="s">
        <v>1146</v>
      </c>
    </row>
    <row r="176" spans="1:9" ht="16.5">
      <c r="A176" s="85" t="s">
        <v>2774</v>
      </c>
      <c r="B176" s="2362" t="s">
        <v>7785</v>
      </c>
      <c r="C176" s="9" t="s">
        <v>3451</v>
      </c>
      <c r="D176" s="78"/>
      <c r="E176" s="78"/>
      <c r="F176" s="79">
        <f t="shared" si="5"/>
        <v>0</v>
      </c>
      <c r="G176" s="80">
        <f t="shared" si="4"/>
        <v>0</v>
      </c>
      <c r="H176" s="81">
        <v>0.42359999999999998</v>
      </c>
      <c r="I176" s="2629" t="s">
        <v>1146</v>
      </c>
    </row>
    <row r="177" spans="1:9" ht="16.5">
      <c r="A177" s="85" t="s">
        <v>2775</v>
      </c>
      <c r="B177" s="2362" t="s">
        <v>7786</v>
      </c>
      <c r="C177" s="9" t="s">
        <v>3451</v>
      </c>
      <c r="D177" s="78"/>
      <c r="E177" s="78"/>
      <c r="F177" s="79">
        <f t="shared" si="5"/>
        <v>0</v>
      </c>
      <c r="G177" s="80">
        <f t="shared" si="4"/>
        <v>0</v>
      </c>
      <c r="H177" s="81">
        <v>1.0938000000000001</v>
      </c>
      <c r="I177" s="2629" t="s">
        <v>1146</v>
      </c>
    </row>
    <row r="178" spans="1:9" ht="16.5">
      <c r="A178" s="85" t="s">
        <v>2776</v>
      </c>
      <c r="B178" s="2362" t="s">
        <v>7787</v>
      </c>
      <c r="C178" s="9" t="s">
        <v>3451</v>
      </c>
      <c r="D178" s="78"/>
      <c r="E178" s="78"/>
      <c r="F178" s="79">
        <f t="shared" si="5"/>
        <v>0</v>
      </c>
      <c r="G178" s="80">
        <f t="shared" si="4"/>
        <v>0</v>
      </c>
      <c r="H178" s="81">
        <v>1.3069</v>
      </c>
      <c r="I178" s="2629" t="s">
        <v>1146</v>
      </c>
    </row>
    <row r="179" spans="1:9" ht="16.5">
      <c r="A179" s="85" t="s">
        <v>2777</v>
      </c>
      <c r="B179" s="2362" t="s">
        <v>7788</v>
      </c>
      <c r="C179" s="9" t="s">
        <v>3451</v>
      </c>
      <c r="D179" s="78"/>
      <c r="E179" s="78"/>
      <c r="F179" s="79">
        <f t="shared" si="5"/>
        <v>0</v>
      </c>
      <c r="G179" s="80">
        <f t="shared" si="4"/>
        <v>0</v>
      </c>
      <c r="H179" s="81">
        <v>1.1086</v>
      </c>
      <c r="I179" s="2629" t="s">
        <v>1146</v>
      </c>
    </row>
    <row r="180" spans="1:9" ht="16.5">
      <c r="A180" s="85" t="s">
        <v>2778</v>
      </c>
      <c r="B180" s="2362" t="s">
        <v>7789</v>
      </c>
      <c r="C180" s="9" t="s">
        <v>3451</v>
      </c>
      <c r="D180" s="78"/>
      <c r="E180" s="78"/>
      <c r="F180" s="79">
        <f t="shared" si="5"/>
        <v>0</v>
      </c>
      <c r="G180" s="80">
        <f t="shared" si="4"/>
        <v>0</v>
      </c>
      <c r="H180" s="81">
        <v>0.93069999999999997</v>
      </c>
      <c r="I180" s="2629" t="s">
        <v>1146</v>
      </c>
    </row>
    <row r="181" spans="1:9" ht="16.5">
      <c r="A181" s="85" t="s">
        <v>2779</v>
      </c>
      <c r="B181" s="2362" t="s">
        <v>7790</v>
      </c>
      <c r="C181" s="9" t="s">
        <v>3451</v>
      </c>
      <c r="D181" s="78"/>
      <c r="E181" s="78"/>
      <c r="F181" s="79">
        <f t="shared" si="5"/>
        <v>0</v>
      </c>
      <c r="G181" s="80">
        <f t="shared" si="4"/>
        <v>0</v>
      </c>
      <c r="H181" s="81">
        <v>0.189</v>
      </c>
      <c r="I181" s="2629" t="s">
        <v>1146</v>
      </c>
    </row>
    <row r="182" spans="1:9" ht="16.5">
      <c r="A182" s="85" t="s">
        <v>2780</v>
      </c>
      <c r="B182" s="2362" t="s">
        <v>7791</v>
      </c>
      <c r="C182" s="9" t="s">
        <v>3451</v>
      </c>
      <c r="D182" s="78"/>
      <c r="E182" s="78"/>
      <c r="F182" s="79">
        <f t="shared" si="5"/>
        <v>0</v>
      </c>
      <c r="G182" s="80">
        <f t="shared" si="4"/>
        <v>0</v>
      </c>
      <c r="H182" s="81">
        <v>0.47149999999999997</v>
      </c>
      <c r="I182" s="2629" t="s">
        <v>1146</v>
      </c>
    </row>
    <row r="183" spans="1:9" ht="16.5">
      <c r="A183" s="85" t="s">
        <v>2781</v>
      </c>
      <c r="B183" s="2362" t="s">
        <v>7792</v>
      </c>
      <c r="C183" s="9" t="s">
        <v>3451</v>
      </c>
      <c r="D183" s="78"/>
      <c r="E183" s="78"/>
      <c r="F183" s="79">
        <f t="shared" si="5"/>
        <v>0</v>
      </c>
      <c r="G183" s="80">
        <f t="shared" si="4"/>
        <v>0</v>
      </c>
      <c r="H183" s="81">
        <v>1.1197999999999999</v>
      </c>
      <c r="I183" s="2629" t="s">
        <v>1146</v>
      </c>
    </row>
    <row r="184" spans="1:9" ht="16.5">
      <c r="A184" s="85" t="s">
        <v>2782</v>
      </c>
      <c r="B184" s="2362" t="s">
        <v>7793</v>
      </c>
      <c r="C184" s="9" t="s">
        <v>3451</v>
      </c>
      <c r="D184" s="78"/>
      <c r="E184" s="78"/>
      <c r="F184" s="79">
        <f t="shared" si="5"/>
        <v>0</v>
      </c>
      <c r="G184" s="80">
        <f t="shared" si="4"/>
        <v>0</v>
      </c>
      <c r="H184" s="81">
        <v>0.67059999999999997</v>
      </c>
      <c r="I184" s="2629" t="s">
        <v>1146</v>
      </c>
    </row>
    <row r="185" spans="1:9" ht="16.5">
      <c r="A185" s="85" t="s">
        <v>2783</v>
      </c>
      <c r="B185" s="2362" t="s">
        <v>7794</v>
      </c>
      <c r="C185" s="9" t="s">
        <v>3451</v>
      </c>
      <c r="D185" s="78"/>
      <c r="E185" s="78"/>
      <c r="F185" s="79">
        <f t="shared" si="5"/>
        <v>0</v>
      </c>
      <c r="G185" s="80">
        <f t="shared" si="4"/>
        <v>0</v>
      </c>
      <c r="H185" s="81">
        <v>0.54369999999999996</v>
      </c>
      <c r="I185" s="2629" t="s">
        <v>1146</v>
      </c>
    </row>
    <row r="186" spans="1:9" ht="16.5">
      <c r="A186" s="85" t="s">
        <v>2784</v>
      </c>
      <c r="B186" s="2362" t="s">
        <v>7795</v>
      </c>
      <c r="C186" s="9" t="s">
        <v>3451</v>
      </c>
      <c r="D186" s="78"/>
      <c r="E186" s="78"/>
      <c r="F186" s="79">
        <f t="shared" si="5"/>
        <v>0</v>
      </c>
      <c r="G186" s="80">
        <f t="shared" si="4"/>
        <v>0</v>
      </c>
      <c r="H186" s="81">
        <v>-0.13450000000000001</v>
      </c>
      <c r="I186" s="2629" t="s">
        <v>1146</v>
      </c>
    </row>
    <row r="187" spans="1:9" ht="16.5">
      <c r="A187" s="85" t="s">
        <v>2785</v>
      </c>
      <c r="B187" s="2362" t="s">
        <v>7796</v>
      </c>
      <c r="C187" s="9" t="s">
        <v>3451</v>
      </c>
      <c r="D187" s="78"/>
      <c r="E187" s="78"/>
      <c r="F187" s="79">
        <f t="shared" si="5"/>
        <v>0</v>
      </c>
      <c r="G187" s="80">
        <f t="shared" si="4"/>
        <v>0</v>
      </c>
      <c r="H187" s="81">
        <v>0.93730000000000002</v>
      </c>
      <c r="I187" s="2629" t="s">
        <v>1146</v>
      </c>
    </row>
    <row r="188" spans="1:9" ht="16.5">
      <c r="A188" s="85" t="s">
        <v>2786</v>
      </c>
      <c r="B188" s="2362" t="s">
        <v>7797</v>
      </c>
      <c r="C188" s="9" t="s">
        <v>3451</v>
      </c>
      <c r="D188" s="78"/>
      <c r="E188" s="78"/>
      <c r="F188" s="79">
        <f t="shared" si="5"/>
        <v>0</v>
      </c>
      <c r="G188" s="80">
        <f t="shared" si="4"/>
        <v>0</v>
      </c>
      <c r="H188" s="81">
        <v>1.2991999999999999</v>
      </c>
      <c r="I188" s="2629" t="s">
        <v>1146</v>
      </c>
    </row>
    <row r="189" spans="1:9" ht="16.5">
      <c r="A189" s="85" t="s">
        <v>2787</v>
      </c>
      <c r="B189" s="2362" t="s">
        <v>7798</v>
      </c>
      <c r="C189" s="9" t="s">
        <v>3451</v>
      </c>
      <c r="D189" s="78"/>
      <c r="E189" s="78"/>
      <c r="F189" s="79">
        <f t="shared" si="5"/>
        <v>0</v>
      </c>
      <c r="G189" s="80">
        <f t="shared" si="4"/>
        <v>0</v>
      </c>
      <c r="H189" s="81">
        <v>1.8548</v>
      </c>
      <c r="I189" s="2629" t="s">
        <v>1146</v>
      </c>
    </row>
    <row r="190" spans="1:9" ht="16.5">
      <c r="A190" s="85" t="s">
        <v>2788</v>
      </c>
      <c r="B190" s="2362" t="s">
        <v>7799</v>
      </c>
      <c r="C190" s="9" t="s">
        <v>3451</v>
      </c>
      <c r="D190" s="78"/>
      <c r="E190" s="78"/>
      <c r="F190" s="79">
        <f t="shared" si="5"/>
        <v>0</v>
      </c>
      <c r="G190" s="80">
        <f t="shared" si="4"/>
        <v>0</v>
      </c>
      <c r="H190" s="81">
        <v>0.41930000000000001</v>
      </c>
      <c r="I190" s="2629" t="s">
        <v>1146</v>
      </c>
    </row>
    <row r="191" spans="1:9" ht="16.5">
      <c r="A191" s="85" t="s">
        <v>2789</v>
      </c>
      <c r="B191" s="2362" t="s">
        <v>7800</v>
      </c>
      <c r="C191" s="9" t="s">
        <v>3451</v>
      </c>
      <c r="D191" s="78"/>
      <c r="E191" s="78"/>
      <c r="F191" s="79">
        <f t="shared" si="5"/>
        <v>0</v>
      </c>
      <c r="G191" s="80">
        <f t="shared" si="4"/>
        <v>0</v>
      </c>
      <c r="H191" s="81">
        <v>0.37390000000000001</v>
      </c>
      <c r="I191" s="2629" t="s">
        <v>1146</v>
      </c>
    </row>
    <row r="192" spans="1:9" ht="16.5">
      <c r="A192" s="85" t="s">
        <v>2790</v>
      </c>
      <c r="B192" s="2362" t="s">
        <v>7801</v>
      </c>
      <c r="C192" s="9" t="s">
        <v>3451</v>
      </c>
      <c r="D192" s="78"/>
      <c r="E192" s="78"/>
      <c r="F192" s="79">
        <f t="shared" si="5"/>
        <v>0</v>
      </c>
      <c r="G192" s="80">
        <f t="shared" si="4"/>
        <v>0</v>
      </c>
      <c r="H192" s="81">
        <v>1.8365</v>
      </c>
      <c r="I192" s="2629" t="s">
        <v>1146</v>
      </c>
    </row>
    <row r="193" spans="1:9" ht="16.5">
      <c r="A193" s="85" t="s">
        <v>2791</v>
      </c>
      <c r="B193" s="2362" t="s">
        <v>7802</v>
      </c>
      <c r="C193" s="9" t="s">
        <v>3451</v>
      </c>
      <c r="D193" s="78"/>
      <c r="E193" s="78"/>
      <c r="F193" s="79">
        <f t="shared" si="5"/>
        <v>0</v>
      </c>
      <c r="G193" s="80">
        <f t="shared" si="4"/>
        <v>0</v>
      </c>
      <c r="H193" s="81">
        <v>0.60150000000000003</v>
      </c>
      <c r="I193" s="2629" t="s">
        <v>1146</v>
      </c>
    </row>
    <row r="194" spans="1:9" ht="16.5">
      <c r="A194" s="85" t="s">
        <v>2792</v>
      </c>
      <c r="B194" s="2362" t="s">
        <v>7803</v>
      </c>
      <c r="C194" s="9" t="s">
        <v>3451</v>
      </c>
      <c r="D194" s="78"/>
      <c r="E194" s="78"/>
      <c r="F194" s="79">
        <f t="shared" si="5"/>
        <v>0</v>
      </c>
      <c r="G194" s="80">
        <f t="shared" si="4"/>
        <v>0</v>
      </c>
      <c r="H194" s="81">
        <v>0.51649999999999996</v>
      </c>
      <c r="I194" s="2629" t="s">
        <v>1146</v>
      </c>
    </row>
    <row r="195" spans="1:9" ht="16.5">
      <c r="A195" s="85" t="s">
        <v>2793</v>
      </c>
      <c r="B195" s="2362" t="s">
        <v>7804</v>
      </c>
      <c r="C195" s="9" t="s">
        <v>3451</v>
      </c>
      <c r="D195" s="78"/>
      <c r="E195" s="78"/>
      <c r="F195" s="79">
        <f t="shared" si="5"/>
        <v>0</v>
      </c>
      <c r="G195" s="80">
        <f t="shared" si="4"/>
        <v>0</v>
      </c>
      <c r="H195" s="81">
        <v>1.0642</v>
      </c>
      <c r="I195" s="2629" t="s">
        <v>1146</v>
      </c>
    </row>
    <row r="196" spans="1:9" ht="16.5">
      <c r="A196" s="85" t="s">
        <v>2794</v>
      </c>
      <c r="B196" s="2362" t="s">
        <v>7805</v>
      </c>
      <c r="C196" s="9" t="s">
        <v>3451</v>
      </c>
      <c r="D196" s="78"/>
      <c r="E196" s="78"/>
      <c r="F196" s="79">
        <f t="shared" si="5"/>
        <v>0</v>
      </c>
      <c r="G196" s="80">
        <f t="shared" ref="G196:G259" si="6">IF($F$836=0,0,F196/$F$836)</f>
        <v>0</v>
      </c>
      <c r="H196" s="81">
        <v>0.47489999999999999</v>
      </c>
      <c r="I196" s="2629" t="s">
        <v>1146</v>
      </c>
    </row>
    <row r="197" spans="1:9" ht="16.5">
      <c r="A197" s="85" t="s">
        <v>2795</v>
      </c>
      <c r="B197" s="2362" t="s">
        <v>7806</v>
      </c>
      <c r="C197" s="9" t="s">
        <v>3451</v>
      </c>
      <c r="D197" s="78"/>
      <c r="E197" s="78"/>
      <c r="F197" s="79">
        <f t="shared" ref="F197:F260" si="7">D197*E197</f>
        <v>0</v>
      </c>
      <c r="G197" s="80">
        <f t="shared" si="6"/>
        <v>0</v>
      </c>
      <c r="H197" s="81">
        <v>0.93459999999999999</v>
      </c>
      <c r="I197" s="2629" t="s">
        <v>1146</v>
      </c>
    </row>
    <row r="198" spans="1:9" ht="16.5">
      <c r="A198" s="85" t="s">
        <v>2796</v>
      </c>
      <c r="B198" s="2362" t="s">
        <v>7807</v>
      </c>
      <c r="C198" s="9" t="s">
        <v>3451</v>
      </c>
      <c r="D198" s="78"/>
      <c r="E198" s="78"/>
      <c r="F198" s="79">
        <f t="shared" si="7"/>
        <v>0</v>
      </c>
      <c r="G198" s="80">
        <f t="shared" si="6"/>
        <v>0</v>
      </c>
      <c r="H198" s="81">
        <v>0.47139999999999999</v>
      </c>
      <c r="I198" s="2629" t="s">
        <v>1146</v>
      </c>
    </row>
    <row r="199" spans="1:9" ht="16.5">
      <c r="A199" s="85" t="s">
        <v>2797</v>
      </c>
      <c r="B199" s="2362" t="s">
        <v>7808</v>
      </c>
      <c r="C199" s="9" t="s">
        <v>3451</v>
      </c>
      <c r="D199" s="78"/>
      <c r="E199" s="78"/>
      <c r="F199" s="79">
        <f t="shared" si="7"/>
        <v>0</v>
      </c>
      <c r="G199" s="80">
        <f t="shared" si="6"/>
        <v>0</v>
      </c>
      <c r="H199" s="81">
        <v>0.57969999999999999</v>
      </c>
      <c r="I199" s="2629" t="s">
        <v>1146</v>
      </c>
    </row>
    <row r="200" spans="1:9" ht="16.5">
      <c r="A200" s="85" t="s">
        <v>2798</v>
      </c>
      <c r="B200" s="2362" t="s">
        <v>7809</v>
      </c>
      <c r="C200" s="9" t="s">
        <v>3451</v>
      </c>
      <c r="D200" s="78"/>
      <c r="E200" s="78"/>
      <c r="F200" s="79">
        <f t="shared" si="7"/>
        <v>0</v>
      </c>
      <c r="G200" s="80">
        <f t="shared" si="6"/>
        <v>0</v>
      </c>
      <c r="H200" s="81">
        <v>1.7316</v>
      </c>
      <c r="I200" s="2629" t="s">
        <v>1146</v>
      </c>
    </row>
    <row r="201" spans="1:9" ht="16.5">
      <c r="A201" s="85" t="s">
        <v>2799</v>
      </c>
      <c r="B201" s="2362" t="s">
        <v>7810</v>
      </c>
      <c r="C201" s="9" t="s">
        <v>3451</v>
      </c>
      <c r="D201" s="78"/>
      <c r="E201" s="78"/>
      <c r="F201" s="79">
        <f t="shared" si="7"/>
        <v>0</v>
      </c>
      <c r="G201" s="80">
        <f t="shared" si="6"/>
        <v>0</v>
      </c>
      <c r="H201" s="81">
        <v>1.9538</v>
      </c>
      <c r="I201" s="2629" t="s">
        <v>1146</v>
      </c>
    </row>
    <row r="202" spans="1:9" ht="16.5">
      <c r="A202" s="85" t="s">
        <v>2800</v>
      </c>
      <c r="B202" s="2362" t="s">
        <v>7811</v>
      </c>
      <c r="C202" s="9" t="s">
        <v>3451</v>
      </c>
      <c r="D202" s="78"/>
      <c r="E202" s="78"/>
      <c r="F202" s="79">
        <f t="shared" si="7"/>
        <v>0</v>
      </c>
      <c r="G202" s="80">
        <f t="shared" si="6"/>
        <v>0</v>
      </c>
      <c r="H202" s="81">
        <v>0.68300000000000005</v>
      </c>
      <c r="I202" s="2629" t="s">
        <v>1146</v>
      </c>
    </row>
    <row r="203" spans="1:9" ht="16.5">
      <c r="A203" s="85" t="s">
        <v>2801</v>
      </c>
      <c r="B203" s="2362" t="s">
        <v>7812</v>
      </c>
      <c r="C203" s="9" t="s">
        <v>3451</v>
      </c>
      <c r="D203" s="78"/>
      <c r="E203" s="78"/>
      <c r="F203" s="79">
        <f t="shared" si="7"/>
        <v>0</v>
      </c>
      <c r="G203" s="80">
        <f t="shared" si="6"/>
        <v>0</v>
      </c>
      <c r="H203" s="81">
        <v>0.77769999999999995</v>
      </c>
      <c r="I203" s="2629" t="s">
        <v>1146</v>
      </c>
    </row>
    <row r="204" spans="1:9" ht="16.5">
      <c r="A204" s="85" t="s">
        <v>2802</v>
      </c>
      <c r="B204" s="2362" t="s">
        <v>7813</v>
      </c>
      <c r="C204" s="9" t="s">
        <v>3451</v>
      </c>
      <c r="D204" s="78"/>
      <c r="E204" s="78"/>
      <c r="F204" s="79">
        <f t="shared" si="7"/>
        <v>0</v>
      </c>
      <c r="G204" s="80">
        <f t="shared" si="6"/>
        <v>0</v>
      </c>
      <c r="H204" s="81">
        <v>0.43149999999999999</v>
      </c>
      <c r="I204" s="2619" t="s">
        <v>1146</v>
      </c>
    </row>
    <row r="205" spans="1:9" ht="16.5">
      <c r="A205" s="85" t="s">
        <v>2803</v>
      </c>
      <c r="B205" s="2362" t="s">
        <v>7814</v>
      </c>
      <c r="C205" s="9" t="s">
        <v>3451</v>
      </c>
      <c r="D205" s="78"/>
      <c r="E205" s="78"/>
      <c r="F205" s="79">
        <f t="shared" si="7"/>
        <v>0</v>
      </c>
      <c r="G205" s="80">
        <f t="shared" si="6"/>
        <v>0</v>
      </c>
      <c r="H205" s="81">
        <v>0.85880000000000001</v>
      </c>
      <c r="I205" s="2629" t="s">
        <v>1146</v>
      </c>
    </row>
    <row r="206" spans="1:9" ht="16.5">
      <c r="A206" s="85" t="s">
        <v>2804</v>
      </c>
      <c r="B206" s="2362" t="s">
        <v>7815</v>
      </c>
      <c r="C206" s="9" t="s">
        <v>3451</v>
      </c>
      <c r="D206" s="78"/>
      <c r="E206" s="78"/>
      <c r="F206" s="79">
        <f t="shared" si="7"/>
        <v>0</v>
      </c>
      <c r="G206" s="80">
        <f t="shared" si="6"/>
        <v>0</v>
      </c>
      <c r="H206" s="81">
        <v>0.53849999999999998</v>
      </c>
      <c r="I206" s="2629" t="s">
        <v>1146</v>
      </c>
    </row>
    <row r="207" spans="1:9" ht="16.5">
      <c r="A207" s="85" t="s">
        <v>2805</v>
      </c>
      <c r="B207" s="2362" t="s">
        <v>7816</v>
      </c>
      <c r="C207" s="9" t="s">
        <v>3451</v>
      </c>
      <c r="D207" s="78"/>
      <c r="E207" s="78"/>
      <c r="F207" s="79">
        <f t="shared" si="7"/>
        <v>0</v>
      </c>
      <c r="G207" s="80">
        <f t="shared" si="6"/>
        <v>0</v>
      </c>
      <c r="H207" s="81">
        <v>1.5051000000000001</v>
      </c>
      <c r="I207" s="2629" t="s">
        <v>1146</v>
      </c>
    </row>
    <row r="208" spans="1:9" ht="16.5">
      <c r="A208" s="85" t="s">
        <v>2806</v>
      </c>
      <c r="B208" s="2362" t="s">
        <v>7817</v>
      </c>
      <c r="C208" s="9" t="s">
        <v>3451</v>
      </c>
      <c r="D208" s="78"/>
      <c r="E208" s="78"/>
      <c r="F208" s="79">
        <f t="shared" si="7"/>
        <v>0</v>
      </c>
      <c r="G208" s="80">
        <f t="shared" si="6"/>
        <v>0</v>
      </c>
      <c r="H208" s="81">
        <v>1.2331000000000001</v>
      </c>
      <c r="I208" s="2629" t="s">
        <v>1146</v>
      </c>
    </row>
    <row r="209" spans="1:9" ht="16.5">
      <c r="A209" s="85" t="s">
        <v>2807</v>
      </c>
      <c r="B209" s="2362" t="s">
        <v>7818</v>
      </c>
      <c r="C209" s="9" t="s">
        <v>3451</v>
      </c>
      <c r="D209" s="78"/>
      <c r="E209" s="78"/>
      <c r="F209" s="79">
        <f t="shared" si="7"/>
        <v>0</v>
      </c>
      <c r="G209" s="80">
        <f t="shared" si="6"/>
        <v>0</v>
      </c>
      <c r="H209" s="81">
        <v>0.3997</v>
      </c>
      <c r="I209" s="2629" t="s">
        <v>1146</v>
      </c>
    </row>
    <row r="210" spans="1:9" ht="16.5">
      <c r="A210" s="85" t="s">
        <v>2808</v>
      </c>
      <c r="B210" s="2362" t="s">
        <v>7819</v>
      </c>
      <c r="C210" s="9" t="s">
        <v>3451</v>
      </c>
      <c r="D210" s="78"/>
      <c r="E210" s="78"/>
      <c r="F210" s="79">
        <f t="shared" si="7"/>
        <v>0</v>
      </c>
      <c r="G210" s="80">
        <f t="shared" si="6"/>
        <v>0</v>
      </c>
      <c r="H210" s="81">
        <v>-4.6300000000000001E-2</v>
      </c>
      <c r="I210" s="2629" t="s">
        <v>1146</v>
      </c>
    </row>
    <row r="211" spans="1:9" ht="16.5">
      <c r="A211" s="85" t="s">
        <v>2809</v>
      </c>
      <c r="B211" s="2362" t="s">
        <v>7820</v>
      </c>
      <c r="C211" s="9" t="s">
        <v>3451</v>
      </c>
      <c r="D211" s="78"/>
      <c r="E211" s="78"/>
      <c r="F211" s="79">
        <f t="shared" si="7"/>
        <v>0</v>
      </c>
      <c r="G211" s="80">
        <f t="shared" si="6"/>
        <v>0</v>
      </c>
      <c r="H211" s="81">
        <v>0.59019999999999995</v>
      </c>
      <c r="I211" s="2629" t="s">
        <v>1146</v>
      </c>
    </row>
    <row r="212" spans="1:9" ht="16.5">
      <c r="A212" s="85" t="s">
        <v>2810</v>
      </c>
      <c r="B212" s="2362" t="s">
        <v>7821</v>
      </c>
      <c r="C212" s="9" t="s">
        <v>3451</v>
      </c>
      <c r="D212" s="78"/>
      <c r="E212" s="78"/>
      <c r="F212" s="79">
        <f t="shared" si="7"/>
        <v>0</v>
      </c>
      <c r="G212" s="80">
        <f t="shared" si="6"/>
        <v>0</v>
      </c>
      <c r="H212" s="81">
        <v>0.6532</v>
      </c>
      <c r="I212" s="2629" t="s">
        <v>1146</v>
      </c>
    </row>
    <row r="213" spans="1:9" ht="16.5">
      <c r="A213" s="85" t="s">
        <v>2811</v>
      </c>
      <c r="B213" s="2362" t="s">
        <v>7822</v>
      </c>
      <c r="C213" s="9" t="s">
        <v>3451</v>
      </c>
      <c r="D213" s="78"/>
      <c r="E213" s="78"/>
      <c r="F213" s="79">
        <f t="shared" si="7"/>
        <v>0</v>
      </c>
      <c r="G213" s="80">
        <f t="shared" si="6"/>
        <v>0</v>
      </c>
      <c r="H213" s="81">
        <v>0.61639999999999995</v>
      </c>
      <c r="I213" s="2629" t="s">
        <v>1146</v>
      </c>
    </row>
    <row r="214" spans="1:9" ht="16.5">
      <c r="A214" s="85" t="s">
        <v>2812</v>
      </c>
      <c r="B214" s="2362" t="s">
        <v>7823</v>
      </c>
      <c r="C214" s="9" t="s">
        <v>3451</v>
      </c>
      <c r="D214" s="78"/>
      <c r="E214" s="78"/>
      <c r="F214" s="79">
        <f t="shared" si="7"/>
        <v>0</v>
      </c>
      <c r="G214" s="80">
        <f t="shared" si="6"/>
        <v>0</v>
      </c>
      <c r="H214" s="81">
        <v>1.5246</v>
      </c>
      <c r="I214" s="2629" t="s">
        <v>1146</v>
      </c>
    </row>
    <row r="215" spans="1:9" ht="16.5">
      <c r="A215" s="85" t="s">
        <v>2813</v>
      </c>
      <c r="B215" s="2362" t="s">
        <v>7824</v>
      </c>
      <c r="C215" s="9" t="s">
        <v>3451</v>
      </c>
      <c r="D215" s="78"/>
      <c r="E215" s="78"/>
      <c r="F215" s="79">
        <f t="shared" si="7"/>
        <v>0</v>
      </c>
      <c r="G215" s="80">
        <f t="shared" si="6"/>
        <v>0</v>
      </c>
      <c r="H215" s="81">
        <v>0.71020000000000005</v>
      </c>
      <c r="I215" s="2629" t="s">
        <v>1146</v>
      </c>
    </row>
    <row r="216" spans="1:9" ht="16.5">
      <c r="A216" s="85" t="s">
        <v>2814</v>
      </c>
      <c r="B216" s="2362" t="s">
        <v>7825</v>
      </c>
      <c r="C216" s="9" t="s">
        <v>3451</v>
      </c>
      <c r="D216" s="78"/>
      <c r="E216" s="78"/>
      <c r="F216" s="79">
        <f t="shared" si="7"/>
        <v>0</v>
      </c>
      <c r="G216" s="80">
        <f t="shared" si="6"/>
        <v>0</v>
      </c>
      <c r="H216" s="81">
        <v>0.99839999999999995</v>
      </c>
      <c r="I216" s="2629" t="s">
        <v>1146</v>
      </c>
    </row>
    <row r="217" spans="1:9" ht="16.5">
      <c r="A217" s="85" t="s">
        <v>2815</v>
      </c>
      <c r="B217" s="2362" t="s">
        <v>7826</v>
      </c>
      <c r="C217" s="9" t="s">
        <v>3451</v>
      </c>
      <c r="D217" s="78"/>
      <c r="E217" s="78"/>
      <c r="F217" s="79">
        <f t="shared" si="7"/>
        <v>0</v>
      </c>
      <c r="G217" s="80">
        <f t="shared" si="6"/>
        <v>0</v>
      </c>
      <c r="H217" s="81">
        <v>0.2223</v>
      </c>
      <c r="I217" s="2629" t="s">
        <v>1146</v>
      </c>
    </row>
    <row r="218" spans="1:9" ht="16.5">
      <c r="A218" s="85" t="s">
        <v>2816</v>
      </c>
      <c r="B218" s="2362" t="s">
        <v>7827</v>
      </c>
      <c r="C218" s="9" t="s">
        <v>3451</v>
      </c>
      <c r="D218" s="78"/>
      <c r="E218" s="78"/>
      <c r="F218" s="79">
        <f t="shared" si="7"/>
        <v>0</v>
      </c>
      <c r="G218" s="80">
        <f t="shared" si="6"/>
        <v>0</v>
      </c>
      <c r="H218" s="81">
        <v>1.2482</v>
      </c>
      <c r="I218" s="2629" t="s">
        <v>1146</v>
      </c>
    </row>
    <row r="219" spans="1:9" ht="16.5">
      <c r="A219" s="85" t="s">
        <v>2817</v>
      </c>
      <c r="B219" s="2362" t="s">
        <v>7828</v>
      </c>
      <c r="C219" s="9" t="s">
        <v>3451</v>
      </c>
      <c r="D219" s="78"/>
      <c r="E219" s="78"/>
      <c r="F219" s="79">
        <f t="shared" si="7"/>
        <v>0</v>
      </c>
      <c r="G219" s="80">
        <f t="shared" si="6"/>
        <v>0</v>
      </c>
      <c r="H219" s="81">
        <v>5.0099999999999999E-2</v>
      </c>
      <c r="I219" s="2629" t="s">
        <v>1146</v>
      </c>
    </row>
    <row r="220" spans="1:9" ht="16.5">
      <c r="A220" s="85" t="s">
        <v>2818</v>
      </c>
      <c r="B220" s="2362" t="s">
        <v>7829</v>
      </c>
      <c r="C220" s="9" t="s">
        <v>3451</v>
      </c>
      <c r="D220" s="78"/>
      <c r="E220" s="78"/>
      <c r="F220" s="79">
        <f t="shared" si="7"/>
        <v>0</v>
      </c>
      <c r="G220" s="80">
        <f t="shared" si="6"/>
        <v>0</v>
      </c>
      <c r="H220" s="81">
        <v>0.41660000000000003</v>
      </c>
      <c r="I220" s="2629" t="s">
        <v>1146</v>
      </c>
    </row>
    <row r="221" spans="1:9" ht="16.5">
      <c r="A221" s="85" t="s">
        <v>2819</v>
      </c>
      <c r="B221" s="2362" t="s">
        <v>7830</v>
      </c>
      <c r="C221" s="9" t="s">
        <v>3451</v>
      </c>
      <c r="D221" s="78"/>
      <c r="E221" s="78"/>
      <c r="F221" s="79">
        <f t="shared" si="7"/>
        <v>0</v>
      </c>
      <c r="G221" s="80">
        <f t="shared" si="6"/>
        <v>0</v>
      </c>
      <c r="H221" s="81">
        <v>0.2273</v>
      </c>
      <c r="I221" s="2629" t="s">
        <v>1146</v>
      </c>
    </row>
    <row r="222" spans="1:9" ht="16.5">
      <c r="A222" s="85" t="s">
        <v>2821</v>
      </c>
      <c r="B222" s="2362" t="s">
        <v>7831</v>
      </c>
      <c r="C222" s="9" t="s">
        <v>3451</v>
      </c>
      <c r="D222" s="78"/>
      <c r="E222" s="78"/>
      <c r="F222" s="79">
        <f t="shared" si="7"/>
        <v>0</v>
      </c>
      <c r="G222" s="80">
        <f t="shared" si="6"/>
        <v>0</v>
      </c>
      <c r="H222" s="81">
        <v>1.0225</v>
      </c>
      <c r="I222" s="2629" t="s">
        <v>1146</v>
      </c>
    </row>
    <row r="223" spans="1:9" ht="16.5">
      <c r="A223" s="85" t="s">
        <v>2822</v>
      </c>
      <c r="B223" s="2362" t="s">
        <v>7832</v>
      </c>
      <c r="C223" s="9" t="s">
        <v>3451</v>
      </c>
      <c r="D223" s="78"/>
      <c r="E223" s="78"/>
      <c r="F223" s="79">
        <f t="shared" si="7"/>
        <v>0</v>
      </c>
      <c r="G223" s="80">
        <f t="shared" si="6"/>
        <v>0</v>
      </c>
      <c r="H223" s="81">
        <v>1.5445</v>
      </c>
      <c r="I223" s="2629" t="s">
        <v>1146</v>
      </c>
    </row>
    <row r="224" spans="1:9" ht="16.5">
      <c r="A224" s="85" t="s">
        <v>2823</v>
      </c>
      <c r="B224" s="2362" t="s">
        <v>7833</v>
      </c>
      <c r="C224" s="9" t="s">
        <v>3451</v>
      </c>
      <c r="D224" s="78"/>
      <c r="E224" s="78"/>
      <c r="F224" s="79">
        <f t="shared" si="7"/>
        <v>0</v>
      </c>
      <c r="G224" s="80">
        <f t="shared" si="6"/>
        <v>0</v>
      </c>
      <c r="H224" s="81">
        <v>0.77539999999999998</v>
      </c>
      <c r="I224" s="2629" t="s">
        <v>1146</v>
      </c>
    </row>
    <row r="225" spans="1:9" ht="16.5">
      <c r="A225" s="85" t="s">
        <v>2824</v>
      </c>
      <c r="B225" s="2362" t="s">
        <v>7834</v>
      </c>
      <c r="C225" s="9" t="s">
        <v>3451</v>
      </c>
      <c r="D225" s="78"/>
      <c r="E225" s="78"/>
      <c r="F225" s="79">
        <f t="shared" si="7"/>
        <v>0</v>
      </c>
      <c r="G225" s="80">
        <f t="shared" si="6"/>
        <v>0</v>
      </c>
      <c r="H225" s="81">
        <v>0.42059999999999997</v>
      </c>
      <c r="I225" s="2629" t="s">
        <v>1146</v>
      </c>
    </row>
    <row r="226" spans="1:9" ht="16.5">
      <c r="A226" s="85" t="s">
        <v>2825</v>
      </c>
      <c r="B226" s="2362" t="s">
        <v>7835</v>
      </c>
      <c r="C226" s="9" t="s">
        <v>3451</v>
      </c>
      <c r="D226" s="78"/>
      <c r="E226" s="78"/>
      <c r="F226" s="79">
        <f t="shared" si="7"/>
        <v>0</v>
      </c>
      <c r="G226" s="80">
        <f t="shared" si="6"/>
        <v>0</v>
      </c>
      <c r="H226" s="81">
        <v>1.3807</v>
      </c>
      <c r="I226" s="2629" t="s">
        <v>1146</v>
      </c>
    </row>
    <row r="227" spans="1:9" ht="16.5">
      <c r="A227" s="85" t="s">
        <v>2826</v>
      </c>
      <c r="B227" s="2362" t="s">
        <v>7836</v>
      </c>
      <c r="C227" s="9" t="s">
        <v>3451</v>
      </c>
      <c r="D227" s="78"/>
      <c r="E227" s="78"/>
      <c r="F227" s="79">
        <f t="shared" si="7"/>
        <v>0</v>
      </c>
      <c r="G227" s="80">
        <f t="shared" si="6"/>
        <v>0</v>
      </c>
      <c r="H227" s="81">
        <v>1.1066</v>
      </c>
      <c r="I227" s="2629" t="s">
        <v>1146</v>
      </c>
    </row>
    <row r="228" spans="1:9" ht="16.5">
      <c r="A228" s="85" t="s">
        <v>2827</v>
      </c>
      <c r="B228" s="2362" t="s">
        <v>7837</v>
      </c>
      <c r="C228" s="9" t="s">
        <v>3451</v>
      </c>
      <c r="D228" s="78"/>
      <c r="E228" s="78"/>
      <c r="F228" s="79">
        <f t="shared" si="7"/>
        <v>0</v>
      </c>
      <c r="G228" s="80">
        <f t="shared" si="6"/>
        <v>0</v>
      </c>
      <c r="H228" s="81">
        <v>0.43330000000000002</v>
      </c>
      <c r="I228" s="2629" t="s">
        <v>1146</v>
      </c>
    </row>
    <row r="229" spans="1:9" ht="16.5">
      <c r="A229" s="85" t="s">
        <v>2828</v>
      </c>
      <c r="B229" s="2362" t="s">
        <v>7838</v>
      </c>
      <c r="C229" s="9" t="s">
        <v>3451</v>
      </c>
      <c r="D229" s="78"/>
      <c r="E229" s="78"/>
      <c r="F229" s="79">
        <f t="shared" si="7"/>
        <v>0</v>
      </c>
      <c r="G229" s="80">
        <f t="shared" si="6"/>
        <v>0</v>
      </c>
      <c r="H229" s="81">
        <v>0.76419999999999999</v>
      </c>
      <c r="I229" s="2629" t="s">
        <v>1146</v>
      </c>
    </row>
    <row r="230" spans="1:9" ht="16.5">
      <c r="A230" s="85" t="s">
        <v>2829</v>
      </c>
      <c r="B230" s="2362" t="s">
        <v>7839</v>
      </c>
      <c r="C230" s="9" t="s">
        <v>3451</v>
      </c>
      <c r="D230" s="78"/>
      <c r="E230" s="78"/>
      <c r="F230" s="79">
        <f t="shared" si="7"/>
        <v>0</v>
      </c>
      <c r="G230" s="80">
        <f t="shared" si="6"/>
        <v>0</v>
      </c>
      <c r="H230" s="81">
        <v>0.82399999999999995</v>
      </c>
      <c r="I230" s="2629" t="s">
        <v>1146</v>
      </c>
    </row>
    <row r="231" spans="1:9" ht="16.5">
      <c r="A231" s="85" t="s">
        <v>2830</v>
      </c>
      <c r="B231" s="2362" t="s">
        <v>7840</v>
      </c>
      <c r="C231" s="9" t="s">
        <v>3451</v>
      </c>
      <c r="D231" s="78"/>
      <c r="E231" s="78"/>
      <c r="F231" s="79">
        <f t="shared" si="7"/>
        <v>0</v>
      </c>
      <c r="G231" s="80">
        <f t="shared" si="6"/>
        <v>0</v>
      </c>
      <c r="H231" s="81">
        <v>1.2217</v>
      </c>
      <c r="I231" s="2629" t="s">
        <v>1146</v>
      </c>
    </row>
    <row r="232" spans="1:9" ht="16.5">
      <c r="A232" s="85" t="s">
        <v>2831</v>
      </c>
      <c r="B232" s="2362" t="s">
        <v>7841</v>
      </c>
      <c r="C232" s="9" t="s">
        <v>3451</v>
      </c>
      <c r="D232" s="78"/>
      <c r="E232" s="78"/>
      <c r="F232" s="79">
        <f t="shared" si="7"/>
        <v>0</v>
      </c>
      <c r="G232" s="80">
        <f t="shared" si="6"/>
        <v>0</v>
      </c>
      <c r="H232" s="81">
        <v>1.3909</v>
      </c>
      <c r="I232" s="2629" t="s">
        <v>1146</v>
      </c>
    </row>
    <row r="233" spans="1:9" ht="16.5">
      <c r="A233" s="85" t="s">
        <v>2832</v>
      </c>
      <c r="B233" s="2362" t="s">
        <v>7842</v>
      </c>
      <c r="C233" s="9" t="s">
        <v>3451</v>
      </c>
      <c r="D233" s="78"/>
      <c r="E233" s="78"/>
      <c r="F233" s="79">
        <f t="shared" si="7"/>
        <v>0</v>
      </c>
      <c r="G233" s="80">
        <f t="shared" si="6"/>
        <v>0</v>
      </c>
      <c r="H233" s="81">
        <v>1.8666</v>
      </c>
      <c r="I233" s="2629" t="s">
        <v>1146</v>
      </c>
    </row>
    <row r="234" spans="1:9" ht="16.5">
      <c r="A234" s="85" t="s">
        <v>2833</v>
      </c>
      <c r="B234" s="2362" t="s">
        <v>7843</v>
      </c>
      <c r="C234" s="9" t="s">
        <v>3451</v>
      </c>
      <c r="D234" s="78"/>
      <c r="E234" s="78"/>
      <c r="F234" s="79">
        <f t="shared" si="7"/>
        <v>0</v>
      </c>
      <c r="G234" s="80">
        <f t="shared" si="6"/>
        <v>0</v>
      </c>
      <c r="H234" s="81">
        <v>1.3431</v>
      </c>
      <c r="I234" s="2619" t="s">
        <v>1146</v>
      </c>
    </row>
    <row r="235" spans="1:9" ht="16.5">
      <c r="A235" s="85" t="s">
        <v>2834</v>
      </c>
      <c r="B235" s="2362" t="s">
        <v>7844</v>
      </c>
      <c r="C235" s="9" t="s">
        <v>3451</v>
      </c>
      <c r="D235" s="78"/>
      <c r="E235" s="78"/>
      <c r="F235" s="79">
        <f t="shared" si="7"/>
        <v>0</v>
      </c>
      <c r="G235" s="80">
        <f t="shared" si="6"/>
        <v>0</v>
      </c>
      <c r="H235" s="81">
        <v>0.36470000000000002</v>
      </c>
      <c r="I235" s="2629" t="s">
        <v>1146</v>
      </c>
    </row>
    <row r="236" spans="1:9" ht="16.5">
      <c r="A236" s="85" t="s">
        <v>2835</v>
      </c>
      <c r="B236" s="2362" t="s">
        <v>7845</v>
      </c>
      <c r="C236" s="9" t="s">
        <v>3451</v>
      </c>
      <c r="D236" s="78"/>
      <c r="E236" s="78"/>
      <c r="F236" s="79">
        <f t="shared" si="7"/>
        <v>0</v>
      </c>
      <c r="G236" s="80">
        <f t="shared" si="6"/>
        <v>0</v>
      </c>
      <c r="H236" s="81">
        <v>0.62070000000000003</v>
      </c>
      <c r="I236" s="2629" t="s">
        <v>1146</v>
      </c>
    </row>
    <row r="237" spans="1:9" ht="16.5">
      <c r="A237" s="85" t="s">
        <v>2836</v>
      </c>
      <c r="B237" s="2362" t="s">
        <v>7846</v>
      </c>
      <c r="C237" s="9" t="s">
        <v>3451</v>
      </c>
      <c r="D237" s="78"/>
      <c r="E237" s="78"/>
      <c r="F237" s="79">
        <f t="shared" si="7"/>
        <v>0</v>
      </c>
      <c r="G237" s="80">
        <f t="shared" si="6"/>
        <v>0</v>
      </c>
      <c r="H237" s="81">
        <v>0.56769999999999998</v>
      </c>
      <c r="I237" s="2629" t="s">
        <v>1146</v>
      </c>
    </row>
    <row r="238" spans="1:9" ht="16.5">
      <c r="A238" s="85" t="s">
        <v>2837</v>
      </c>
      <c r="B238" s="2362" t="s">
        <v>7847</v>
      </c>
      <c r="C238" s="9" t="s">
        <v>3451</v>
      </c>
      <c r="D238" s="78"/>
      <c r="E238" s="78"/>
      <c r="F238" s="79">
        <f t="shared" si="7"/>
        <v>0</v>
      </c>
      <c r="G238" s="80">
        <f t="shared" si="6"/>
        <v>0</v>
      </c>
      <c r="H238" s="81">
        <v>0.50239999999999996</v>
      </c>
      <c r="I238" s="2629" t="s">
        <v>1146</v>
      </c>
    </row>
    <row r="239" spans="1:9" ht="16.5">
      <c r="A239" s="85" t="s">
        <v>2838</v>
      </c>
      <c r="B239" s="2362" t="s">
        <v>7848</v>
      </c>
      <c r="C239" s="9" t="s">
        <v>3451</v>
      </c>
      <c r="D239" s="78"/>
      <c r="E239" s="78"/>
      <c r="F239" s="79">
        <f t="shared" si="7"/>
        <v>0</v>
      </c>
      <c r="G239" s="80">
        <f t="shared" si="6"/>
        <v>0</v>
      </c>
      <c r="H239" s="81">
        <v>0.26350000000000001</v>
      </c>
      <c r="I239" s="2629" t="s">
        <v>1146</v>
      </c>
    </row>
    <row r="240" spans="1:9" ht="16.5">
      <c r="A240" s="85" t="s">
        <v>2839</v>
      </c>
      <c r="B240" s="2362" t="s">
        <v>7849</v>
      </c>
      <c r="C240" s="9" t="s">
        <v>3451</v>
      </c>
      <c r="D240" s="78"/>
      <c r="E240" s="78"/>
      <c r="F240" s="79">
        <f t="shared" si="7"/>
        <v>0</v>
      </c>
      <c r="G240" s="80">
        <f t="shared" si="6"/>
        <v>0</v>
      </c>
      <c r="H240" s="81">
        <v>0.41880000000000001</v>
      </c>
      <c r="I240" s="2629" t="s">
        <v>1146</v>
      </c>
    </row>
    <row r="241" spans="1:9" ht="16.5">
      <c r="A241" s="85" t="s">
        <v>2840</v>
      </c>
      <c r="B241" s="2362" t="s">
        <v>7850</v>
      </c>
      <c r="C241" s="9" t="s">
        <v>3451</v>
      </c>
      <c r="D241" s="78"/>
      <c r="E241" s="78"/>
      <c r="F241" s="79">
        <f t="shared" si="7"/>
        <v>0</v>
      </c>
      <c r="G241" s="80">
        <f t="shared" si="6"/>
        <v>0</v>
      </c>
      <c r="H241" s="81">
        <v>7.0000000000000007E-2</v>
      </c>
      <c r="I241" s="2629" t="s">
        <v>1146</v>
      </c>
    </row>
    <row r="242" spans="1:9" ht="16.5">
      <c r="A242" s="85" t="s">
        <v>2841</v>
      </c>
      <c r="B242" s="2362" t="s">
        <v>7851</v>
      </c>
      <c r="C242" s="9" t="s">
        <v>3451</v>
      </c>
      <c r="D242" s="78"/>
      <c r="E242" s="78"/>
      <c r="F242" s="79">
        <f t="shared" si="7"/>
        <v>0</v>
      </c>
      <c r="G242" s="80">
        <f t="shared" si="6"/>
        <v>0</v>
      </c>
      <c r="H242" s="81">
        <v>0.61480000000000001</v>
      </c>
      <c r="I242" s="2629" t="s">
        <v>1146</v>
      </c>
    </row>
    <row r="243" spans="1:9" ht="16.5">
      <c r="A243" s="85" t="s">
        <v>2842</v>
      </c>
      <c r="B243" s="2362" t="s">
        <v>7852</v>
      </c>
      <c r="C243" s="9" t="s">
        <v>3451</v>
      </c>
      <c r="D243" s="78"/>
      <c r="E243" s="78"/>
      <c r="F243" s="79">
        <f t="shared" si="7"/>
        <v>0</v>
      </c>
      <c r="G243" s="80">
        <f t="shared" si="6"/>
        <v>0</v>
      </c>
      <c r="H243" s="81">
        <v>0.4496</v>
      </c>
      <c r="I243" s="2629" t="s">
        <v>1146</v>
      </c>
    </row>
    <row r="244" spans="1:9" ht="16.5">
      <c r="A244" s="85" t="s">
        <v>2843</v>
      </c>
      <c r="B244" s="2362" t="s">
        <v>7853</v>
      </c>
      <c r="C244" s="9" t="s">
        <v>3451</v>
      </c>
      <c r="D244" s="78"/>
      <c r="E244" s="78"/>
      <c r="F244" s="79">
        <f t="shared" si="7"/>
        <v>0</v>
      </c>
      <c r="G244" s="80">
        <f t="shared" si="6"/>
        <v>0</v>
      </c>
      <c r="H244" s="81">
        <v>0.6925</v>
      </c>
      <c r="I244" s="2629" t="s">
        <v>1146</v>
      </c>
    </row>
    <row r="245" spans="1:9" ht="16.5">
      <c r="A245" s="85" t="s">
        <v>2844</v>
      </c>
      <c r="B245" s="2362" t="s">
        <v>7854</v>
      </c>
      <c r="C245" s="9" t="s">
        <v>3451</v>
      </c>
      <c r="D245" s="78"/>
      <c r="E245" s="78"/>
      <c r="F245" s="79">
        <f t="shared" si="7"/>
        <v>0</v>
      </c>
      <c r="G245" s="80">
        <f t="shared" si="6"/>
        <v>0</v>
      </c>
      <c r="H245" s="81">
        <v>0.94059999999999999</v>
      </c>
      <c r="I245" s="2629" t="s">
        <v>1146</v>
      </c>
    </row>
    <row r="246" spans="1:9" ht="16.5">
      <c r="A246" s="85" t="s">
        <v>2845</v>
      </c>
      <c r="B246" s="2362" t="s">
        <v>7855</v>
      </c>
      <c r="C246" s="9" t="s">
        <v>3451</v>
      </c>
      <c r="D246" s="78"/>
      <c r="E246" s="78"/>
      <c r="F246" s="79">
        <f t="shared" si="7"/>
        <v>0</v>
      </c>
      <c r="G246" s="80">
        <f t="shared" si="6"/>
        <v>0</v>
      </c>
      <c r="H246" s="81">
        <v>0.39450000000000002</v>
      </c>
      <c r="I246" s="2629" t="s">
        <v>1146</v>
      </c>
    </row>
    <row r="247" spans="1:9" ht="16.5">
      <c r="A247" s="85" t="s">
        <v>2846</v>
      </c>
      <c r="B247" s="2362" t="s">
        <v>7856</v>
      </c>
      <c r="C247" s="9" t="s">
        <v>3451</v>
      </c>
      <c r="D247" s="78"/>
      <c r="E247" s="78"/>
      <c r="F247" s="79">
        <f t="shared" si="7"/>
        <v>0</v>
      </c>
      <c r="G247" s="80">
        <f t="shared" si="6"/>
        <v>0</v>
      </c>
      <c r="H247" s="81">
        <v>0.89949999999999997</v>
      </c>
      <c r="I247" s="2629" t="s">
        <v>1146</v>
      </c>
    </row>
    <row r="248" spans="1:9" ht="16.5">
      <c r="A248" s="85" t="s">
        <v>2847</v>
      </c>
      <c r="B248" s="2362" t="s">
        <v>7857</v>
      </c>
      <c r="C248" s="9" t="s">
        <v>3451</v>
      </c>
      <c r="D248" s="78"/>
      <c r="E248" s="78"/>
      <c r="F248" s="79">
        <f t="shared" si="7"/>
        <v>0</v>
      </c>
      <c r="G248" s="80">
        <f t="shared" si="6"/>
        <v>0</v>
      </c>
      <c r="H248" s="81">
        <v>0.75139999999999996</v>
      </c>
      <c r="I248" s="2629" t="s">
        <v>1146</v>
      </c>
    </row>
    <row r="249" spans="1:9" ht="16.5">
      <c r="A249" s="85" t="s">
        <v>2848</v>
      </c>
      <c r="B249" s="2362" t="s">
        <v>7858</v>
      </c>
      <c r="C249" s="9" t="s">
        <v>3451</v>
      </c>
      <c r="D249" s="78"/>
      <c r="E249" s="78"/>
      <c r="F249" s="79">
        <f t="shared" si="7"/>
        <v>0</v>
      </c>
      <c r="G249" s="80">
        <f t="shared" si="6"/>
        <v>0</v>
      </c>
      <c r="H249" s="81">
        <v>0.33779999999999999</v>
      </c>
      <c r="I249" s="2629" t="s">
        <v>1146</v>
      </c>
    </row>
    <row r="250" spans="1:9" ht="16.5">
      <c r="A250" s="85" t="s">
        <v>2849</v>
      </c>
      <c r="B250" s="2362" t="s">
        <v>7859</v>
      </c>
      <c r="C250" s="9" t="s">
        <v>3451</v>
      </c>
      <c r="D250" s="78"/>
      <c r="E250" s="78"/>
      <c r="F250" s="79">
        <f t="shared" si="7"/>
        <v>0</v>
      </c>
      <c r="G250" s="80">
        <f t="shared" si="6"/>
        <v>0</v>
      </c>
      <c r="H250" s="81">
        <v>0.41439999999999999</v>
      </c>
      <c r="I250" s="2629" t="s">
        <v>1146</v>
      </c>
    </row>
    <row r="251" spans="1:9" ht="16.5">
      <c r="A251" s="85" t="s">
        <v>2850</v>
      </c>
      <c r="B251" s="2362" t="s">
        <v>7860</v>
      </c>
      <c r="C251" s="9" t="s">
        <v>3451</v>
      </c>
      <c r="D251" s="78"/>
      <c r="E251" s="78"/>
      <c r="F251" s="79">
        <f t="shared" si="7"/>
        <v>0</v>
      </c>
      <c r="G251" s="80">
        <f t="shared" si="6"/>
        <v>0</v>
      </c>
      <c r="H251" s="81">
        <v>0.84409999999999996</v>
      </c>
      <c r="I251" s="2629" t="s">
        <v>1146</v>
      </c>
    </row>
    <row r="252" spans="1:9" ht="16.5">
      <c r="A252" s="85" t="s">
        <v>2851</v>
      </c>
      <c r="B252" s="2362" t="s">
        <v>7861</v>
      </c>
      <c r="C252" s="9" t="s">
        <v>3451</v>
      </c>
      <c r="D252" s="78"/>
      <c r="E252" s="78"/>
      <c r="F252" s="79">
        <f t="shared" si="7"/>
        <v>0</v>
      </c>
      <c r="G252" s="80">
        <f t="shared" si="6"/>
        <v>0</v>
      </c>
      <c r="H252" s="81">
        <v>0.97840000000000005</v>
      </c>
      <c r="I252" s="2629" t="s">
        <v>1146</v>
      </c>
    </row>
    <row r="253" spans="1:9" ht="16.5">
      <c r="A253" s="85" t="s">
        <v>2852</v>
      </c>
      <c r="B253" s="2362" t="s">
        <v>7862</v>
      </c>
      <c r="C253" s="9" t="s">
        <v>3451</v>
      </c>
      <c r="D253" s="78"/>
      <c r="E253" s="78"/>
      <c r="F253" s="79">
        <f t="shared" si="7"/>
        <v>0</v>
      </c>
      <c r="G253" s="80">
        <f t="shared" si="6"/>
        <v>0</v>
      </c>
      <c r="H253" s="81">
        <v>0.95709999999999995</v>
      </c>
      <c r="I253" s="2629" t="s">
        <v>1146</v>
      </c>
    </row>
    <row r="254" spans="1:9" ht="16.5">
      <c r="A254" s="85" t="s">
        <v>2853</v>
      </c>
      <c r="B254" s="2362" t="s">
        <v>7863</v>
      </c>
      <c r="C254" s="9" t="s">
        <v>3451</v>
      </c>
      <c r="D254" s="78"/>
      <c r="E254" s="78"/>
      <c r="F254" s="79">
        <f t="shared" si="7"/>
        <v>0</v>
      </c>
      <c r="G254" s="80">
        <f t="shared" si="6"/>
        <v>0</v>
      </c>
      <c r="H254" s="81">
        <v>0.3528</v>
      </c>
      <c r="I254" s="2629" t="s">
        <v>1146</v>
      </c>
    </row>
    <row r="255" spans="1:9" ht="16.5">
      <c r="A255" s="85" t="s">
        <v>2854</v>
      </c>
      <c r="B255" s="2362" t="s">
        <v>7864</v>
      </c>
      <c r="C255" s="9" t="s">
        <v>3451</v>
      </c>
      <c r="D255" s="78"/>
      <c r="E255" s="78"/>
      <c r="F255" s="79">
        <f t="shared" si="7"/>
        <v>0</v>
      </c>
      <c r="G255" s="80">
        <f t="shared" si="6"/>
        <v>0</v>
      </c>
      <c r="H255" s="81">
        <v>1.2048000000000001</v>
      </c>
      <c r="I255" s="2629" t="s">
        <v>1146</v>
      </c>
    </row>
    <row r="256" spans="1:9" ht="16.5">
      <c r="A256" s="85" t="s">
        <v>2855</v>
      </c>
      <c r="B256" s="2362" t="s">
        <v>7865</v>
      </c>
      <c r="C256" s="9" t="s">
        <v>3451</v>
      </c>
      <c r="D256" s="78"/>
      <c r="E256" s="78"/>
      <c r="F256" s="79">
        <f t="shared" si="7"/>
        <v>0</v>
      </c>
      <c r="G256" s="80">
        <f t="shared" si="6"/>
        <v>0</v>
      </c>
      <c r="H256" s="81">
        <v>0.12379999999999999</v>
      </c>
      <c r="I256" s="2629" t="s">
        <v>1146</v>
      </c>
    </row>
    <row r="257" spans="1:9" ht="16.5">
      <c r="A257" s="85" t="s">
        <v>2856</v>
      </c>
      <c r="B257" s="2362" t="s">
        <v>7866</v>
      </c>
      <c r="C257" s="9" t="s">
        <v>3451</v>
      </c>
      <c r="D257" s="78"/>
      <c r="E257" s="78"/>
      <c r="F257" s="79">
        <f t="shared" si="7"/>
        <v>0</v>
      </c>
      <c r="G257" s="80">
        <f t="shared" si="6"/>
        <v>0</v>
      </c>
      <c r="H257" s="81">
        <v>1.3201000000000001</v>
      </c>
      <c r="I257" s="2629" t="s">
        <v>1146</v>
      </c>
    </row>
    <row r="258" spans="1:9" ht="16.5">
      <c r="A258" s="85" t="s">
        <v>2857</v>
      </c>
      <c r="B258" s="2362" t="s">
        <v>7867</v>
      </c>
      <c r="C258" s="9" t="s">
        <v>3451</v>
      </c>
      <c r="D258" s="78"/>
      <c r="E258" s="78"/>
      <c r="F258" s="79">
        <f t="shared" si="7"/>
        <v>0</v>
      </c>
      <c r="G258" s="80">
        <f t="shared" si="6"/>
        <v>0</v>
      </c>
      <c r="H258" s="81">
        <v>1.1829000000000001</v>
      </c>
      <c r="I258" s="2629" t="s">
        <v>1146</v>
      </c>
    </row>
    <row r="259" spans="1:9" ht="16.5">
      <c r="A259" s="85" t="s">
        <v>2858</v>
      </c>
      <c r="B259" s="2362" t="s">
        <v>7868</v>
      </c>
      <c r="C259" s="9" t="s">
        <v>3451</v>
      </c>
      <c r="D259" s="78"/>
      <c r="E259" s="78"/>
      <c r="F259" s="79">
        <f t="shared" si="7"/>
        <v>0</v>
      </c>
      <c r="G259" s="80">
        <f t="shared" si="6"/>
        <v>0</v>
      </c>
      <c r="H259" s="81">
        <v>-0.41899999999999998</v>
      </c>
      <c r="I259" s="2629" t="s">
        <v>1146</v>
      </c>
    </row>
    <row r="260" spans="1:9" ht="16.5">
      <c r="A260" s="85" t="s">
        <v>2859</v>
      </c>
      <c r="B260" s="2362" t="s">
        <v>7869</v>
      </c>
      <c r="C260" s="9" t="s">
        <v>3451</v>
      </c>
      <c r="D260" s="78"/>
      <c r="E260" s="78"/>
      <c r="F260" s="79">
        <f t="shared" si="7"/>
        <v>0</v>
      </c>
      <c r="G260" s="80">
        <f t="shared" ref="G260:G323" si="8">IF($F$836=0,0,F260/$F$836)</f>
        <v>0</v>
      </c>
      <c r="H260" s="81">
        <v>0.75780000000000003</v>
      </c>
      <c r="I260" s="2629" t="s">
        <v>1146</v>
      </c>
    </row>
    <row r="261" spans="1:9" ht="16.5">
      <c r="A261" s="85" t="s">
        <v>2860</v>
      </c>
      <c r="B261" s="2362" t="s">
        <v>7870</v>
      </c>
      <c r="C261" s="9" t="s">
        <v>3451</v>
      </c>
      <c r="D261" s="78"/>
      <c r="E261" s="78"/>
      <c r="F261" s="79">
        <f t="shared" ref="F261:F324" si="9">D261*E261</f>
        <v>0</v>
      </c>
      <c r="G261" s="80">
        <f t="shared" si="8"/>
        <v>0</v>
      </c>
      <c r="H261" s="81">
        <v>0.81679999999999997</v>
      </c>
      <c r="I261" s="2629" t="s">
        <v>1146</v>
      </c>
    </row>
    <row r="262" spans="1:9" ht="16.5">
      <c r="A262" s="85" t="s">
        <v>2861</v>
      </c>
      <c r="B262" s="2362" t="s">
        <v>7871</v>
      </c>
      <c r="C262" s="9" t="s">
        <v>3451</v>
      </c>
      <c r="D262" s="78"/>
      <c r="E262" s="78"/>
      <c r="F262" s="79">
        <f t="shared" si="9"/>
        <v>0</v>
      </c>
      <c r="G262" s="80">
        <f t="shared" si="8"/>
        <v>0</v>
      </c>
      <c r="H262" s="81">
        <v>0.99409999999999998</v>
      </c>
      <c r="I262" s="2629" t="s">
        <v>1146</v>
      </c>
    </row>
    <row r="263" spans="1:9" ht="16.5">
      <c r="A263" s="85" t="s">
        <v>2862</v>
      </c>
      <c r="B263" s="2362" t="s">
        <v>7872</v>
      </c>
      <c r="C263" s="9" t="s">
        <v>3451</v>
      </c>
      <c r="D263" s="78"/>
      <c r="E263" s="78"/>
      <c r="F263" s="79">
        <f t="shared" si="9"/>
        <v>0</v>
      </c>
      <c r="G263" s="80">
        <f t="shared" si="8"/>
        <v>0</v>
      </c>
      <c r="H263" s="81">
        <v>1.0548999999999999</v>
      </c>
      <c r="I263" s="2629" t="s">
        <v>1146</v>
      </c>
    </row>
    <row r="264" spans="1:9" ht="16.5">
      <c r="A264" s="85" t="s">
        <v>2863</v>
      </c>
      <c r="B264" s="2362" t="s">
        <v>7873</v>
      </c>
      <c r="C264" s="9" t="s">
        <v>3451</v>
      </c>
      <c r="D264" s="78"/>
      <c r="E264" s="78"/>
      <c r="F264" s="79">
        <f t="shared" si="9"/>
        <v>0</v>
      </c>
      <c r="G264" s="80">
        <f t="shared" si="8"/>
        <v>0</v>
      </c>
      <c r="H264" s="81">
        <v>0.92669999999999997</v>
      </c>
      <c r="I264" s="2629" t="s">
        <v>1146</v>
      </c>
    </row>
    <row r="265" spans="1:9" ht="16.5">
      <c r="A265" s="85" t="s">
        <v>2864</v>
      </c>
      <c r="B265" s="2362" t="s">
        <v>7874</v>
      </c>
      <c r="C265" s="9" t="s">
        <v>3451</v>
      </c>
      <c r="D265" s="78"/>
      <c r="E265" s="78"/>
      <c r="F265" s="79">
        <f t="shared" si="9"/>
        <v>0</v>
      </c>
      <c r="G265" s="80">
        <f t="shared" si="8"/>
        <v>0</v>
      </c>
      <c r="H265" s="81">
        <v>0.79720000000000002</v>
      </c>
      <c r="I265" s="2629" t="s">
        <v>1146</v>
      </c>
    </row>
    <row r="266" spans="1:9" ht="16.5">
      <c r="A266" s="85" t="s">
        <v>2865</v>
      </c>
      <c r="B266" s="2362" t="s">
        <v>7875</v>
      </c>
      <c r="C266" s="9" t="s">
        <v>3451</v>
      </c>
      <c r="D266" s="78"/>
      <c r="E266" s="78"/>
      <c r="F266" s="79">
        <f t="shared" si="9"/>
        <v>0</v>
      </c>
      <c r="G266" s="80">
        <f t="shared" si="8"/>
        <v>0</v>
      </c>
      <c r="H266" s="81">
        <v>0.84319999999999995</v>
      </c>
      <c r="I266" s="2629" t="s">
        <v>1146</v>
      </c>
    </row>
    <row r="267" spans="1:9" ht="16.5">
      <c r="A267" s="85" t="s">
        <v>2866</v>
      </c>
      <c r="B267" s="2362" t="s">
        <v>7876</v>
      </c>
      <c r="C267" s="9" t="s">
        <v>3451</v>
      </c>
      <c r="D267" s="78"/>
      <c r="E267" s="78"/>
      <c r="F267" s="79">
        <f t="shared" si="9"/>
        <v>0</v>
      </c>
      <c r="G267" s="80">
        <f t="shared" si="8"/>
        <v>0</v>
      </c>
      <c r="H267" s="81">
        <v>0.86319999999999997</v>
      </c>
      <c r="I267" s="2629" t="s">
        <v>1146</v>
      </c>
    </row>
    <row r="268" spans="1:9" ht="16.5">
      <c r="A268" s="85" t="s">
        <v>2867</v>
      </c>
      <c r="B268" s="2362" t="s">
        <v>7877</v>
      </c>
      <c r="C268" s="9" t="s">
        <v>3451</v>
      </c>
      <c r="D268" s="78"/>
      <c r="E268" s="78"/>
      <c r="F268" s="79">
        <f t="shared" si="9"/>
        <v>0</v>
      </c>
      <c r="G268" s="80">
        <f t="shared" si="8"/>
        <v>0</v>
      </c>
      <c r="H268" s="81">
        <v>0.92500000000000004</v>
      </c>
      <c r="I268" s="2629" t="s">
        <v>1146</v>
      </c>
    </row>
    <row r="269" spans="1:9" ht="16.5">
      <c r="A269" s="85" t="s">
        <v>2868</v>
      </c>
      <c r="B269" s="2362" t="s">
        <v>7878</v>
      </c>
      <c r="C269" s="9" t="s">
        <v>3451</v>
      </c>
      <c r="D269" s="78"/>
      <c r="E269" s="78"/>
      <c r="F269" s="79">
        <f t="shared" si="9"/>
        <v>0</v>
      </c>
      <c r="G269" s="80">
        <f t="shared" si="8"/>
        <v>0</v>
      </c>
      <c r="H269" s="81">
        <v>0.95899999999999996</v>
      </c>
      <c r="I269" s="2629" t="s">
        <v>1146</v>
      </c>
    </row>
    <row r="270" spans="1:9" ht="16.5">
      <c r="A270" s="85" t="s">
        <v>2869</v>
      </c>
      <c r="B270" s="2362" t="s">
        <v>7879</v>
      </c>
      <c r="C270" s="9" t="s">
        <v>3451</v>
      </c>
      <c r="D270" s="78"/>
      <c r="E270" s="78"/>
      <c r="F270" s="79">
        <f t="shared" si="9"/>
        <v>0</v>
      </c>
      <c r="G270" s="80">
        <f t="shared" si="8"/>
        <v>0</v>
      </c>
      <c r="H270" s="81">
        <v>0.72109999999999996</v>
      </c>
      <c r="I270" s="2629" t="s">
        <v>1146</v>
      </c>
    </row>
    <row r="271" spans="1:9" ht="16.5">
      <c r="A271" s="85" t="s">
        <v>2870</v>
      </c>
      <c r="B271" s="2362" t="s">
        <v>7880</v>
      </c>
      <c r="C271" s="9" t="s">
        <v>3451</v>
      </c>
      <c r="D271" s="78"/>
      <c r="E271" s="78"/>
      <c r="F271" s="79">
        <f t="shared" si="9"/>
        <v>0</v>
      </c>
      <c r="G271" s="80">
        <f t="shared" si="8"/>
        <v>0</v>
      </c>
      <c r="H271" s="81">
        <v>0.29170000000000001</v>
      </c>
      <c r="I271" s="2629" t="s">
        <v>1146</v>
      </c>
    </row>
    <row r="272" spans="1:9" ht="16.5">
      <c r="A272" s="85" t="s">
        <v>2871</v>
      </c>
      <c r="B272" s="2362" t="s">
        <v>7881</v>
      </c>
      <c r="C272" s="9" t="s">
        <v>3451</v>
      </c>
      <c r="D272" s="78"/>
      <c r="E272" s="78"/>
      <c r="F272" s="79">
        <f t="shared" si="9"/>
        <v>0</v>
      </c>
      <c r="G272" s="80">
        <f t="shared" si="8"/>
        <v>0</v>
      </c>
      <c r="H272" s="81">
        <v>0.55349999999999999</v>
      </c>
      <c r="I272" s="2629" t="s">
        <v>1146</v>
      </c>
    </row>
    <row r="273" spans="1:9" ht="16.5">
      <c r="A273" s="85" t="s">
        <v>2872</v>
      </c>
      <c r="B273" s="2362" t="s">
        <v>7882</v>
      </c>
      <c r="C273" s="9" t="s">
        <v>3451</v>
      </c>
      <c r="D273" s="78"/>
      <c r="E273" s="78"/>
      <c r="F273" s="79">
        <f t="shared" si="9"/>
        <v>0</v>
      </c>
      <c r="G273" s="80">
        <f t="shared" si="8"/>
        <v>0</v>
      </c>
      <c r="H273" s="81">
        <v>0.1686</v>
      </c>
      <c r="I273" s="2629" t="s">
        <v>1146</v>
      </c>
    </row>
    <row r="274" spans="1:9" ht="16.5">
      <c r="A274" s="85" t="s">
        <v>2873</v>
      </c>
      <c r="B274" s="2362" t="s">
        <v>7883</v>
      </c>
      <c r="C274" s="9" t="s">
        <v>3451</v>
      </c>
      <c r="D274" s="78"/>
      <c r="E274" s="78"/>
      <c r="F274" s="79">
        <f t="shared" si="9"/>
        <v>0</v>
      </c>
      <c r="G274" s="80">
        <f t="shared" si="8"/>
        <v>0</v>
      </c>
      <c r="H274" s="81">
        <v>0.35170000000000001</v>
      </c>
      <c r="I274" s="2629" t="s">
        <v>1146</v>
      </c>
    </row>
    <row r="275" spans="1:9" ht="16.5">
      <c r="A275" s="85" t="s">
        <v>2874</v>
      </c>
      <c r="B275" s="2362" t="s">
        <v>7884</v>
      </c>
      <c r="C275" s="9" t="s">
        <v>3451</v>
      </c>
      <c r="D275" s="78"/>
      <c r="E275" s="78"/>
      <c r="F275" s="79">
        <f t="shared" si="9"/>
        <v>0</v>
      </c>
      <c r="G275" s="80">
        <f t="shared" si="8"/>
        <v>0</v>
      </c>
      <c r="H275" s="81">
        <v>1.6199999999999999E-2</v>
      </c>
      <c r="I275" s="2629" t="s">
        <v>1146</v>
      </c>
    </row>
    <row r="276" spans="1:9" ht="16.5">
      <c r="A276" s="85" t="s">
        <v>2875</v>
      </c>
      <c r="B276" s="2362" t="s">
        <v>7885</v>
      </c>
      <c r="C276" s="9" t="s">
        <v>3451</v>
      </c>
      <c r="D276" s="78"/>
      <c r="E276" s="78"/>
      <c r="F276" s="79">
        <f t="shared" si="9"/>
        <v>0</v>
      </c>
      <c r="G276" s="80">
        <f t="shared" si="8"/>
        <v>0</v>
      </c>
      <c r="H276" s="81">
        <v>0.54549999999999998</v>
      </c>
      <c r="I276" s="2629" t="s">
        <v>1146</v>
      </c>
    </row>
    <row r="277" spans="1:9" ht="16.5">
      <c r="A277" s="85" t="s">
        <v>2876</v>
      </c>
      <c r="B277" s="2362" t="s">
        <v>7886</v>
      </c>
      <c r="C277" s="9" t="s">
        <v>3451</v>
      </c>
      <c r="D277" s="78"/>
      <c r="E277" s="78"/>
      <c r="F277" s="79">
        <f t="shared" si="9"/>
        <v>0</v>
      </c>
      <c r="G277" s="80">
        <f t="shared" si="8"/>
        <v>0</v>
      </c>
      <c r="H277" s="81">
        <v>0.307</v>
      </c>
      <c r="I277" s="2629" t="s">
        <v>1146</v>
      </c>
    </row>
    <row r="278" spans="1:9" ht="16.5">
      <c r="A278" s="85" t="s">
        <v>2877</v>
      </c>
      <c r="B278" s="2362" t="s">
        <v>7887</v>
      </c>
      <c r="C278" s="9" t="s">
        <v>3451</v>
      </c>
      <c r="D278" s="78"/>
      <c r="E278" s="78"/>
      <c r="F278" s="79">
        <f t="shared" si="9"/>
        <v>0</v>
      </c>
      <c r="G278" s="80">
        <f t="shared" si="8"/>
        <v>0</v>
      </c>
      <c r="H278" s="81">
        <v>0.22750000000000001</v>
      </c>
      <c r="I278" s="2629" t="s">
        <v>1146</v>
      </c>
    </row>
    <row r="279" spans="1:9" ht="16.5">
      <c r="A279" s="85" t="s">
        <v>2878</v>
      </c>
      <c r="B279" s="2362" t="s">
        <v>7888</v>
      </c>
      <c r="C279" s="9" t="s">
        <v>3451</v>
      </c>
      <c r="D279" s="78"/>
      <c r="E279" s="78"/>
      <c r="F279" s="79">
        <f t="shared" si="9"/>
        <v>0</v>
      </c>
      <c r="G279" s="80">
        <f t="shared" si="8"/>
        <v>0</v>
      </c>
      <c r="H279" s="81">
        <v>0.1676</v>
      </c>
      <c r="I279" s="2629" t="s">
        <v>1146</v>
      </c>
    </row>
    <row r="280" spans="1:9" ht="16.5">
      <c r="A280" s="85" t="s">
        <v>2879</v>
      </c>
      <c r="B280" s="2362" t="s">
        <v>7889</v>
      </c>
      <c r="C280" s="9" t="s">
        <v>3451</v>
      </c>
      <c r="D280" s="78"/>
      <c r="E280" s="78"/>
      <c r="F280" s="79">
        <f t="shared" si="9"/>
        <v>0</v>
      </c>
      <c r="G280" s="80">
        <f t="shared" si="8"/>
        <v>0</v>
      </c>
      <c r="H280" s="81">
        <v>0.53369999999999995</v>
      </c>
      <c r="I280" s="2629" t="s">
        <v>1146</v>
      </c>
    </row>
    <row r="281" spans="1:9" ht="16.5">
      <c r="A281" s="85" t="s">
        <v>2880</v>
      </c>
      <c r="B281" s="2362" t="s">
        <v>7890</v>
      </c>
      <c r="C281" s="9" t="s">
        <v>3451</v>
      </c>
      <c r="D281" s="78"/>
      <c r="E281" s="78"/>
      <c r="F281" s="79">
        <f t="shared" si="9"/>
        <v>0</v>
      </c>
      <c r="G281" s="80">
        <f t="shared" si="8"/>
        <v>0</v>
      </c>
      <c r="H281" s="81">
        <v>0.50690000000000002</v>
      </c>
      <c r="I281" s="2629" t="s">
        <v>1146</v>
      </c>
    </row>
    <row r="282" spans="1:9" ht="16.5">
      <c r="A282" s="85" t="s">
        <v>2881</v>
      </c>
      <c r="B282" s="2362" t="s">
        <v>7891</v>
      </c>
      <c r="C282" s="9" t="s">
        <v>3451</v>
      </c>
      <c r="D282" s="78"/>
      <c r="E282" s="78"/>
      <c r="F282" s="79">
        <f t="shared" si="9"/>
        <v>0</v>
      </c>
      <c r="G282" s="80">
        <f t="shared" si="8"/>
        <v>0</v>
      </c>
      <c r="H282" s="81">
        <v>0.18179999999999999</v>
      </c>
      <c r="I282" s="2629" t="s">
        <v>1146</v>
      </c>
    </row>
    <row r="283" spans="1:9" ht="16.5">
      <c r="A283" s="85" t="s">
        <v>2882</v>
      </c>
      <c r="B283" s="2362" t="s">
        <v>7892</v>
      </c>
      <c r="C283" s="9" t="s">
        <v>3451</v>
      </c>
      <c r="D283" s="78"/>
      <c r="E283" s="78"/>
      <c r="F283" s="79">
        <f t="shared" si="9"/>
        <v>0</v>
      </c>
      <c r="G283" s="80">
        <f t="shared" si="8"/>
        <v>0</v>
      </c>
      <c r="H283" s="81">
        <v>0.3382</v>
      </c>
      <c r="I283" s="2629" t="s">
        <v>1146</v>
      </c>
    </row>
    <row r="284" spans="1:9" ht="16.5">
      <c r="A284" s="85" t="s">
        <v>2883</v>
      </c>
      <c r="B284" s="2362" t="s">
        <v>7893</v>
      </c>
      <c r="C284" s="9" t="s">
        <v>3451</v>
      </c>
      <c r="D284" s="78"/>
      <c r="E284" s="78"/>
      <c r="F284" s="79">
        <f t="shared" si="9"/>
        <v>0</v>
      </c>
      <c r="G284" s="80">
        <f t="shared" si="8"/>
        <v>0</v>
      </c>
      <c r="H284" s="81">
        <v>7.9799999999999996E-2</v>
      </c>
      <c r="I284" s="2629" t="s">
        <v>1146</v>
      </c>
    </row>
    <row r="285" spans="1:9" ht="16.5">
      <c r="A285" s="85" t="s">
        <v>2884</v>
      </c>
      <c r="B285" s="2362" t="s">
        <v>7894</v>
      </c>
      <c r="C285" s="9" t="s">
        <v>3451</v>
      </c>
      <c r="D285" s="78"/>
      <c r="E285" s="78"/>
      <c r="F285" s="79">
        <f t="shared" si="9"/>
        <v>0</v>
      </c>
      <c r="G285" s="80">
        <f t="shared" si="8"/>
        <v>0</v>
      </c>
      <c r="H285" s="81">
        <v>0.1447</v>
      </c>
      <c r="I285" s="2629" t="s">
        <v>1146</v>
      </c>
    </row>
    <row r="286" spans="1:9" ht="16.5">
      <c r="A286" s="85" t="s">
        <v>2885</v>
      </c>
      <c r="B286" s="2362" t="s">
        <v>7895</v>
      </c>
      <c r="C286" s="9" t="s">
        <v>3451</v>
      </c>
      <c r="D286" s="78"/>
      <c r="E286" s="78"/>
      <c r="F286" s="79">
        <f t="shared" si="9"/>
        <v>0</v>
      </c>
      <c r="G286" s="80">
        <f t="shared" si="8"/>
        <v>0</v>
      </c>
      <c r="H286" s="81">
        <v>0.14269999999999999</v>
      </c>
      <c r="I286" s="2629" t="s">
        <v>1146</v>
      </c>
    </row>
    <row r="287" spans="1:9" ht="16.5">
      <c r="A287" s="85" t="s">
        <v>2886</v>
      </c>
      <c r="B287" s="2362" t="s">
        <v>7896</v>
      </c>
      <c r="C287" s="9" t="s">
        <v>3451</v>
      </c>
      <c r="D287" s="78"/>
      <c r="E287" s="78"/>
      <c r="F287" s="79">
        <f t="shared" si="9"/>
        <v>0</v>
      </c>
      <c r="G287" s="80">
        <f t="shared" si="8"/>
        <v>0</v>
      </c>
      <c r="H287" s="81">
        <v>0.34689999999999999</v>
      </c>
      <c r="I287" s="2629" t="s">
        <v>1146</v>
      </c>
    </row>
    <row r="288" spans="1:9" ht="16.5">
      <c r="A288" s="85" t="s">
        <v>2887</v>
      </c>
      <c r="B288" s="2362" t="s">
        <v>7897</v>
      </c>
      <c r="C288" s="9" t="s">
        <v>3451</v>
      </c>
      <c r="D288" s="78"/>
      <c r="E288" s="78"/>
      <c r="F288" s="79">
        <f t="shared" si="9"/>
        <v>0</v>
      </c>
      <c r="G288" s="80">
        <f t="shared" si="8"/>
        <v>0</v>
      </c>
      <c r="H288" s="81">
        <v>0.1651</v>
      </c>
      <c r="I288" s="2629" t="s">
        <v>1146</v>
      </c>
    </row>
    <row r="289" spans="1:9" ht="16.5">
      <c r="A289" s="85" t="s">
        <v>2888</v>
      </c>
      <c r="B289" s="2362" t="s">
        <v>7898</v>
      </c>
      <c r="C289" s="9" t="s">
        <v>3451</v>
      </c>
      <c r="D289" s="78"/>
      <c r="E289" s="78"/>
      <c r="F289" s="79">
        <f t="shared" si="9"/>
        <v>0</v>
      </c>
      <c r="G289" s="80">
        <f t="shared" si="8"/>
        <v>0</v>
      </c>
      <c r="H289" s="81">
        <v>0.4592</v>
      </c>
      <c r="I289" s="2629" t="s">
        <v>1146</v>
      </c>
    </row>
    <row r="290" spans="1:9" ht="16.5">
      <c r="A290" s="85" t="s">
        <v>2889</v>
      </c>
      <c r="B290" s="2362" t="s">
        <v>7899</v>
      </c>
      <c r="C290" s="9" t="s">
        <v>3451</v>
      </c>
      <c r="D290" s="78"/>
      <c r="E290" s="78"/>
      <c r="F290" s="79">
        <f t="shared" si="9"/>
        <v>0</v>
      </c>
      <c r="G290" s="80">
        <f t="shared" si="8"/>
        <v>0</v>
      </c>
      <c r="H290" s="81">
        <v>0.46279999999999999</v>
      </c>
      <c r="I290" s="2629" t="s">
        <v>1146</v>
      </c>
    </row>
    <row r="291" spans="1:9" ht="16.5">
      <c r="A291" s="85" t="s">
        <v>5720</v>
      </c>
      <c r="B291" s="2362" t="s">
        <v>7900</v>
      </c>
      <c r="C291" s="9" t="s">
        <v>3451</v>
      </c>
      <c r="D291" s="78"/>
      <c r="E291" s="78"/>
      <c r="F291" s="79">
        <f t="shared" si="9"/>
        <v>0</v>
      </c>
      <c r="G291" s="80">
        <f t="shared" si="8"/>
        <v>0</v>
      </c>
      <c r="H291" s="81">
        <v>1</v>
      </c>
      <c r="I291" s="2629" t="s">
        <v>7649</v>
      </c>
    </row>
    <row r="292" spans="1:9" ht="16.5">
      <c r="A292" s="85" t="s">
        <v>2890</v>
      </c>
      <c r="B292" s="2362" t="s">
        <v>7901</v>
      </c>
      <c r="C292" s="9" t="s">
        <v>3451</v>
      </c>
      <c r="D292" s="78"/>
      <c r="E292" s="78"/>
      <c r="F292" s="79">
        <f t="shared" si="9"/>
        <v>0</v>
      </c>
      <c r="G292" s="80">
        <f t="shared" si="8"/>
        <v>0</v>
      </c>
      <c r="H292" s="81">
        <v>1E-3</v>
      </c>
      <c r="I292" s="2629" t="s">
        <v>1146</v>
      </c>
    </row>
    <row r="293" spans="1:9" ht="16.5">
      <c r="A293" s="85" t="s">
        <v>2891</v>
      </c>
      <c r="B293" s="2362" t="s">
        <v>7902</v>
      </c>
      <c r="C293" s="9" t="s">
        <v>3451</v>
      </c>
      <c r="D293" s="78"/>
      <c r="E293" s="78"/>
      <c r="F293" s="79">
        <f t="shared" si="9"/>
        <v>0</v>
      </c>
      <c r="G293" s="80">
        <f t="shared" si="8"/>
        <v>0</v>
      </c>
      <c r="H293" s="81">
        <v>1.3552999999999999</v>
      </c>
      <c r="I293" s="2629" t="s">
        <v>1146</v>
      </c>
    </row>
    <row r="294" spans="1:9" ht="16.5">
      <c r="A294" s="85" t="s">
        <v>2892</v>
      </c>
      <c r="B294" s="2362" t="s">
        <v>7903</v>
      </c>
      <c r="C294" s="9" t="s">
        <v>3451</v>
      </c>
      <c r="D294" s="78"/>
      <c r="E294" s="78"/>
      <c r="F294" s="79">
        <f t="shared" si="9"/>
        <v>0</v>
      </c>
      <c r="G294" s="80">
        <f t="shared" si="8"/>
        <v>0</v>
      </c>
      <c r="H294" s="81">
        <v>0.21360000000000001</v>
      </c>
      <c r="I294" s="2629" t="s">
        <v>1146</v>
      </c>
    </row>
    <row r="295" spans="1:9" ht="16.5">
      <c r="A295" s="85" t="s">
        <v>2893</v>
      </c>
      <c r="B295" s="2362" t="s">
        <v>7904</v>
      </c>
      <c r="C295" s="9" t="s">
        <v>3451</v>
      </c>
      <c r="D295" s="78"/>
      <c r="E295" s="78"/>
      <c r="F295" s="79">
        <f t="shared" si="9"/>
        <v>0</v>
      </c>
      <c r="G295" s="80">
        <f t="shared" si="8"/>
        <v>0</v>
      </c>
      <c r="H295" s="81">
        <v>1.0154000000000001</v>
      </c>
      <c r="I295" s="2629" t="s">
        <v>1146</v>
      </c>
    </row>
    <row r="296" spans="1:9" ht="16.5">
      <c r="A296" s="85" t="s">
        <v>2894</v>
      </c>
      <c r="B296" s="2362" t="s">
        <v>7905</v>
      </c>
      <c r="C296" s="9" t="s">
        <v>3451</v>
      </c>
      <c r="D296" s="78"/>
      <c r="E296" s="78"/>
      <c r="F296" s="79">
        <f t="shared" si="9"/>
        <v>0</v>
      </c>
      <c r="G296" s="80">
        <f t="shared" si="8"/>
        <v>0</v>
      </c>
      <c r="H296" s="81">
        <v>0.36159999999999998</v>
      </c>
      <c r="I296" s="2629" t="s">
        <v>1146</v>
      </c>
    </row>
    <row r="297" spans="1:9" ht="16.5">
      <c r="A297" s="85" t="s">
        <v>2895</v>
      </c>
      <c r="B297" s="2362" t="s">
        <v>7906</v>
      </c>
      <c r="C297" s="9" t="s">
        <v>3451</v>
      </c>
      <c r="D297" s="78"/>
      <c r="E297" s="78"/>
      <c r="F297" s="79">
        <f t="shared" si="9"/>
        <v>0</v>
      </c>
      <c r="G297" s="80">
        <f t="shared" si="8"/>
        <v>0</v>
      </c>
      <c r="H297" s="81">
        <v>0.9446</v>
      </c>
      <c r="I297" s="2629" t="s">
        <v>1146</v>
      </c>
    </row>
    <row r="298" spans="1:9" ht="16.5">
      <c r="A298" s="85" t="s">
        <v>2896</v>
      </c>
      <c r="B298" s="2362" t="s">
        <v>7907</v>
      </c>
      <c r="C298" s="9" t="s">
        <v>3451</v>
      </c>
      <c r="D298" s="78"/>
      <c r="E298" s="78"/>
      <c r="F298" s="79">
        <f t="shared" si="9"/>
        <v>0</v>
      </c>
      <c r="G298" s="80">
        <f t="shared" si="8"/>
        <v>0</v>
      </c>
      <c r="H298" s="81">
        <v>0.22170000000000001</v>
      </c>
      <c r="I298" s="2629" t="s">
        <v>1146</v>
      </c>
    </row>
    <row r="299" spans="1:9" ht="16.5">
      <c r="A299" s="85" t="s">
        <v>2897</v>
      </c>
      <c r="B299" s="2362" t="s">
        <v>7908</v>
      </c>
      <c r="C299" s="9" t="s">
        <v>3451</v>
      </c>
      <c r="D299" s="78"/>
      <c r="E299" s="78"/>
      <c r="F299" s="79">
        <f t="shared" si="9"/>
        <v>0</v>
      </c>
      <c r="G299" s="80">
        <f t="shared" si="8"/>
        <v>0</v>
      </c>
      <c r="H299" s="81">
        <v>0.2001</v>
      </c>
      <c r="I299" s="2629" t="s">
        <v>1146</v>
      </c>
    </row>
    <row r="300" spans="1:9" ht="16.5">
      <c r="A300" s="85" t="s">
        <v>2898</v>
      </c>
      <c r="B300" s="2362" t="s">
        <v>7909</v>
      </c>
      <c r="C300" s="9" t="s">
        <v>3451</v>
      </c>
      <c r="D300" s="78"/>
      <c r="E300" s="78"/>
      <c r="F300" s="79">
        <f t="shared" si="9"/>
        <v>0</v>
      </c>
      <c r="G300" s="80">
        <f t="shared" si="8"/>
        <v>0</v>
      </c>
      <c r="H300" s="81">
        <v>0.39650000000000002</v>
      </c>
      <c r="I300" s="2629" t="s">
        <v>1146</v>
      </c>
    </row>
    <row r="301" spans="1:9" ht="16.5">
      <c r="A301" s="85" t="s">
        <v>2899</v>
      </c>
      <c r="B301" s="2362" t="s">
        <v>7910</v>
      </c>
      <c r="C301" s="9" t="s">
        <v>3451</v>
      </c>
      <c r="D301" s="78"/>
      <c r="E301" s="78"/>
      <c r="F301" s="79">
        <f t="shared" si="9"/>
        <v>0</v>
      </c>
      <c r="G301" s="80">
        <f t="shared" si="8"/>
        <v>0</v>
      </c>
      <c r="H301" s="81">
        <v>-6.2700000000000006E-2</v>
      </c>
      <c r="I301" s="2629" t="s">
        <v>1146</v>
      </c>
    </row>
    <row r="302" spans="1:9" ht="16.5">
      <c r="A302" s="85" t="s">
        <v>2900</v>
      </c>
      <c r="B302" s="2362" t="s">
        <v>7911</v>
      </c>
      <c r="C302" s="9" t="s">
        <v>3451</v>
      </c>
      <c r="D302" s="78"/>
      <c r="E302" s="78"/>
      <c r="F302" s="79">
        <f t="shared" si="9"/>
        <v>0</v>
      </c>
      <c r="G302" s="80">
        <f t="shared" si="8"/>
        <v>0</v>
      </c>
      <c r="H302" s="81">
        <v>0.99050000000000005</v>
      </c>
      <c r="I302" s="2629" t="s">
        <v>1146</v>
      </c>
    </row>
    <row r="303" spans="1:9" ht="16.5">
      <c r="A303" s="85" t="s">
        <v>2901</v>
      </c>
      <c r="B303" s="2362" t="s">
        <v>7912</v>
      </c>
      <c r="C303" s="9" t="s">
        <v>3451</v>
      </c>
      <c r="D303" s="78"/>
      <c r="E303" s="78"/>
      <c r="F303" s="79">
        <f t="shared" si="9"/>
        <v>0</v>
      </c>
      <c r="G303" s="80">
        <f t="shared" si="8"/>
        <v>0</v>
      </c>
      <c r="H303" s="81">
        <v>0.2621</v>
      </c>
      <c r="I303" s="2629" t="s">
        <v>1146</v>
      </c>
    </row>
    <row r="304" spans="1:9" ht="16.5">
      <c r="A304" s="85" t="s">
        <v>2902</v>
      </c>
      <c r="B304" s="2362" t="s">
        <v>7913</v>
      </c>
      <c r="C304" s="9" t="s">
        <v>3451</v>
      </c>
      <c r="D304" s="78"/>
      <c r="E304" s="78"/>
      <c r="F304" s="79">
        <f t="shared" si="9"/>
        <v>0</v>
      </c>
      <c r="G304" s="80">
        <f t="shared" si="8"/>
        <v>0</v>
      </c>
      <c r="H304" s="81">
        <v>9.4E-2</v>
      </c>
      <c r="I304" s="2629" t="s">
        <v>1146</v>
      </c>
    </row>
    <row r="305" spans="1:9" ht="16.5">
      <c r="A305" s="85" t="s">
        <v>2903</v>
      </c>
      <c r="B305" s="2362" t="s">
        <v>7914</v>
      </c>
      <c r="C305" s="9" t="s">
        <v>3451</v>
      </c>
      <c r="D305" s="78"/>
      <c r="E305" s="78"/>
      <c r="F305" s="79">
        <f t="shared" si="9"/>
        <v>0</v>
      </c>
      <c r="G305" s="80">
        <f t="shared" si="8"/>
        <v>0</v>
      </c>
      <c r="H305" s="81">
        <v>0.48149999999999998</v>
      </c>
      <c r="I305" s="2629" t="s">
        <v>1146</v>
      </c>
    </row>
    <row r="306" spans="1:9" ht="16.5">
      <c r="A306" s="85" t="s">
        <v>2904</v>
      </c>
      <c r="B306" s="2362" t="s">
        <v>7915</v>
      </c>
      <c r="C306" s="9" t="s">
        <v>3451</v>
      </c>
      <c r="D306" s="78"/>
      <c r="E306" s="78"/>
      <c r="F306" s="79">
        <f t="shared" si="9"/>
        <v>0</v>
      </c>
      <c r="G306" s="80">
        <f t="shared" si="8"/>
        <v>0</v>
      </c>
      <c r="H306" s="81">
        <v>0.9909</v>
      </c>
      <c r="I306" s="2629" t="s">
        <v>1146</v>
      </c>
    </row>
    <row r="307" spans="1:9" ht="16.5">
      <c r="A307" s="85" t="s">
        <v>2905</v>
      </c>
      <c r="B307" s="2362" t="s">
        <v>7916</v>
      </c>
      <c r="C307" s="9" t="s">
        <v>3451</v>
      </c>
      <c r="D307" s="78"/>
      <c r="E307" s="78"/>
      <c r="F307" s="79">
        <f t="shared" si="9"/>
        <v>0</v>
      </c>
      <c r="G307" s="80">
        <f t="shared" si="8"/>
        <v>0</v>
      </c>
      <c r="H307" s="81">
        <v>0.65059999999999996</v>
      </c>
      <c r="I307" s="2629" t="s">
        <v>1146</v>
      </c>
    </row>
    <row r="308" spans="1:9" ht="16.5">
      <c r="A308" s="85" t="s">
        <v>2906</v>
      </c>
      <c r="B308" s="2362" t="s">
        <v>7917</v>
      </c>
      <c r="C308" s="9" t="s">
        <v>3451</v>
      </c>
      <c r="D308" s="78"/>
      <c r="E308" s="78"/>
      <c r="F308" s="79">
        <f t="shared" si="9"/>
        <v>0</v>
      </c>
      <c r="G308" s="80">
        <f t="shared" si="8"/>
        <v>0</v>
      </c>
      <c r="H308" s="81">
        <v>1.7132000000000001</v>
      </c>
      <c r="I308" s="2629" t="s">
        <v>1146</v>
      </c>
    </row>
    <row r="309" spans="1:9" ht="16.5">
      <c r="A309" s="85" t="s">
        <v>2907</v>
      </c>
      <c r="B309" s="2362" t="s">
        <v>7918</v>
      </c>
      <c r="C309" s="9" t="s">
        <v>3451</v>
      </c>
      <c r="D309" s="78"/>
      <c r="E309" s="78"/>
      <c r="F309" s="79">
        <f t="shared" si="9"/>
        <v>0</v>
      </c>
      <c r="G309" s="80">
        <f t="shared" si="8"/>
        <v>0</v>
      </c>
      <c r="H309" s="81">
        <v>0.40510000000000002</v>
      </c>
      <c r="I309" s="2629" t="s">
        <v>1146</v>
      </c>
    </row>
    <row r="310" spans="1:9" ht="16.5">
      <c r="A310" s="85" t="s">
        <v>2908</v>
      </c>
      <c r="B310" s="2362" t="s">
        <v>7919</v>
      </c>
      <c r="C310" s="9" t="s">
        <v>3451</v>
      </c>
      <c r="D310" s="78"/>
      <c r="E310" s="78"/>
      <c r="F310" s="79">
        <f t="shared" si="9"/>
        <v>0</v>
      </c>
      <c r="G310" s="80">
        <f t="shared" si="8"/>
        <v>0</v>
      </c>
      <c r="H310" s="81">
        <v>0.65410000000000001</v>
      </c>
      <c r="I310" s="2629" t="s">
        <v>1146</v>
      </c>
    </row>
    <row r="311" spans="1:9" ht="16.5">
      <c r="A311" s="85" t="s">
        <v>2909</v>
      </c>
      <c r="B311" s="2362" t="s">
        <v>7920</v>
      </c>
      <c r="C311" s="9" t="s">
        <v>3451</v>
      </c>
      <c r="D311" s="78"/>
      <c r="E311" s="78"/>
      <c r="F311" s="79">
        <f t="shared" si="9"/>
        <v>0</v>
      </c>
      <c r="G311" s="80">
        <f t="shared" si="8"/>
        <v>0</v>
      </c>
      <c r="H311" s="81">
        <v>0.44330000000000003</v>
      </c>
      <c r="I311" s="2629" t="s">
        <v>1146</v>
      </c>
    </row>
    <row r="312" spans="1:9" ht="16.5">
      <c r="A312" s="85" t="s">
        <v>2910</v>
      </c>
      <c r="B312" s="2362" t="s">
        <v>7921</v>
      </c>
      <c r="C312" s="9" t="s">
        <v>3451</v>
      </c>
      <c r="D312" s="78"/>
      <c r="E312" s="78"/>
      <c r="F312" s="79">
        <f t="shared" si="9"/>
        <v>0</v>
      </c>
      <c r="G312" s="80">
        <f t="shared" si="8"/>
        <v>0</v>
      </c>
      <c r="H312" s="81">
        <v>0.13300000000000001</v>
      </c>
      <c r="I312" s="2629" t="s">
        <v>1146</v>
      </c>
    </row>
    <row r="313" spans="1:9" ht="16.5">
      <c r="A313" s="85" t="s">
        <v>5043</v>
      </c>
      <c r="B313" s="2362" t="s">
        <v>7922</v>
      </c>
      <c r="C313" s="9" t="s">
        <v>3451</v>
      </c>
      <c r="D313" s="78"/>
      <c r="E313" s="78"/>
      <c r="F313" s="79">
        <f t="shared" si="9"/>
        <v>0</v>
      </c>
      <c r="G313" s="80">
        <f t="shared" si="8"/>
        <v>0</v>
      </c>
      <c r="H313" s="81">
        <v>0.47210000000000002</v>
      </c>
      <c r="I313" s="2629" t="s">
        <v>1146</v>
      </c>
    </row>
    <row r="314" spans="1:9" ht="16.5">
      <c r="A314" s="85" t="s">
        <v>2911</v>
      </c>
      <c r="B314" s="2362" t="s">
        <v>7923</v>
      </c>
      <c r="C314" s="9" t="s">
        <v>3451</v>
      </c>
      <c r="D314" s="78"/>
      <c r="E314" s="78"/>
      <c r="F314" s="79">
        <f t="shared" si="9"/>
        <v>0</v>
      </c>
      <c r="G314" s="80">
        <f t="shared" si="8"/>
        <v>0</v>
      </c>
      <c r="H314" s="81">
        <v>0.4471</v>
      </c>
      <c r="I314" s="2619" t="s">
        <v>1146</v>
      </c>
    </row>
    <row r="315" spans="1:9" ht="16.5">
      <c r="A315" s="85" t="s">
        <v>2912</v>
      </c>
      <c r="B315" s="2362" t="s">
        <v>7924</v>
      </c>
      <c r="C315" s="9" t="s">
        <v>3451</v>
      </c>
      <c r="D315" s="78"/>
      <c r="E315" s="78"/>
      <c r="F315" s="79">
        <f t="shared" si="9"/>
        <v>0</v>
      </c>
      <c r="G315" s="80">
        <f t="shared" si="8"/>
        <v>0</v>
      </c>
      <c r="H315" s="81">
        <v>0.84689999999999999</v>
      </c>
      <c r="I315" s="2629" t="s">
        <v>1146</v>
      </c>
    </row>
    <row r="316" spans="1:9" ht="16.5">
      <c r="A316" s="85" t="s">
        <v>2913</v>
      </c>
      <c r="B316" s="2362" t="s">
        <v>7925</v>
      </c>
      <c r="C316" s="9" t="s">
        <v>3451</v>
      </c>
      <c r="D316" s="78"/>
      <c r="E316" s="78"/>
      <c r="F316" s="79">
        <f t="shared" si="9"/>
        <v>0</v>
      </c>
      <c r="G316" s="80">
        <f t="shared" si="8"/>
        <v>0</v>
      </c>
      <c r="H316" s="81">
        <v>0.2442</v>
      </c>
      <c r="I316" s="2629" t="s">
        <v>1146</v>
      </c>
    </row>
    <row r="317" spans="1:9" ht="16.5">
      <c r="A317" s="85" t="s">
        <v>5044</v>
      </c>
      <c r="B317" s="2362" t="s">
        <v>7926</v>
      </c>
      <c r="C317" s="9" t="s">
        <v>3451</v>
      </c>
      <c r="D317" s="78"/>
      <c r="E317" s="78"/>
      <c r="F317" s="79">
        <f t="shared" si="9"/>
        <v>0</v>
      </c>
      <c r="G317" s="80">
        <f t="shared" si="8"/>
        <v>0</v>
      </c>
      <c r="H317" s="81">
        <v>0.39290000000000003</v>
      </c>
      <c r="I317" s="2629" t="s">
        <v>1146</v>
      </c>
    </row>
    <row r="318" spans="1:9" ht="16.5">
      <c r="A318" s="85" t="s">
        <v>2914</v>
      </c>
      <c r="B318" s="2362" t="s">
        <v>7927</v>
      </c>
      <c r="C318" s="9" t="s">
        <v>3451</v>
      </c>
      <c r="D318" s="78"/>
      <c r="E318" s="78"/>
      <c r="F318" s="79">
        <f t="shared" si="9"/>
        <v>0</v>
      </c>
      <c r="G318" s="80">
        <f t="shared" si="8"/>
        <v>0</v>
      </c>
      <c r="H318" s="81">
        <v>0.38769999999999999</v>
      </c>
      <c r="I318" s="2629" t="s">
        <v>1146</v>
      </c>
    </row>
    <row r="319" spans="1:9" ht="16.5">
      <c r="A319" s="85" t="s">
        <v>5045</v>
      </c>
      <c r="B319" s="2362" t="s">
        <v>7928</v>
      </c>
      <c r="C319" s="9" t="s">
        <v>3451</v>
      </c>
      <c r="D319" s="78"/>
      <c r="E319" s="78"/>
      <c r="F319" s="79">
        <f t="shared" si="9"/>
        <v>0</v>
      </c>
      <c r="G319" s="80">
        <f t="shared" si="8"/>
        <v>0</v>
      </c>
      <c r="H319" s="81">
        <v>0.3085</v>
      </c>
      <c r="I319" s="2629" t="s">
        <v>1146</v>
      </c>
    </row>
    <row r="320" spans="1:9" ht="16.5">
      <c r="A320" s="85" t="s">
        <v>2915</v>
      </c>
      <c r="B320" s="2362" t="s">
        <v>7929</v>
      </c>
      <c r="C320" s="9" t="s">
        <v>3451</v>
      </c>
      <c r="D320" s="78"/>
      <c r="E320" s="78"/>
      <c r="F320" s="79">
        <f t="shared" si="9"/>
        <v>0</v>
      </c>
      <c r="G320" s="80">
        <f t="shared" si="8"/>
        <v>0</v>
      </c>
      <c r="H320" s="81">
        <v>5.6899999999999999E-2</v>
      </c>
      <c r="I320" s="2629" t="s">
        <v>1146</v>
      </c>
    </row>
    <row r="321" spans="1:9" ht="16.5">
      <c r="A321" s="85" t="s">
        <v>2916</v>
      </c>
      <c r="B321" s="2362" t="s">
        <v>7930</v>
      </c>
      <c r="C321" s="9" t="s">
        <v>3451</v>
      </c>
      <c r="D321" s="78"/>
      <c r="E321" s="78"/>
      <c r="F321" s="79">
        <f t="shared" si="9"/>
        <v>0</v>
      </c>
      <c r="G321" s="80">
        <f t="shared" si="8"/>
        <v>0</v>
      </c>
      <c r="H321" s="81">
        <v>0.53320000000000001</v>
      </c>
      <c r="I321" s="2629" t="s">
        <v>1146</v>
      </c>
    </row>
    <row r="322" spans="1:9" ht="16.5">
      <c r="A322" s="85" t="s">
        <v>2917</v>
      </c>
      <c r="B322" s="2362" t="s">
        <v>7931</v>
      </c>
      <c r="C322" s="9" t="s">
        <v>3451</v>
      </c>
      <c r="D322" s="78"/>
      <c r="E322" s="78"/>
      <c r="F322" s="79">
        <f t="shared" si="9"/>
        <v>0</v>
      </c>
      <c r="G322" s="80">
        <f t="shared" si="8"/>
        <v>0</v>
      </c>
      <c r="H322" s="81">
        <v>0.28520000000000001</v>
      </c>
      <c r="I322" s="2629" t="s">
        <v>1146</v>
      </c>
    </row>
    <row r="323" spans="1:9" ht="16.5">
      <c r="A323" s="85" t="s">
        <v>2918</v>
      </c>
      <c r="B323" s="2362" t="s">
        <v>7932</v>
      </c>
      <c r="C323" s="9" t="s">
        <v>3451</v>
      </c>
      <c r="D323" s="78"/>
      <c r="E323" s="78"/>
      <c r="F323" s="79">
        <f t="shared" si="9"/>
        <v>0</v>
      </c>
      <c r="G323" s="80">
        <f t="shared" si="8"/>
        <v>0</v>
      </c>
      <c r="H323" s="81">
        <v>0.20280000000000001</v>
      </c>
      <c r="I323" s="2629" t="s">
        <v>1146</v>
      </c>
    </row>
    <row r="324" spans="1:9" ht="16.5">
      <c r="A324" s="85" t="s">
        <v>2919</v>
      </c>
      <c r="B324" s="2362" t="s">
        <v>7933</v>
      </c>
      <c r="C324" s="9" t="s">
        <v>3451</v>
      </c>
      <c r="D324" s="78"/>
      <c r="E324" s="78"/>
      <c r="F324" s="79">
        <f t="shared" si="9"/>
        <v>0</v>
      </c>
      <c r="G324" s="80">
        <f t="shared" ref="G324:G387" si="10">IF($F$836=0,0,F324/$F$836)</f>
        <v>0</v>
      </c>
      <c r="H324" s="81">
        <v>0.22109999999999999</v>
      </c>
      <c r="I324" s="2629" t="s">
        <v>1146</v>
      </c>
    </row>
    <row r="325" spans="1:9" ht="16.5">
      <c r="A325" s="85" t="s">
        <v>2920</v>
      </c>
      <c r="B325" s="2362" t="s">
        <v>7934</v>
      </c>
      <c r="C325" s="9" t="s">
        <v>3451</v>
      </c>
      <c r="D325" s="78"/>
      <c r="E325" s="78"/>
      <c r="F325" s="79">
        <f t="shared" ref="F325:F388" si="11">D325*E325</f>
        <v>0</v>
      </c>
      <c r="G325" s="80">
        <f t="shared" si="10"/>
        <v>0</v>
      </c>
      <c r="H325" s="81">
        <v>6.7000000000000002E-3</v>
      </c>
      <c r="I325" s="2629" t="s">
        <v>1146</v>
      </c>
    </row>
    <row r="326" spans="1:9" ht="16.5">
      <c r="A326" s="85" t="s">
        <v>2921</v>
      </c>
      <c r="B326" s="2362" t="s">
        <v>7935</v>
      </c>
      <c r="C326" s="9" t="s">
        <v>3451</v>
      </c>
      <c r="D326" s="78"/>
      <c r="E326" s="78"/>
      <c r="F326" s="79">
        <f t="shared" si="11"/>
        <v>0</v>
      </c>
      <c r="G326" s="80">
        <f t="shared" si="10"/>
        <v>0</v>
      </c>
      <c r="H326" s="81">
        <v>0.48180000000000001</v>
      </c>
      <c r="I326" s="2629" t="s">
        <v>1146</v>
      </c>
    </row>
    <row r="327" spans="1:9" ht="16.5">
      <c r="A327" s="85" t="s">
        <v>2922</v>
      </c>
      <c r="B327" s="2362" t="s">
        <v>7936</v>
      </c>
      <c r="C327" s="9" t="s">
        <v>3451</v>
      </c>
      <c r="D327" s="78"/>
      <c r="E327" s="78"/>
      <c r="F327" s="79">
        <f t="shared" si="11"/>
        <v>0</v>
      </c>
      <c r="G327" s="80">
        <f t="shared" si="10"/>
        <v>0</v>
      </c>
      <c r="H327" s="81">
        <v>0.19239999999999999</v>
      </c>
      <c r="I327" s="2629" t="s">
        <v>1146</v>
      </c>
    </row>
    <row r="328" spans="1:9" ht="16.5">
      <c r="A328" s="85" t="s">
        <v>2923</v>
      </c>
      <c r="B328" s="2362" t="s">
        <v>7937</v>
      </c>
      <c r="C328" s="9" t="s">
        <v>3451</v>
      </c>
      <c r="D328" s="78"/>
      <c r="E328" s="78"/>
      <c r="F328" s="79">
        <f t="shared" si="11"/>
        <v>0</v>
      </c>
      <c r="G328" s="80">
        <f t="shared" si="10"/>
        <v>0</v>
      </c>
      <c r="H328" s="81">
        <v>1.1607000000000001</v>
      </c>
      <c r="I328" s="2629" t="s">
        <v>1146</v>
      </c>
    </row>
    <row r="329" spans="1:9" ht="16.5">
      <c r="A329" s="85" t="s">
        <v>2924</v>
      </c>
      <c r="B329" s="2362" t="s">
        <v>7938</v>
      </c>
      <c r="C329" s="9" t="s">
        <v>3451</v>
      </c>
      <c r="D329" s="78"/>
      <c r="E329" s="78"/>
      <c r="F329" s="79">
        <f t="shared" si="11"/>
        <v>0</v>
      </c>
      <c r="G329" s="80">
        <f t="shared" si="10"/>
        <v>0</v>
      </c>
      <c r="H329" s="81">
        <v>0.85940000000000005</v>
      </c>
      <c r="I329" s="2629" t="s">
        <v>1146</v>
      </c>
    </row>
    <row r="330" spans="1:9" ht="16.5">
      <c r="A330" s="85" t="s">
        <v>2925</v>
      </c>
      <c r="B330" s="2362" t="s">
        <v>7939</v>
      </c>
      <c r="C330" s="9" t="s">
        <v>3451</v>
      </c>
      <c r="D330" s="78"/>
      <c r="E330" s="78"/>
      <c r="F330" s="79">
        <f t="shared" si="11"/>
        <v>0</v>
      </c>
      <c r="G330" s="80">
        <f t="shared" si="10"/>
        <v>0</v>
      </c>
      <c r="H330" s="81">
        <v>0.96509999999999996</v>
      </c>
      <c r="I330" s="2629" t="s">
        <v>1146</v>
      </c>
    </row>
    <row r="331" spans="1:9" ht="16.5">
      <c r="A331" s="85" t="s">
        <v>2926</v>
      </c>
      <c r="B331" s="2362" t="s">
        <v>7940</v>
      </c>
      <c r="C331" s="9" t="s">
        <v>3451</v>
      </c>
      <c r="D331" s="78"/>
      <c r="E331" s="78"/>
      <c r="F331" s="79">
        <f t="shared" si="11"/>
        <v>0</v>
      </c>
      <c r="G331" s="80">
        <f t="shared" si="10"/>
        <v>0</v>
      </c>
      <c r="H331" s="81">
        <v>0.3261</v>
      </c>
      <c r="I331" s="2629" t="s">
        <v>1146</v>
      </c>
    </row>
    <row r="332" spans="1:9" ht="16.5">
      <c r="A332" s="85" t="s">
        <v>2927</v>
      </c>
      <c r="B332" s="2362" t="s">
        <v>7941</v>
      </c>
      <c r="C332" s="9" t="s">
        <v>3451</v>
      </c>
      <c r="D332" s="78"/>
      <c r="E332" s="78"/>
      <c r="F332" s="79">
        <f t="shared" si="11"/>
        <v>0</v>
      </c>
      <c r="G332" s="80">
        <f t="shared" si="10"/>
        <v>0</v>
      </c>
      <c r="H332" s="81">
        <v>0.1237</v>
      </c>
      <c r="I332" s="2629" t="s">
        <v>1146</v>
      </c>
    </row>
    <row r="333" spans="1:9" ht="16.5">
      <c r="A333" s="85" t="s">
        <v>2929</v>
      </c>
      <c r="B333" s="2362" t="s">
        <v>7942</v>
      </c>
      <c r="C333" s="9" t="s">
        <v>3451</v>
      </c>
      <c r="D333" s="78"/>
      <c r="E333" s="78"/>
      <c r="F333" s="79">
        <f t="shared" si="11"/>
        <v>0</v>
      </c>
      <c r="G333" s="80">
        <f t="shared" si="10"/>
        <v>0</v>
      </c>
      <c r="H333" s="81">
        <v>0.31019999999999998</v>
      </c>
      <c r="I333" s="2629" t="s">
        <v>1146</v>
      </c>
    </row>
    <row r="334" spans="1:9" ht="16.5">
      <c r="A334" s="85" t="s">
        <v>2930</v>
      </c>
      <c r="B334" s="2362" t="s">
        <v>7943</v>
      </c>
      <c r="C334" s="9" t="s">
        <v>3451</v>
      </c>
      <c r="D334" s="78"/>
      <c r="E334" s="78"/>
      <c r="F334" s="79">
        <f t="shared" si="11"/>
        <v>0</v>
      </c>
      <c r="G334" s="80">
        <f t="shared" si="10"/>
        <v>0</v>
      </c>
      <c r="H334" s="81">
        <v>1.1338999999999999</v>
      </c>
      <c r="I334" s="2629" t="s">
        <v>1146</v>
      </c>
    </row>
    <row r="335" spans="1:9" ht="16.5">
      <c r="A335" s="85" t="s">
        <v>2931</v>
      </c>
      <c r="B335" s="2362" t="s">
        <v>7944</v>
      </c>
      <c r="C335" s="9" t="s">
        <v>3451</v>
      </c>
      <c r="D335" s="78"/>
      <c r="E335" s="78"/>
      <c r="F335" s="79">
        <f t="shared" si="11"/>
        <v>0</v>
      </c>
      <c r="G335" s="80">
        <f t="shared" si="10"/>
        <v>0</v>
      </c>
      <c r="H335" s="81">
        <v>0.91600000000000004</v>
      </c>
      <c r="I335" s="2629" t="s">
        <v>1146</v>
      </c>
    </row>
    <row r="336" spans="1:9" ht="16.5">
      <c r="A336" s="85" t="s">
        <v>2932</v>
      </c>
      <c r="B336" s="2362" t="s">
        <v>7945</v>
      </c>
      <c r="C336" s="9" t="s">
        <v>3451</v>
      </c>
      <c r="D336" s="78"/>
      <c r="E336" s="78"/>
      <c r="F336" s="79">
        <f t="shared" si="11"/>
        <v>0</v>
      </c>
      <c r="G336" s="80">
        <f t="shared" si="10"/>
        <v>0</v>
      </c>
      <c r="H336" s="81">
        <v>0.29709999999999998</v>
      </c>
      <c r="I336" s="2629" t="s">
        <v>1146</v>
      </c>
    </row>
    <row r="337" spans="1:9" ht="16.5">
      <c r="A337" s="85" t="s">
        <v>2933</v>
      </c>
      <c r="B337" s="2362" t="s">
        <v>7946</v>
      </c>
      <c r="C337" s="9" t="s">
        <v>3451</v>
      </c>
      <c r="D337" s="78"/>
      <c r="E337" s="78"/>
      <c r="F337" s="79">
        <f t="shared" si="11"/>
        <v>0</v>
      </c>
      <c r="G337" s="80">
        <f t="shared" si="10"/>
        <v>0</v>
      </c>
      <c r="H337" s="81">
        <v>0.94310000000000005</v>
      </c>
      <c r="I337" s="2629" t="s">
        <v>1146</v>
      </c>
    </row>
    <row r="338" spans="1:9" ht="16.5">
      <c r="A338" s="85" t="s">
        <v>2934</v>
      </c>
      <c r="B338" s="2362" t="s">
        <v>7947</v>
      </c>
      <c r="C338" s="9" t="s">
        <v>3451</v>
      </c>
      <c r="D338" s="78"/>
      <c r="E338" s="78"/>
      <c r="F338" s="79">
        <f t="shared" si="11"/>
        <v>0</v>
      </c>
      <c r="G338" s="80">
        <f t="shared" si="10"/>
        <v>0</v>
      </c>
      <c r="H338" s="81">
        <v>0.22850000000000001</v>
      </c>
      <c r="I338" s="2629" t="s">
        <v>1146</v>
      </c>
    </row>
    <row r="339" spans="1:9" ht="16.5">
      <c r="A339" s="85" t="s">
        <v>2935</v>
      </c>
      <c r="B339" s="2362" t="s">
        <v>7948</v>
      </c>
      <c r="C339" s="9" t="s">
        <v>3451</v>
      </c>
      <c r="D339" s="78"/>
      <c r="E339" s="78"/>
      <c r="F339" s="79">
        <f t="shared" si="11"/>
        <v>0</v>
      </c>
      <c r="G339" s="80">
        <f t="shared" si="10"/>
        <v>0</v>
      </c>
      <c r="H339" s="81">
        <v>0.84640000000000004</v>
      </c>
      <c r="I339" s="2629" t="s">
        <v>1146</v>
      </c>
    </row>
    <row r="340" spans="1:9" ht="16.5">
      <c r="A340" s="85" t="s">
        <v>2936</v>
      </c>
      <c r="B340" s="2362" t="s">
        <v>7949</v>
      </c>
      <c r="C340" s="9" t="s">
        <v>3451</v>
      </c>
      <c r="D340" s="78"/>
      <c r="E340" s="78"/>
      <c r="F340" s="79">
        <f t="shared" si="11"/>
        <v>0</v>
      </c>
      <c r="G340" s="80">
        <f t="shared" si="10"/>
        <v>0</v>
      </c>
      <c r="H340" s="81">
        <v>0.12870000000000001</v>
      </c>
      <c r="I340" s="2629" t="s">
        <v>1146</v>
      </c>
    </row>
    <row r="341" spans="1:9" ht="16.5">
      <c r="A341" s="85" t="s">
        <v>5046</v>
      </c>
      <c r="B341" s="2362" t="s">
        <v>7950</v>
      </c>
      <c r="C341" s="9" t="s">
        <v>3451</v>
      </c>
      <c r="D341" s="78"/>
      <c r="E341" s="78"/>
      <c r="F341" s="79">
        <f t="shared" si="11"/>
        <v>0</v>
      </c>
      <c r="G341" s="80">
        <f t="shared" si="10"/>
        <v>0</v>
      </c>
      <c r="H341" s="81">
        <v>1.1753</v>
      </c>
      <c r="I341" s="2629" t="s">
        <v>1146</v>
      </c>
    </row>
    <row r="342" spans="1:9" ht="16.5">
      <c r="A342" s="85" t="s">
        <v>2937</v>
      </c>
      <c r="B342" s="2362" t="s">
        <v>7951</v>
      </c>
      <c r="C342" s="9" t="s">
        <v>3451</v>
      </c>
      <c r="D342" s="78"/>
      <c r="E342" s="78"/>
      <c r="F342" s="79">
        <f t="shared" si="11"/>
        <v>0</v>
      </c>
      <c r="G342" s="80">
        <f t="shared" si="10"/>
        <v>0</v>
      </c>
      <c r="H342" s="81">
        <v>9.1800000000000007E-2</v>
      </c>
      <c r="I342" s="2629" t="s">
        <v>1146</v>
      </c>
    </row>
    <row r="343" spans="1:9" ht="16.5">
      <c r="A343" s="85" t="s">
        <v>2938</v>
      </c>
      <c r="B343" s="2362" t="s">
        <v>7952</v>
      </c>
      <c r="C343" s="9" t="s">
        <v>3451</v>
      </c>
      <c r="D343" s="78"/>
      <c r="E343" s="78"/>
      <c r="F343" s="79">
        <f t="shared" si="11"/>
        <v>0</v>
      </c>
      <c r="G343" s="80">
        <f t="shared" si="10"/>
        <v>0</v>
      </c>
      <c r="H343" s="81">
        <v>-3.6499999999999998E-2</v>
      </c>
      <c r="I343" s="2629" t="s">
        <v>1146</v>
      </c>
    </row>
    <row r="344" spans="1:9" ht="16.5">
      <c r="A344" s="85" t="s">
        <v>2939</v>
      </c>
      <c r="B344" s="2362" t="s">
        <v>7953</v>
      </c>
      <c r="C344" s="9" t="s">
        <v>3451</v>
      </c>
      <c r="D344" s="78"/>
      <c r="E344" s="78"/>
      <c r="F344" s="79">
        <f t="shared" si="11"/>
        <v>0</v>
      </c>
      <c r="G344" s="80">
        <f t="shared" si="10"/>
        <v>0</v>
      </c>
      <c r="H344" s="81">
        <v>0.44190000000000002</v>
      </c>
      <c r="I344" s="2629" t="s">
        <v>1146</v>
      </c>
    </row>
    <row r="345" spans="1:9" ht="16.5">
      <c r="A345" s="85" t="s">
        <v>2940</v>
      </c>
      <c r="B345" s="2362" t="s">
        <v>7954</v>
      </c>
      <c r="C345" s="9" t="s">
        <v>3451</v>
      </c>
      <c r="D345" s="78"/>
      <c r="E345" s="78"/>
      <c r="F345" s="79">
        <f t="shared" si="11"/>
        <v>0</v>
      </c>
      <c r="G345" s="80">
        <f t="shared" si="10"/>
        <v>0</v>
      </c>
      <c r="H345" s="81">
        <v>0.32129999999999997</v>
      </c>
      <c r="I345" s="2629" t="s">
        <v>1146</v>
      </c>
    </row>
    <row r="346" spans="1:9" ht="16.5">
      <c r="A346" s="85" t="s">
        <v>2941</v>
      </c>
      <c r="B346" s="2362" t="s">
        <v>7955</v>
      </c>
      <c r="C346" s="9" t="s">
        <v>3451</v>
      </c>
      <c r="D346" s="78"/>
      <c r="E346" s="78"/>
      <c r="F346" s="79">
        <f t="shared" si="11"/>
        <v>0</v>
      </c>
      <c r="G346" s="80">
        <f t="shared" si="10"/>
        <v>0</v>
      </c>
      <c r="H346" s="81">
        <v>0.40579999999999999</v>
      </c>
      <c r="I346" s="2629" t="s">
        <v>1146</v>
      </c>
    </row>
    <row r="347" spans="1:9" ht="16.5">
      <c r="A347" s="85" t="s">
        <v>2942</v>
      </c>
      <c r="B347" s="2362" t="s">
        <v>7956</v>
      </c>
      <c r="C347" s="9" t="s">
        <v>3451</v>
      </c>
      <c r="D347" s="78"/>
      <c r="E347" s="78"/>
      <c r="F347" s="79">
        <f t="shared" si="11"/>
        <v>0</v>
      </c>
      <c r="G347" s="80">
        <f t="shared" si="10"/>
        <v>0</v>
      </c>
      <c r="H347" s="81">
        <v>1.1798</v>
      </c>
      <c r="I347" s="2629" t="s">
        <v>1146</v>
      </c>
    </row>
    <row r="348" spans="1:9" ht="16.5">
      <c r="A348" s="85" t="s">
        <v>2943</v>
      </c>
      <c r="B348" s="2362" t="s">
        <v>7957</v>
      </c>
      <c r="C348" s="9" t="s">
        <v>3451</v>
      </c>
      <c r="D348" s="78"/>
      <c r="E348" s="78"/>
      <c r="F348" s="79">
        <f t="shared" si="11"/>
        <v>0</v>
      </c>
      <c r="G348" s="80">
        <f t="shared" si="10"/>
        <v>0</v>
      </c>
      <c r="H348" s="81">
        <v>1.4177</v>
      </c>
      <c r="I348" s="2629" t="s">
        <v>1146</v>
      </c>
    </row>
    <row r="349" spans="1:9" ht="16.5">
      <c r="A349" s="85" t="s">
        <v>2944</v>
      </c>
      <c r="B349" s="2362" t="s">
        <v>7958</v>
      </c>
      <c r="C349" s="9" t="s">
        <v>3451</v>
      </c>
      <c r="D349" s="78"/>
      <c r="E349" s="78"/>
      <c r="F349" s="79">
        <f t="shared" si="11"/>
        <v>0</v>
      </c>
      <c r="G349" s="80">
        <f t="shared" si="10"/>
        <v>0</v>
      </c>
      <c r="H349" s="81">
        <v>0.76380000000000003</v>
      </c>
      <c r="I349" s="2629" t="s">
        <v>1146</v>
      </c>
    </row>
    <row r="350" spans="1:9" ht="16.5">
      <c r="A350" s="85" t="s">
        <v>5047</v>
      </c>
      <c r="B350" s="2362" t="s">
        <v>7959</v>
      </c>
      <c r="C350" s="9" t="s">
        <v>3451</v>
      </c>
      <c r="D350" s="78"/>
      <c r="E350" s="78"/>
      <c r="F350" s="79">
        <f t="shared" si="11"/>
        <v>0</v>
      </c>
      <c r="G350" s="80">
        <f t="shared" si="10"/>
        <v>0</v>
      </c>
      <c r="H350" s="81">
        <v>0.81850000000000001</v>
      </c>
      <c r="I350" s="2629" t="s">
        <v>1146</v>
      </c>
    </row>
    <row r="351" spans="1:9" ht="16.5">
      <c r="A351" s="85" t="s">
        <v>2945</v>
      </c>
      <c r="B351" s="2362" t="s">
        <v>7960</v>
      </c>
      <c r="C351" s="9" t="s">
        <v>3451</v>
      </c>
      <c r="D351" s="78"/>
      <c r="E351" s="78"/>
      <c r="F351" s="79">
        <f t="shared" si="11"/>
        <v>0</v>
      </c>
      <c r="G351" s="80">
        <f t="shared" si="10"/>
        <v>0</v>
      </c>
      <c r="H351" s="81">
        <v>0.3347</v>
      </c>
      <c r="I351" s="2619" t="s">
        <v>1146</v>
      </c>
    </row>
    <row r="352" spans="1:9" ht="16.5">
      <c r="A352" s="85" t="s">
        <v>2946</v>
      </c>
      <c r="B352" s="2362" t="s">
        <v>7961</v>
      </c>
      <c r="C352" s="9" t="s">
        <v>3451</v>
      </c>
      <c r="D352" s="78"/>
      <c r="E352" s="78"/>
      <c r="F352" s="79">
        <f t="shared" si="11"/>
        <v>0</v>
      </c>
      <c r="G352" s="80">
        <f t="shared" si="10"/>
        <v>0</v>
      </c>
      <c r="H352" s="81">
        <v>1.2275</v>
      </c>
      <c r="I352" s="2629" t="s">
        <v>1146</v>
      </c>
    </row>
    <row r="353" spans="1:9" ht="16.5">
      <c r="A353" s="85" t="s">
        <v>2947</v>
      </c>
      <c r="B353" s="2362" t="s">
        <v>7962</v>
      </c>
      <c r="C353" s="9" t="s">
        <v>3451</v>
      </c>
      <c r="D353" s="78"/>
      <c r="E353" s="78"/>
      <c r="F353" s="79">
        <f t="shared" si="11"/>
        <v>0</v>
      </c>
      <c r="G353" s="80">
        <f t="shared" si="10"/>
        <v>0</v>
      </c>
      <c r="H353" s="81">
        <v>0.47910000000000003</v>
      </c>
      <c r="I353" s="2629" t="s">
        <v>1146</v>
      </c>
    </row>
    <row r="354" spans="1:9" ht="16.5">
      <c r="A354" s="85" t="s">
        <v>2948</v>
      </c>
      <c r="B354" s="2362" t="s">
        <v>7963</v>
      </c>
      <c r="C354" s="9" t="s">
        <v>3451</v>
      </c>
      <c r="D354" s="78"/>
      <c r="E354" s="78"/>
      <c r="F354" s="79">
        <f t="shared" si="11"/>
        <v>0</v>
      </c>
      <c r="G354" s="80">
        <f t="shared" si="10"/>
        <v>0</v>
      </c>
      <c r="H354" s="81">
        <v>0.41370000000000001</v>
      </c>
      <c r="I354" s="2629" t="s">
        <v>1146</v>
      </c>
    </row>
    <row r="355" spans="1:9" ht="16.5">
      <c r="A355" s="85" t="s">
        <v>2949</v>
      </c>
      <c r="B355" s="2362" t="s">
        <v>7964</v>
      </c>
      <c r="C355" s="9" t="s">
        <v>3451</v>
      </c>
      <c r="D355" s="78"/>
      <c r="E355" s="78"/>
      <c r="F355" s="79">
        <f t="shared" si="11"/>
        <v>0</v>
      </c>
      <c r="G355" s="80">
        <f t="shared" si="10"/>
        <v>0</v>
      </c>
      <c r="H355" s="81">
        <v>1.119</v>
      </c>
      <c r="I355" s="2629" t="s">
        <v>1146</v>
      </c>
    </row>
    <row r="356" spans="1:9" ht="16.5">
      <c r="A356" s="85" t="s">
        <v>2950</v>
      </c>
      <c r="B356" s="2362" t="s">
        <v>7965</v>
      </c>
      <c r="C356" s="9" t="s">
        <v>3451</v>
      </c>
      <c r="D356" s="78"/>
      <c r="E356" s="78"/>
      <c r="F356" s="79">
        <f t="shared" si="11"/>
        <v>0</v>
      </c>
      <c r="G356" s="80">
        <f t="shared" si="10"/>
        <v>0</v>
      </c>
      <c r="H356" s="81">
        <v>0.46239999999999998</v>
      </c>
      <c r="I356" s="2629" t="s">
        <v>1146</v>
      </c>
    </row>
    <row r="357" spans="1:9" ht="16.5">
      <c r="A357" s="85" t="s">
        <v>2951</v>
      </c>
      <c r="B357" s="2362" t="s">
        <v>7966</v>
      </c>
      <c r="C357" s="9" t="s">
        <v>3451</v>
      </c>
      <c r="D357" s="78"/>
      <c r="E357" s="78"/>
      <c r="F357" s="79">
        <f t="shared" si="11"/>
        <v>0</v>
      </c>
      <c r="G357" s="80">
        <f t="shared" si="10"/>
        <v>0</v>
      </c>
      <c r="H357" s="81">
        <v>0.25409999999999999</v>
      </c>
      <c r="I357" s="2629" t="s">
        <v>1146</v>
      </c>
    </row>
    <row r="358" spans="1:9" ht="16.5">
      <c r="A358" s="85" t="s">
        <v>5048</v>
      </c>
      <c r="B358" s="2362" t="s">
        <v>7967</v>
      </c>
      <c r="C358" s="9" t="s">
        <v>3451</v>
      </c>
      <c r="D358" s="78"/>
      <c r="E358" s="78"/>
      <c r="F358" s="79">
        <f t="shared" si="11"/>
        <v>0</v>
      </c>
      <c r="G358" s="80">
        <f t="shared" si="10"/>
        <v>0</v>
      </c>
      <c r="H358" s="81">
        <v>1.3409</v>
      </c>
      <c r="I358" s="2629" t="s">
        <v>1146</v>
      </c>
    </row>
    <row r="359" spans="1:9" ht="16.5">
      <c r="A359" s="85" t="s">
        <v>2952</v>
      </c>
      <c r="B359" s="2362" t="s">
        <v>7968</v>
      </c>
      <c r="C359" s="9" t="s">
        <v>3451</v>
      </c>
      <c r="D359" s="78"/>
      <c r="E359" s="78"/>
      <c r="F359" s="79">
        <f t="shared" si="11"/>
        <v>0</v>
      </c>
      <c r="G359" s="80">
        <f t="shared" si="10"/>
        <v>0</v>
      </c>
      <c r="H359" s="81">
        <v>1.4997</v>
      </c>
      <c r="I359" s="2629" t="s">
        <v>1146</v>
      </c>
    </row>
    <row r="360" spans="1:9" ht="16.5">
      <c r="A360" s="85" t="s">
        <v>2953</v>
      </c>
      <c r="B360" s="2362" t="s">
        <v>7969</v>
      </c>
      <c r="C360" s="9" t="s">
        <v>3451</v>
      </c>
      <c r="D360" s="78"/>
      <c r="E360" s="78"/>
      <c r="F360" s="79">
        <f t="shared" si="11"/>
        <v>0</v>
      </c>
      <c r="G360" s="80">
        <f t="shared" si="10"/>
        <v>0</v>
      </c>
      <c r="H360" s="81">
        <v>1.8694</v>
      </c>
      <c r="I360" s="2629" t="s">
        <v>1146</v>
      </c>
    </row>
    <row r="361" spans="1:9" ht="16.5">
      <c r="A361" s="85" t="s">
        <v>2954</v>
      </c>
      <c r="B361" s="2362" t="s">
        <v>5049</v>
      </c>
      <c r="C361" s="9" t="s">
        <v>3451</v>
      </c>
      <c r="D361" s="78"/>
      <c r="E361" s="78"/>
      <c r="F361" s="79">
        <f t="shared" si="11"/>
        <v>0</v>
      </c>
      <c r="G361" s="80">
        <f t="shared" si="10"/>
        <v>0</v>
      </c>
      <c r="H361" s="81">
        <v>1.0528</v>
      </c>
      <c r="I361" s="2629" t="s">
        <v>1146</v>
      </c>
    </row>
    <row r="362" spans="1:9" ht="16.5">
      <c r="A362" s="85" t="s">
        <v>2955</v>
      </c>
      <c r="B362" s="2362" t="s">
        <v>7970</v>
      </c>
      <c r="C362" s="9" t="s">
        <v>3451</v>
      </c>
      <c r="D362" s="78"/>
      <c r="E362" s="78"/>
      <c r="F362" s="79">
        <f t="shared" si="11"/>
        <v>0</v>
      </c>
      <c r="G362" s="80">
        <f t="shared" si="10"/>
        <v>0</v>
      </c>
      <c r="H362" s="81">
        <v>9.7100000000000006E-2</v>
      </c>
      <c r="I362" s="2629" t="s">
        <v>1146</v>
      </c>
    </row>
    <row r="363" spans="1:9" ht="16.5">
      <c r="A363" s="85" t="s">
        <v>2956</v>
      </c>
      <c r="B363" s="2362" t="s">
        <v>7971</v>
      </c>
      <c r="C363" s="9" t="s">
        <v>3451</v>
      </c>
      <c r="D363" s="78"/>
      <c r="E363" s="78"/>
      <c r="F363" s="79">
        <f t="shared" si="11"/>
        <v>0</v>
      </c>
      <c r="G363" s="80">
        <f t="shared" si="10"/>
        <v>0</v>
      </c>
      <c r="H363" s="81">
        <v>1.3419000000000001</v>
      </c>
      <c r="I363" s="2629" t="s">
        <v>1146</v>
      </c>
    </row>
    <row r="364" spans="1:9" ht="16.5">
      <c r="A364" s="85" t="s">
        <v>2957</v>
      </c>
      <c r="B364" s="2362" t="s">
        <v>7972</v>
      </c>
      <c r="C364" s="9" t="s">
        <v>3451</v>
      </c>
      <c r="D364" s="78"/>
      <c r="E364" s="78"/>
      <c r="F364" s="79">
        <f t="shared" si="11"/>
        <v>0</v>
      </c>
      <c r="G364" s="80">
        <f t="shared" si="10"/>
        <v>0</v>
      </c>
      <c r="H364" s="81">
        <v>0.52380000000000004</v>
      </c>
      <c r="I364" s="2629" t="s">
        <v>1146</v>
      </c>
    </row>
    <row r="365" spans="1:9" ht="16.5">
      <c r="A365" s="85" t="s">
        <v>2958</v>
      </c>
      <c r="B365" s="2362" t="s">
        <v>7973</v>
      </c>
      <c r="C365" s="9" t="s">
        <v>3451</v>
      </c>
      <c r="D365" s="78"/>
      <c r="E365" s="78"/>
      <c r="F365" s="79">
        <f t="shared" si="11"/>
        <v>0</v>
      </c>
      <c r="G365" s="80">
        <f t="shared" si="10"/>
        <v>0</v>
      </c>
      <c r="H365" s="81">
        <v>1.9891000000000001</v>
      </c>
      <c r="I365" s="2629" t="s">
        <v>1146</v>
      </c>
    </row>
    <row r="366" spans="1:9" ht="16.5">
      <c r="A366" s="85" t="s">
        <v>2959</v>
      </c>
      <c r="B366" s="2362" t="s">
        <v>7974</v>
      </c>
      <c r="C366" s="9" t="s">
        <v>3451</v>
      </c>
      <c r="D366" s="78"/>
      <c r="E366" s="78"/>
      <c r="F366" s="79">
        <f t="shared" si="11"/>
        <v>0</v>
      </c>
      <c r="G366" s="80">
        <f t="shared" si="10"/>
        <v>0</v>
      </c>
      <c r="H366" s="81">
        <v>8.7800000000000003E-2</v>
      </c>
      <c r="I366" s="2629" t="s">
        <v>1146</v>
      </c>
    </row>
    <row r="367" spans="1:9" ht="16.5">
      <c r="A367" s="85" t="s">
        <v>2960</v>
      </c>
      <c r="B367" s="2362" t="s">
        <v>7975</v>
      </c>
      <c r="C367" s="9" t="s">
        <v>3451</v>
      </c>
      <c r="D367" s="78"/>
      <c r="E367" s="78"/>
      <c r="F367" s="79">
        <f t="shared" si="11"/>
        <v>0</v>
      </c>
      <c r="G367" s="80">
        <f t="shared" si="10"/>
        <v>0</v>
      </c>
      <c r="H367" s="81">
        <v>0.36709999999999998</v>
      </c>
      <c r="I367" s="2629" t="s">
        <v>1146</v>
      </c>
    </row>
    <row r="368" spans="1:9" ht="16.5">
      <c r="A368" s="85" t="s">
        <v>2961</v>
      </c>
      <c r="B368" s="2362" t="s">
        <v>7976</v>
      </c>
      <c r="C368" s="9" t="s">
        <v>3451</v>
      </c>
      <c r="D368" s="78"/>
      <c r="E368" s="78"/>
      <c r="F368" s="79">
        <f t="shared" si="11"/>
        <v>0</v>
      </c>
      <c r="G368" s="80">
        <f t="shared" si="10"/>
        <v>0</v>
      </c>
      <c r="H368" s="81">
        <v>0.53439999999999999</v>
      </c>
      <c r="I368" s="2629" t="s">
        <v>1146</v>
      </c>
    </row>
    <row r="369" spans="1:9" ht="16.5">
      <c r="A369" s="85" t="s">
        <v>2962</v>
      </c>
      <c r="B369" s="2362" t="s">
        <v>7977</v>
      </c>
      <c r="C369" s="9" t="s">
        <v>3451</v>
      </c>
      <c r="D369" s="78"/>
      <c r="E369" s="78"/>
      <c r="F369" s="79">
        <f t="shared" si="11"/>
        <v>0</v>
      </c>
      <c r="G369" s="80">
        <f t="shared" si="10"/>
        <v>0</v>
      </c>
      <c r="H369" s="81">
        <v>1.0102</v>
      </c>
      <c r="I369" s="2629" t="s">
        <v>1146</v>
      </c>
    </row>
    <row r="370" spans="1:9" ht="16.5">
      <c r="A370" s="85" t="s">
        <v>2963</v>
      </c>
      <c r="B370" s="2362" t="s">
        <v>7978</v>
      </c>
      <c r="C370" s="9" t="s">
        <v>3451</v>
      </c>
      <c r="D370" s="78"/>
      <c r="E370" s="78"/>
      <c r="F370" s="79">
        <f t="shared" si="11"/>
        <v>0</v>
      </c>
      <c r="G370" s="80">
        <f t="shared" si="10"/>
        <v>0</v>
      </c>
      <c r="H370" s="81">
        <v>0.57030000000000003</v>
      </c>
      <c r="I370" s="2629" t="s">
        <v>1146</v>
      </c>
    </row>
    <row r="371" spans="1:9" ht="16.5">
      <c r="A371" s="85" t="s">
        <v>2964</v>
      </c>
      <c r="B371" s="2362" t="s">
        <v>7979</v>
      </c>
      <c r="C371" s="9" t="s">
        <v>3451</v>
      </c>
      <c r="D371" s="78"/>
      <c r="E371" s="78"/>
      <c r="F371" s="79">
        <f t="shared" si="11"/>
        <v>0</v>
      </c>
      <c r="G371" s="80">
        <f t="shared" si="10"/>
        <v>0</v>
      </c>
      <c r="H371" s="81">
        <v>0.1966</v>
      </c>
      <c r="I371" s="2629" t="s">
        <v>1146</v>
      </c>
    </row>
    <row r="372" spans="1:9" ht="16.5">
      <c r="A372" s="85" t="s">
        <v>2965</v>
      </c>
      <c r="B372" s="2362" t="s">
        <v>7980</v>
      </c>
      <c r="C372" s="9" t="s">
        <v>3451</v>
      </c>
      <c r="D372" s="78"/>
      <c r="E372" s="78"/>
      <c r="F372" s="79">
        <f t="shared" si="11"/>
        <v>0</v>
      </c>
      <c r="G372" s="80">
        <f t="shared" si="10"/>
        <v>0</v>
      </c>
      <c r="H372" s="81">
        <v>0.58179999999999998</v>
      </c>
      <c r="I372" s="2629" t="s">
        <v>1146</v>
      </c>
    </row>
    <row r="373" spans="1:9" ht="16.5">
      <c r="A373" s="85" t="s">
        <v>2966</v>
      </c>
      <c r="B373" s="2362" t="s">
        <v>7981</v>
      </c>
      <c r="C373" s="9" t="s">
        <v>3451</v>
      </c>
      <c r="D373" s="78"/>
      <c r="E373" s="78"/>
      <c r="F373" s="79">
        <f t="shared" si="11"/>
        <v>0</v>
      </c>
      <c r="G373" s="80">
        <f t="shared" si="10"/>
        <v>0</v>
      </c>
      <c r="H373" s="81">
        <v>0.3291</v>
      </c>
      <c r="I373" s="2629" t="s">
        <v>1146</v>
      </c>
    </row>
    <row r="374" spans="1:9" ht="16.5">
      <c r="A374" s="85" t="s">
        <v>2967</v>
      </c>
      <c r="B374" s="2362" t="s">
        <v>7982</v>
      </c>
      <c r="C374" s="9" t="s">
        <v>3451</v>
      </c>
      <c r="D374" s="78"/>
      <c r="E374" s="78"/>
      <c r="F374" s="79">
        <f t="shared" si="11"/>
        <v>0</v>
      </c>
      <c r="G374" s="80">
        <f t="shared" si="10"/>
        <v>0</v>
      </c>
      <c r="H374" s="81">
        <v>0.19989999999999999</v>
      </c>
      <c r="I374" s="2629" t="s">
        <v>1146</v>
      </c>
    </row>
    <row r="375" spans="1:9" ht="16.5">
      <c r="A375" s="85" t="s">
        <v>2968</v>
      </c>
      <c r="B375" s="2362" t="s">
        <v>7983</v>
      </c>
      <c r="C375" s="9" t="s">
        <v>3451</v>
      </c>
      <c r="D375" s="78"/>
      <c r="E375" s="78"/>
      <c r="F375" s="79">
        <f t="shared" si="11"/>
        <v>0</v>
      </c>
      <c r="G375" s="80">
        <f t="shared" si="10"/>
        <v>0</v>
      </c>
      <c r="H375" s="81">
        <v>0.1971</v>
      </c>
      <c r="I375" s="2629" t="s">
        <v>1146</v>
      </c>
    </row>
    <row r="376" spans="1:9" ht="16.5">
      <c r="A376" s="85" t="s">
        <v>2969</v>
      </c>
      <c r="B376" s="2362" t="s">
        <v>7984</v>
      </c>
      <c r="C376" s="9" t="s">
        <v>3451</v>
      </c>
      <c r="D376" s="78"/>
      <c r="E376" s="78"/>
      <c r="F376" s="79">
        <f t="shared" si="11"/>
        <v>0</v>
      </c>
      <c r="G376" s="80">
        <f t="shared" si="10"/>
        <v>0</v>
      </c>
      <c r="H376" s="81">
        <v>0.3745</v>
      </c>
      <c r="I376" s="2629" t="s">
        <v>1146</v>
      </c>
    </row>
    <row r="377" spans="1:9" ht="16.5">
      <c r="A377" s="85" t="s">
        <v>2970</v>
      </c>
      <c r="B377" s="2362" t="s">
        <v>7985</v>
      </c>
      <c r="C377" s="9" t="s">
        <v>3451</v>
      </c>
      <c r="D377" s="78"/>
      <c r="E377" s="78"/>
      <c r="F377" s="79">
        <f t="shared" si="11"/>
        <v>0</v>
      </c>
      <c r="G377" s="80">
        <f t="shared" si="10"/>
        <v>0</v>
      </c>
      <c r="H377" s="81">
        <v>-0.1072</v>
      </c>
      <c r="I377" s="2629" t="s">
        <v>1146</v>
      </c>
    </row>
    <row r="378" spans="1:9" ht="16.5">
      <c r="A378" s="85" t="s">
        <v>2971</v>
      </c>
      <c r="B378" s="2362" t="s">
        <v>7986</v>
      </c>
      <c r="C378" s="9" t="s">
        <v>3451</v>
      </c>
      <c r="D378" s="78"/>
      <c r="E378" s="78"/>
      <c r="F378" s="79">
        <f t="shared" si="11"/>
        <v>0</v>
      </c>
      <c r="G378" s="80">
        <f t="shared" si="10"/>
        <v>0</v>
      </c>
      <c r="H378" s="81">
        <v>0.33760000000000001</v>
      </c>
      <c r="I378" s="2629" t="s">
        <v>1146</v>
      </c>
    </row>
    <row r="379" spans="1:9" ht="16.5">
      <c r="A379" s="85" t="s">
        <v>2972</v>
      </c>
      <c r="B379" s="2362" t="s">
        <v>7987</v>
      </c>
      <c r="C379" s="9" t="s">
        <v>3451</v>
      </c>
      <c r="D379" s="78"/>
      <c r="E379" s="78"/>
      <c r="F379" s="79">
        <f t="shared" si="11"/>
        <v>0</v>
      </c>
      <c r="G379" s="80">
        <f t="shared" si="10"/>
        <v>0</v>
      </c>
      <c r="H379" s="81">
        <v>1.0094000000000001</v>
      </c>
      <c r="I379" s="2629" t="s">
        <v>1146</v>
      </c>
    </row>
    <row r="380" spans="1:9" ht="16.5">
      <c r="A380" s="85" t="s">
        <v>2973</v>
      </c>
      <c r="B380" s="2362" t="s">
        <v>7988</v>
      </c>
      <c r="C380" s="9" t="s">
        <v>3451</v>
      </c>
      <c r="D380" s="78"/>
      <c r="E380" s="78"/>
      <c r="F380" s="79">
        <f t="shared" si="11"/>
        <v>0</v>
      </c>
      <c r="G380" s="80">
        <f t="shared" si="10"/>
        <v>0</v>
      </c>
      <c r="H380" s="81">
        <v>0.88280000000000003</v>
      </c>
      <c r="I380" s="2629" t="s">
        <v>1146</v>
      </c>
    </row>
    <row r="381" spans="1:9" ht="16.5">
      <c r="A381" s="85" t="s">
        <v>2974</v>
      </c>
      <c r="B381" s="2362" t="s">
        <v>7989</v>
      </c>
      <c r="C381" s="9" t="s">
        <v>3451</v>
      </c>
      <c r="D381" s="78"/>
      <c r="E381" s="78"/>
      <c r="F381" s="79">
        <f t="shared" si="11"/>
        <v>0</v>
      </c>
      <c r="G381" s="80">
        <f t="shared" si="10"/>
        <v>0</v>
      </c>
      <c r="H381" s="81">
        <v>1.3335999999999999</v>
      </c>
      <c r="I381" s="2629" t="s">
        <v>1146</v>
      </c>
    </row>
    <row r="382" spans="1:9" ht="16.5">
      <c r="A382" s="85" t="s">
        <v>2975</v>
      </c>
      <c r="B382" s="2362" t="s">
        <v>7990</v>
      </c>
      <c r="C382" s="9" t="s">
        <v>3451</v>
      </c>
      <c r="D382" s="78"/>
      <c r="E382" s="78"/>
      <c r="F382" s="79">
        <f t="shared" si="11"/>
        <v>0</v>
      </c>
      <c r="G382" s="80">
        <f t="shared" si="10"/>
        <v>0</v>
      </c>
      <c r="H382" s="81">
        <v>0.17749999999999999</v>
      </c>
      <c r="I382" s="2619" t="s">
        <v>1146</v>
      </c>
    </row>
    <row r="383" spans="1:9" ht="16.5">
      <c r="A383" s="85" t="s">
        <v>2976</v>
      </c>
      <c r="B383" s="2362" t="s">
        <v>7991</v>
      </c>
      <c r="C383" s="9" t="s">
        <v>3451</v>
      </c>
      <c r="D383" s="78"/>
      <c r="E383" s="78"/>
      <c r="F383" s="79">
        <f t="shared" si="11"/>
        <v>0</v>
      </c>
      <c r="G383" s="80">
        <f t="shared" si="10"/>
        <v>0</v>
      </c>
      <c r="H383" s="81">
        <v>0.2132</v>
      </c>
      <c r="I383" s="2629" t="s">
        <v>1146</v>
      </c>
    </row>
    <row r="384" spans="1:9" ht="16.5">
      <c r="A384" s="85" t="s">
        <v>2977</v>
      </c>
      <c r="B384" s="2362" t="s">
        <v>7992</v>
      </c>
      <c r="C384" s="9" t="s">
        <v>3451</v>
      </c>
      <c r="D384" s="78"/>
      <c r="E384" s="78"/>
      <c r="F384" s="79">
        <f t="shared" si="11"/>
        <v>0</v>
      </c>
      <c r="G384" s="80">
        <f t="shared" si="10"/>
        <v>0</v>
      </c>
      <c r="H384" s="81">
        <v>0.125</v>
      </c>
      <c r="I384" s="2629" t="s">
        <v>1146</v>
      </c>
    </row>
    <row r="385" spans="1:9" ht="16.5">
      <c r="A385" s="85" t="s">
        <v>2978</v>
      </c>
      <c r="B385" s="2362" t="s">
        <v>7993</v>
      </c>
      <c r="C385" s="9" t="s">
        <v>3451</v>
      </c>
      <c r="D385" s="78"/>
      <c r="E385" s="78"/>
      <c r="F385" s="79">
        <f t="shared" si="11"/>
        <v>0</v>
      </c>
      <c r="G385" s="80">
        <f t="shared" si="10"/>
        <v>0</v>
      </c>
      <c r="H385" s="81">
        <v>0.30959999999999999</v>
      </c>
      <c r="I385" s="2629" t="s">
        <v>1146</v>
      </c>
    </row>
    <row r="386" spans="1:9" ht="16.5">
      <c r="A386" s="85" t="s">
        <v>2979</v>
      </c>
      <c r="B386" s="2362" t="s">
        <v>7994</v>
      </c>
      <c r="C386" s="9" t="s">
        <v>3451</v>
      </c>
      <c r="D386" s="78"/>
      <c r="E386" s="78"/>
      <c r="F386" s="79">
        <f t="shared" si="11"/>
        <v>0</v>
      </c>
      <c r="G386" s="80">
        <f t="shared" si="10"/>
        <v>0</v>
      </c>
      <c r="H386" s="81">
        <v>0.72089999999999999</v>
      </c>
      <c r="I386" s="2629" t="s">
        <v>1146</v>
      </c>
    </row>
    <row r="387" spans="1:9" ht="16.5">
      <c r="A387" s="85" t="s">
        <v>5050</v>
      </c>
      <c r="B387" s="2362" t="s">
        <v>7995</v>
      </c>
      <c r="C387" s="9" t="s">
        <v>3451</v>
      </c>
      <c r="D387" s="78"/>
      <c r="E387" s="78"/>
      <c r="F387" s="79">
        <f t="shared" si="11"/>
        <v>0</v>
      </c>
      <c r="G387" s="80">
        <f t="shared" si="10"/>
        <v>0</v>
      </c>
      <c r="H387" s="81">
        <v>0.22439999999999999</v>
      </c>
      <c r="I387" s="2629" t="s">
        <v>1146</v>
      </c>
    </row>
    <row r="388" spans="1:9" ht="16.5">
      <c r="A388" s="85" t="s">
        <v>2980</v>
      </c>
      <c r="B388" s="2362" t="s">
        <v>7996</v>
      </c>
      <c r="C388" s="9" t="s">
        <v>3451</v>
      </c>
      <c r="D388" s="78"/>
      <c r="E388" s="78"/>
      <c r="F388" s="79">
        <f t="shared" si="11"/>
        <v>0</v>
      </c>
      <c r="G388" s="80">
        <f t="shared" ref="G388:G451" si="12">IF($F$836=0,0,F388/$F$836)</f>
        <v>0</v>
      </c>
      <c r="H388" s="81">
        <v>0.25359999999999999</v>
      </c>
      <c r="I388" s="2629" t="s">
        <v>1146</v>
      </c>
    </row>
    <row r="389" spans="1:9" ht="16.5">
      <c r="A389" s="85" t="s">
        <v>3423</v>
      </c>
      <c r="B389" s="2362" t="s">
        <v>7997</v>
      </c>
      <c r="C389" s="9" t="s">
        <v>3451</v>
      </c>
      <c r="D389" s="78"/>
      <c r="E389" s="78"/>
      <c r="F389" s="79">
        <f t="shared" ref="F389:F452" si="13">D389*E389</f>
        <v>0</v>
      </c>
      <c r="G389" s="80">
        <f t="shared" si="12"/>
        <v>0</v>
      </c>
      <c r="H389" s="81">
        <v>1.6728000000000001</v>
      </c>
      <c r="I389" s="2629" t="s">
        <v>1146</v>
      </c>
    </row>
    <row r="390" spans="1:9" ht="16.5">
      <c r="A390" s="85" t="s">
        <v>2981</v>
      </c>
      <c r="B390" s="2362" t="s">
        <v>7998</v>
      </c>
      <c r="C390" s="9" t="s">
        <v>3451</v>
      </c>
      <c r="D390" s="78"/>
      <c r="E390" s="78"/>
      <c r="F390" s="79">
        <f t="shared" si="13"/>
        <v>0</v>
      </c>
      <c r="G390" s="80">
        <f t="shared" si="12"/>
        <v>0</v>
      </c>
      <c r="H390" s="81">
        <v>0.69340000000000002</v>
      </c>
      <c r="I390" s="2629" t="s">
        <v>1146</v>
      </c>
    </row>
    <row r="391" spans="1:9" ht="16.5">
      <c r="A391" s="85" t="s">
        <v>2982</v>
      </c>
      <c r="B391" s="2362" t="s">
        <v>7999</v>
      </c>
      <c r="C391" s="9" t="s">
        <v>3451</v>
      </c>
      <c r="D391" s="78"/>
      <c r="E391" s="78"/>
      <c r="F391" s="79">
        <f t="shared" si="13"/>
        <v>0</v>
      </c>
      <c r="G391" s="80">
        <f t="shared" si="12"/>
        <v>0</v>
      </c>
      <c r="H391" s="81">
        <v>0.81689999999999996</v>
      </c>
      <c r="I391" s="2629" t="s">
        <v>1146</v>
      </c>
    </row>
    <row r="392" spans="1:9" ht="16.5">
      <c r="A392" s="85" t="s">
        <v>2983</v>
      </c>
      <c r="B392" s="2362" t="s">
        <v>8000</v>
      </c>
      <c r="C392" s="9" t="s">
        <v>3451</v>
      </c>
      <c r="D392" s="78"/>
      <c r="E392" s="78"/>
      <c r="F392" s="79">
        <f t="shared" si="13"/>
        <v>0</v>
      </c>
      <c r="G392" s="80">
        <f t="shared" si="12"/>
        <v>0</v>
      </c>
      <c r="H392" s="81">
        <v>0.75360000000000005</v>
      </c>
      <c r="I392" s="2629" t="s">
        <v>1146</v>
      </c>
    </row>
    <row r="393" spans="1:9" ht="16.5">
      <c r="A393" s="85" t="s">
        <v>2984</v>
      </c>
      <c r="B393" s="2362" t="s">
        <v>8001</v>
      </c>
      <c r="C393" s="9" t="s">
        <v>3451</v>
      </c>
      <c r="D393" s="78"/>
      <c r="E393" s="78"/>
      <c r="F393" s="79">
        <f t="shared" si="13"/>
        <v>0</v>
      </c>
      <c r="G393" s="80">
        <f t="shared" si="12"/>
        <v>0</v>
      </c>
      <c r="H393" s="81">
        <v>1.3788</v>
      </c>
      <c r="I393" s="2629" t="s">
        <v>1146</v>
      </c>
    </row>
    <row r="394" spans="1:9" ht="16.5">
      <c r="A394" s="85" t="s">
        <v>2985</v>
      </c>
      <c r="B394" s="2362" t="s">
        <v>8002</v>
      </c>
      <c r="C394" s="9" t="s">
        <v>3451</v>
      </c>
      <c r="D394" s="78"/>
      <c r="E394" s="78"/>
      <c r="F394" s="79">
        <f t="shared" si="13"/>
        <v>0</v>
      </c>
      <c r="G394" s="80">
        <f t="shared" si="12"/>
        <v>0</v>
      </c>
      <c r="H394" s="81">
        <v>1.2189000000000001</v>
      </c>
      <c r="I394" s="2629" t="s">
        <v>1146</v>
      </c>
    </row>
    <row r="395" spans="1:9" ht="16.5">
      <c r="A395" s="85" t="s">
        <v>2986</v>
      </c>
      <c r="B395" s="2362" t="s">
        <v>8003</v>
      </c>
      <c r="C395" s="9" t="s">
        <v>3451</v>
      </c>
      <c r="D395" s="78"/>
      <c r="E395" s="78"/>
      <c r="F395" s="79">
        <f t="shared" si="13"/>
        <v>0</v>
      </c>
      <c r="G395" s="80">
        <f t="shared" si="12"/>
        <v>0</v>
      </c>
      <c r="H395" s="81">
        <v>3.49E-2</v>
      </c>
      <c r="I395" s="2629" t="s">
        <v>1146</v>
      </c>
    </row>
    <row r="396" spans="1:9" ht="16.5">
      <c r="A396" s="85" t="s">
        <v>2987</v>
      </c>
      <c r="B396" s="2362" t="s">
        <v>8004</v>
      </c>
      <c r="C396" s="9" t="s">
        <v>3451</v>
      </c>
      <c r="D396" s="78"/>
      <c r="E396" s="78"/>
      <c r="F396" s="79">
        <f t="shared" si="13"/>
        <v>0</v>
      </c>
      <c r="G396" s="80">
        <f t="shared" si="12"/>
        <v>0</v>
      </c>
      <c r="H396" s="81">
        <v>0.14230000000000001</v>
      </c>
      <c r="I396" s="2629" t="s">
        <v>1146</v>
      </c>
    </row>
    <row r="397" spans="1:9" ht="16.5">
      <c r="A397" s="85" t="s">
        <v>2988</v>
      </c>
      <c r="B397" s="2362" t="s">
        <v>8005</v>
      </c>
      <c r="C397" s="9" t="s">
        <v>3451</v>
      </c>
      <c r="D397" s="78"/>
      <c r="E397" s="78"/>
      <c r="F397" s="79">
        <f t="shared" si="13"/>
        <v>0</v>
      </c>
      <c r="G397" s="80">
        <f t="shared" si="12"/>
        <v>0</v>
      </c>
      <c r="H397" s="81">
        <v>0.21049999999999999</v>
      </c>
      <c r="I397" s="2629" t="s">
        <v>1146</v>
      </c>
    </row>
    <row r="398" spans="1:9" ht="16.5">
      <c r="A398" s="85" t="s">
        <v>2989</v>
      </c>
      <c r="B398" s="2362" t="s">
        <v>8006</v>
      </c>
      <c r="C398" s="9" t="s">
        <v>3451</v>
      </c>
      <c r="D398" s="78"/>
      <c r="E398" s="78"/>
      <c r="F398" s="79">
        <f t="shared" si="13"/>
        <v>0</v>
      </c>
      <c r="G398" s="80">
        <f t="shared" si="12"/>
        <v>0</v>
      </c>
      <c r="H398" s="81">
        <v>1.2412000000000001</v>
      </c>
      <c r="I398" s="2629" t="s">
        <v>1146</v>
      </c>
    </row>
    <row r="399" spans="1:9" ht="16.5">
      <c r="A399" s="85" t="s">
        <v>2990</v>
      </c>
      <c r="B399" s="2362" t="s">
        <v>8007</v>
      </c>
      <c r="C399" s="9" t="s">
        <v>3451</v>
      </c>
      <c r="D399" s="78"/>
      <c r="E399" s="78"/>
      <c r="F399" s="79">
        <f t="shared" si="13"/>
        <v>0</v>
      </c>
      <c r="G399" s="80">
        <f t="shared" si="12"/>
        <v>0</v>
      </c>
      <c r="H399" s="81">
        <v>0.44879999999999998</v>
      </c>
      <c r="I399" s="2629" t="s">
        <v>1146</v>
      </c>
    </row>
    <row r="400" spans="1:9" ht="16.5">
      <c r="A400" s="85" t="s">
        <v>2991</v>
      </c>
      <c r="B400" s="2362" t="s">
        <v>8008</v>
      </c>
      <c r="C400" s="9" t="s">
        <v>3451</v>
      </c>
      <c r="D400" s="78"/>
      <c r="E400" s="78"/>
      <c r="F400" s="79">
        <f t="shared" si="13"/>
        <v>0</v>
      </c>
      <c r="G400" s="80">
        <f t="shared" si="12"/>
        <v>0</v>
      </c>
      <c r="H400" s="81">
        <v>1.2213000000000001</v>
      </c>
      <c r="I400" s="2629" t="s">
        <v>1146</v>
      </c>
    </row>
    <row r="401" spans="1:9" ht="16.5">
      <c r="A401" s="85" t="s">
        <v>2992</v>
      </c>
      <c r="B401" s="2362" t="s">
        <v>8009</v>
      </c>
      <c r="C401" s="9" t="s">
        <v>3451</v>
      </c>
      <c r="D401" s="78"/>
      <c r="E401" s="78"/>
      <c r="F401" s="79">
        <f t="shared" si="13"/>
        <v>0</v>
      </c>
      <c r="G401" s="80">
        <f t="shared" si="12"/>
        <v>0</v>
      </c>
      <c r="H401" s="81">
        <v>0.7611</v>
      </c>
      <c r="I401" s="2629" t="s">
        <v>1146</v>
      </c>
    </row>
    <row r="402" spans="1:9" ht="16.5">
      <c r="A402" s="85" t="s">
        <v>2993</v>
      </c>
      <c r="B402" s="2362" t="s">
        <v>8010</v>
      </c>
      <c r="C402" s="9" t="s">
        <v>3451</v>
      </c>
      <c r="D402" s="78"/>
      <c r="E402" s="78"/>
      <c r="F402" s="79">
        <f t="shared" si="13"/>
        <v>0</v>
      </c>
      <c r="G402" s="80">
        <f t="shared" si="12"/>
        <v>0</v>
      </c>
      <c r="H402" s="81">
        <v>0.73529999999999995</v>
      </c>
      <c r="I402" s="2629" t="s">
        <v>1146</v>
      </c>
    </row>
    <row r="403" spans="1:9" ht="16.5">
      <c r="A403" s="85" t="s">
        <v>2995</v>
      </c>
      <c r="B403" s="2362" t="s">
        <v>8011</v>
      </c>
      <c r="C403" s="9" t="s">
        <v>3451</v>
      </c>
      <c r="D403" s="78"/>
      <c r="E403" s="78"/>
      <c r="F403" s="79">
        <f t="shared" si="13"/>
        <v>0</v>
      </c>
      <c r="G403" s="80">
        <f t="shared" si="12"/>
        <v>0</v>
      </c>
      <c r="H403" s="81">
        <v>1.0903</v>
      </c>
      <c r="I403" s="2629" t="s">
        <v>1146</v>
      </c>
    </row>
    <row r="404" spans="1:9" ht="16.5">
      <c r="A404" s="85" t="s">
        <v>2996</v>
      </c>
      <c r="B404" s="2362" t="s">
        <v>8012</v>
      </c>
      <c r="C404" s="9" t="s">
        <v>3451</v>
      </c>
      <c r="D404" s="78"/>
      <c r="E404" s="78"/>
      <c r="F404" s="79">
        <f t="shared" si="13"/>
        <v>0</v>
      </c>
      <c r="G404" s="80">
        <f t="shared" si="12"/>
        <v>0</v>
      </c>
      <c r="H404" s="81">
        <v>-1.9300000000000001E-2</v>
      </c>
      <c r="I404" s="2629" t="s">
        <v>1146</v>
      </c>
    </row>
    <row r="405" spans="1:9" ht="16.5">
      <c r="A405" s="85" t="s">
        <v>2997</v>
      </c>
      <c r="B405" s="2362" t="s">
        <v>8013</v>
      </c>
      <c r="C405" s="9" t="s">
        <v>3451</v>
      </c>
      <c r="D405" s="78"/>
      <c r="E405" s="78"/>
      <c r="F405" s="79">
        <f t="shared" si="13"/>
        <v>0</v>
      </c>
      <c r="G405" s="80">
        <f t="shared" si="12"/>
        <v>0</v>
      </c>
      <c r="H405" s="81">
        <v>0.30170000000000002</v>
      </c>
      <c r="I405" s="2629" t="s">
        <v>1146</v>
      </c>
    </row>
    <row r="406" spans="1:9" ht="16.5">
      <c r="A406" s="85" t="s">
        <v>2998</v>
      </c>
      <c r="B406" s="2362" t="s">
        <v>8014</v>
      </c>
      <c r="C406" s="9" t="s">
        <v>3451</v>
      </c>
      <c r="D406" s="78"/>
      <c r="E406" s="78"/>
      <c r="F406" s="79">
        <f t="shared" si="13"/>
        <v>0</v>
      </c>
      <c r="G406" s="80">
        <f t="shared" si="12"/>
        <v>0</v>
      </c>
      <c r="H406" s="81">
        <v>0.63819999999999999</v>
      </c>
      <c r="I406" s="2629" t="s">
        <v>1146</v>
      </c>
    </row>
    <row r="407" spans="1:9" ht="16.5">
      <c r="A407" s="85" t="s">
        <v>2999</v>
      </c>
      <c r="B407" s="2362" t="s">
        <v>8015</v>
      </c>
      <c r="C407" s="9" t="s">
        <v>3451</v>
      </c>
      <c r="D407" s="78"/>
      <c r="E407" s="78"/>
      <c r="F407" s="79">
        <f t="shared" si="13"/>
        <v>0</v>
      </c>
      <c r="G407" s="80">
        <f t="shared" si="12"/>
        <v>0</v>
      </c>
      <c r="H407" s="81">
        <v>0.64039999999999997</v>
      </c>
      <c r="I407" s="2629" t="s">
        <v>1146</v>
      </c>
    </row>
    <row r="408" spans="1:9" ht="16.5">
      <c r="A408" s="85" t="s">
        <v>3000</v>
      </c>
      <c r="B408" s="2362" t="s">
        <v>8016</v>
      </c>
      <c r="C408" s="9" t="s">
        <v>3451</v>
      </c>
      <c r="D408" s="78"/>
      <c r="E408" s="78"/>
      <c r="F408" s="79">
        <f t="shared" si="13"/>
        <v>0</v>
      </c>
      <c r="G408" s="80">
        <f t="shared" si="12"/>
        <v>0</v>
      </c>
      <c r="H408" s="81">
        <v>1.0362</v>
      </c>
      <c r="I408" s="2629" t="s">
        <v>1146</v>
      </c>
    </row>
    <row r="409" spans="1:9" ht="16.5">
      <c r="A409" s="85" t="s">
        <v>3001</v>
      </c>
      <c r="B409" s="2362" t="s">
        <v>8017</v>
      </c>
      <c r="C409" s="9" t="s">
        <v>3451</v>
      </c>
      <c r="D409" s="78"/>
      <c r="E409" s="78"/>
      <c r="F409" s="79">
        <f t="shared" si="13"/>
        <v>0</v>
      </c>
      <c r="G409" s="80">
        <f t="shared" si="12"/>
        <v>0</v>
      </c>
      <c r="H409" s="81">
        <v>0.27260000000000001</v>
      </c>
      <c r="I409" s="2629" t="s">
        <v>1146</v>
      </c>
    </row>
    <row r="410" spans="1:9" ht="16.5">
      <c r="A410" s="85" t="s">
        <v>3002</v>
      </c>
      <c r="B410" s="2362" t="s">
        <v>8018</v>
      </c>
      <c r="C410" s="9" t="s">
        <v>3451</v>
      </c>
      <c r="D410" s="78"/>
      <c r="E410" s="78"/>
      <c r="F410" s="79">
        <f t="shared" si="13"/>
        <v>0</v>
      </c>
      <c r="G410" s="80">
        <f t="shared" si="12"/>
        <v>0</v>
      </c>
      <c r="H410" s="81">
        <v>1.4462999999999999</v>
      </c>
      <c r="I410" s="2629" t="s">
        <v>1146</v>
      </c>
    </row>
    <row r="411" spans="1:9" ht="16.5">
      <c r="A411" s="85" t="s">
        <v>3003</v>
      </c>
      <c r="B411" s="2362" t="s">
        <v>8019</v>
      </c>
      <c r="C411" s="9" t="s">
        <v>3451</v>
      </c>
      <c r="D411" s="78"/>
      <c r="E411" s="78"/>
      <c r="F411" s="79">
        <f t="shared" si="13"/>
        <v>0</v>
      </c>
      <c r="G411" s="80">
        <f t="shared" si="12"/>
        <v>0</v>
      </c>
      <c r="H411" s="81">
        <v>2.1377999999999999</v>
      </c>
      <c r="I411" s="2629" t="s">
        <v>1146</v>
      </c>
    </row>
    <row r="412" spans="1:9" ht="16.5">
      <c r="A412" s="85" t="s">
        <v>3004</v>
      </c>
      <c r="B412" s="2362" t="s">
        <v>8020</v>
      </c>
      <c r="C412" s="9" t="s">
        <v>3451</v>
      </c>
      <c r="D412" s="78"/>
      <c r="E412" s="78"/>
      <c r="F412" s="79">
        <f t="shared" si="13"/>
        <v>0</v>
      </c>
      <c r="G412" s="80">
        <f t="shared" si="12"/>
        <v>0</v>
      </c>
      <c r="H412" s="81">
        <v>0.87529999999999997</v>
      </c>
      <c r="I412" s="2629" t="s">
        <v>1146</v>
      </c>
    </row>
    <row r="413" spans="1:9" ht="16.5">
      <c r="A413" s="85" t="s">
        <v>3005</v>
      </c>
      <c r="B413" s="2362" t="s">
        <v>8021</v>
      </c>
      <c r="C413" s="9" t="s">
        <v>3451</v>
      </c>
      <c r="D413" s="78"/>
      <c r="E413" s="78"/>
      <c r="F413" s="79">
        <f t="shared" si="13"/>
        <v>0</v>
      </c>
      <c r="G413" s="80">
        <f t="shared" si="12"/>
        <v>0</v>
      </c>
      <c r="H413" s="81">
        <v>0.43619999999999998</v>
      </c>
      <c r="I413" s="2629" t="s">
        <v>1146</v>
      </c>
    </row>
    <row r="414" spans="1:9" ht="16.5">
      <c r="A414" s="85" t="s">
        <v>3006</v>
      </c>
      <c r="B414" s="2362" t="s">
        <v>8022</v>
      </c>
      <c r="C414" s="9" t="s">
        <v>3451</v>
      </c>
      <c r="D414" s="78"/>
      <c r="E414" s="78"/>
      <c r="F414" s="79">
        <f t="shared" si="13"/>
        <v>0</v>
      </c>
      <c r="G414" s="80">
        <f t="shared" si="12"/>
        <v>0</v>
      </c>
      <c r="H414" s="81">
        <v>1.0611999999999999</v>
      </c>
      <c r="I414" s="2629" t="s">
        <v>1146</v>
      </c>
    </row>
    <row r="415" spans="1:9" ht="16.5">
      <c r="A415" s="85" t="s">
        <v>3007</v>
      </c>
      <c r="B415" s="2362" t="s">
        <v>8023</v>
      </c>
      <c r="C415" s="9" t="s">
        <v>3451</v>
      </c>
      <c r="D415" s="78"/>
      <c r="E415" s="78"/>
      <c r="F415" s="79">
        <f t="shared" si="13"/>
        <v>0</v>
      </c>
      <c r="G415" s="80">
        <f t="shared" si="12"/>
        <v>0</v>
      </c>
      <c r="H415" s="81">
        <v>-1.2800000000000001E-2</v>
      </c>
      <c r="I415" s="2629" t="s">
        <v>1146</v>
      </c>
    </row>
    <row r="416" spans="1:9" ht="16.5">
      <c r="A416" s="85" t="s">
        <v>3008</v>
      </c>
      <c r="B416" s="2362" t="s">
        <v>8024</v>
      </c>
      <c r="C416" s="9" t="s">
        <v>3451</v>
      </c>
      <c r="D416" s="78"/>
      <c r="E416" s="78"/>
      <c r="F416" s="79">
        <f t="shared" si="13"/>
        <v>0</v>
      </c>
      <c r="G416" s="80">
        <f t="shared" si="12"/>
        <v>0</v>
      </c>
      <c r="H416" s="81">
        <v>1.6573</v>
      </c>
      <c r="I416" s="2629" t="s">
        <v>1146</v>
      </c>
    </row>
    <row r="417" spans="1:9" ht="16.5">
      <c r="A417" s="85" t="s">
        <v>3009</v>
      </c>
      <c r="B417" s="2362" t="s">
        <v>8025</v>
      </c>
      <c r="C417" s="9" t="s">
        <v>3451</v>
      </c>
      <c r="D417" s="78"/>
      <c r="E417" s="78"/>
      <c r="F417" s="79">
        <f t="shared" si="13"/>
        <v>0</v>
      </c>
      <c r="G417" s="80">
        <f t="shared" si="12"/>
        <v>0</v>
      </c>
      <c r="H417" s="81">
        <v>1.4742999999999999</v>
      </c>
      <c r="I417" s="2629" t="s">
        <v>1146</v>
      </c>
    </row>
    <row r="418" spans="1:9" ht="16.5">
      <c r="A418" s="85" t="s">
        <v>3010</v>
      </c>
      <c r="B418" s="2362" t="s">
        <v>8026</v>
      </c>
      <c r="C418" s="9" t="s">
        <v>3451</v>
      </c>
      <c r="D418" s="78"/>
      <c r="E418" s="78"/>
      <c r="F418" s="79">
        <f t="shared" si="13"/>
        <v>0</v>
      </c>
      <c r="G418" s="80">
        <f t="shared" si="12"/>
        <v>0</v>
      </c>
      <c r="H418" s="81">
        <v>0.29139999999999999</v>
      </c>
      <c r="I418" s="2629" t="s">
        <v>1146</v>
      </c>
    </row>
    <row r="419" spans="1:9" ht="16.5">
      <c r="A419" s="85" t="s">
        <v>3011</v>
      </c>
      <c r="B419" s="2362" t="s">
        <v>8027</v>
      </c>
      <c r="C419" s="9" t="s">
        <v>3451</v>
      </c>
      <c r="D419" s="78"/>
      <c r="E419" s="78"/>
      <c r="F419" s="79">
        <f t="shared" si="13"/>
        <v>0</v>
      </c>
      <c r="G419" s="80">
        <f t="shared" si="12"/>
        <v>0</v>
      </c>
      <c r="H419" s="81">
        <v>0.26369999999999999</v>
      </c>
      <c r="I419" s="2629" t="s">
        <v>1146</v>
      </c>
    </row>
    <row r="420" spans="1:9" ht="16.5">
      <c r="A420" s="85" t="s">
        <v>3012</v>
      </c>
      <c r="B420" s="2362" t="s">
        <v>8028</v>
      </c>
      <c r="C420" s="9" t="s">
        <v>3451</v>
      </c>
      <c r="D420" s="78"/>
      <c r="E420" s="78"/>
      <c r="F420" s="79">
        <f t="shared" si="13"/>
        <v>0</v>
      </c>
      <c r="G420" s="80">
        <f t="shared" si="12"/>
        <v>0</v>
      </c>
      <c r="H420" s="81">
        <v>8.6400000000000005E-2</v>
      </c>
      <c r="I420" s="2629" t="s">
        <v>1146</v>
      </c>
    </row>
    <row r="421" spans="1:9" ht="16.5">
      <c r="A421" s="85" t="s">
        <v>3013</v>
      </c>
      <c r="B421" s="2362" t="s">
        <v>8029</v>
      </c>
      <c r="C421" s="9" t="s">
        <v>3451</v>
      </c>
      <c r="D421" s="78"/>
      <c r="E421" s="78"/>
      <c r="F421" s="79">
        <f t="shared" si="13"/>
        <v>0</v>
      </c>
      <c r="G421" s="80">
        <f t="shared" si="12"/>
        <v>0</v>
      </c>
      <c r="H421" s="81">
        <v>0.85229999999999995</v>
      </c>
      <c r="I421" s="2629" t="s">
        <v>1146</v>
      </c>
    </row>
    <row r="422" spans="1:9" ht="16.5">
      <c r="A422" s="85" t="s">
        <v>3014</v>
      </c>
      <c r="B422" s="2362" t="s">
        <v>8030</v>
      </c>
      <c r="C422" s="9" t="s">
        <v>3451</v>
      </c>
      <c r="D422" s="78"/>
      <c r="E422" s="78"/>
      <c r="F422" s="79">
        <f t="shared" si="13"/>
        <v>0</v>
      </c>
      <c r="G422" s="80">
        <f t="shared" si="12"/>
        <v>0</v>
      </c>
      <c r="H422" s="81">
        <v>1.1040000000000001</v>
      </c>
      <c r="I422" s="2629" t="s">
        <v>1146</v>
      </c>
    </row>
    <row r="423" spans="1:9" ht="16.5">
      <c r="A423" s="85" t="s">
        <v>3015</v>
      </c>
      <c r="B423" s="2362" t="s">
        <v>8031</v>
      </c>
      <c r="C423" s="9" t="s">
        <v>3451</v>
      </c>
      <c r="D423" s="78"/>
      <c r="E423" s="78"/>
      <c r="F423" s="79">
        <f t="shared" si="13"/>
        <v>0</v>
      </c>
      <c r="G423" s="80">
        <f t="shared" si="12"/>
        <v>0</v>
      </c>
      <c r="H423" s="81">
        <v>0.32840000000000003</v>
      </c>
      <c r="I423" s="2629" t="s">
        <v>1146</v>
      </c>
    </row>
    <row r="424" spans="1:9" ht="16.5">
      <c r="A424" s="85" t="s">
        <v>3016</v>
      </c>
      <c r="B424" s="2362" t="s">
        <v>8032</v>
      </c>
      <c r="C424" s="9" t="s">
        <v>3451</v>
      </c>
      <c r="D424" s="78"/>
      <c r="E424" s="78"/>
      <c r="F424" s="79">
        <f t="shared" si="13"/>
        <v>0</v>
      </c>
      <c r="G424" s="80">
        <f t="shared" si="12"/>
        <v>0</v>
      </c>
      <c r="H424" s="81">
        <v>1.1914</v>
      </c>
      <c r="I424" s="2629" t="s">
        <v>1146</v>
      </c>
    </row>
    <row r="425" spans="1:9" ht="16.5">
      <c r="A425" s="85" t="s">
        <v>3017</v>
      </c>
      <c r="B425" s="2362" t="s">
        <v>8033</v>
      </c>
      <c r="C425" s="9" t="s">
        <v>3451</v>
      </c>
      <c r="D425" s="78"/>
      <c r="E425" s="78"/>
      <c r="F425" s="79">
        <f t="shared" si="13"/>
        <v>0</v>
      </c>
      <c r="G425" s="80">
        <f t="shared" si="12"/>
        <v>0</v>
      </c>
      <c r="H425" s="81">
        <v>0.7752</v>
      </c>
      <c r="I425" s="2629" t="s">
        <v>1146</v>
      </c>
    </row>
    <row r="426" spans="1:9" ht="16.5">
      <c r="A426" s="85" t="s">
        <v>3018</v>
      </c>
      <c r="B426" s="2362" t="s">
        <v>8034</v>
      </c>
      <c r="C426" s="9" t="s">
        <v>3451</v>
      </c>
      <c r="D426" s="78"/>
      <c r="E426" s="78"/>
      <c r="F426" s="79">
        <f t="shared" si="13"/>
        <v>0</v>
      </c>
      <c r="G426" s="80">
        <f t="shared" si="12"/>
        <v>0</v>
      </c>
      <c r="H426" s="81">
        <v>0.49540000000000001</v>
      </c>
      <c r="I426" s="2629" t="s">
        <v>1146</v>
      </c>
    </row>
    <row r="427" spans="1:9" ht="16.5">
      <c r="A427" s="85" t="s">
        <v>3019</v>
      </c>
      <c r="B427" s="2362" t="s">
        <v>8035</v>
      </c>
      <c r="C427" s="9" t="s">
        <v>3451</v>
      </c>
      <c r="D427" s="78"/>
      <c r="E427" s="78"/>
      <c r="F427" s="79">
        <f t="shared" si="13"/>
        <v>0</v>
      </c>
      <c r="G427" s="80">
        <f t="shared" si="12"/>
        <v>0</v>
      </c>
      <c r="H427" s="81">
        <v>0.56479999999999997</v>
      </c>
      <c r="I427" s="2629" t="s">
        <v>1146</v>
      </c>
    </row>
    <row r="428" spans="1:9" ht="16.5">
      <c r="A428" s="85" t="s">
        <v>3020</v>
      </c>
      <c r="B428" s="2362" t="s">
        <v>8036</v>
      </c>
      <c r="C428" s="9" t="s">
        <v>3451</v>
      </c>
      <c r="D428" s="78"/>
      <c r="E428" s="78"/>
      <c r="F428" s="79">
        <f t="shared" si="13"/>
        <v>0</v>
      </c>
      <c r="G428" s="80">
        <f t="shared" si="12"/>
        <v>0</v>
      </c>
      <c r="H428" s="81">
        <v>0.62350000000000005</v>
      </c>
      <c r="I428" s="2629" t="s">
        <v>1146</v>
      </c>
    </row>
    <row r="429" spans="1:9" ht="16.5">
      <c r="A429" s="85" t="s">
        <v>3021</v>
      </c>
      <c r="B429" s="2362" t="s">
        <v>8037</v>
      </c>
      <c r="C429" s="9" t="s">
        <v>3451</v>
      </c>
      <c r="D429" s="78"/>
      <c r="E429" s="78"/>
      <c r="F429" s="79">
        <f t="shared" si="13"/>
        <v>0</v>
      </c>
      <c r="G429" s="80">
        <f t="shared" si="12"/>
        <v>0</v>
      </c>
      <c r="H429" s="81">
        <v>1.5518000000000001</v>
      </c>
      <c r="I429" s="2629" t="s">
        <v>1146</v>
      </c>
    </row>
    <row r="430" spans="1:9" ht="16.5">
      <c r="A430" s="85" t="s">
        <v>3022</v>
      </c>
      <c r="B430" s="2362" t="s">
        <v>8038</v>
      </c>
      <c r="C430" s="9" t="s">
        <v>3451</v>
      </c>
      <c r="D430" s="78"/>
      <c r="E430" s="78"/>
      <c r="F430" s="79">
        <f t="shared" si="13"/>
        <v>0</v>
      </c>
      <c r="G430" s="80">
        <f t="shared" si="12"/>
        <v>0</v>
      </c>
      <c r="H430" s="81">
        <v>1.4538</v>
      </c>
      <c r="I430" s="2629" t="s">
        <v>1146</v>
      </c>
    </row>
    <row r="431" spans="1:9" ht="16.5">
      <c r="A431" s="85" t="s">
        <v>3023</v>
      </c>
      <c r="B431" s="2362" t="s">
        <v>8039</v>
      </c>
      <c r="C431" s="9" t="s">
        <v>3451</v>
      </c>
      <c r="D431" s="78"/>
      <c r="E431" s="78"/>
      <c r="F431" s="79">
        <f t="shared" si="13"/>
        <v>0</v>
      </c>
      <c r="G431" s="80">
        <f t="shared" si="12"/>
        <v>0</v>
      </c>
      <c r="H431" s="81">
        <v>0.73099999999999998</v>
      </c>
      <c r="I431" s="2629" t="s">
        <v>1146</v>
      </c>
    </row>
    <row r="432" spans="1:9" ht="16.5">
      <c r="A432" s="85" t="s">
        <v>3024</v>
      </c>
      <c r="B432" s="2362" t="s">
        <v>8040</v>
      </c>
      <c r="C432" s="9" t="s">
        <v>3451</v>
      </c>
      <c r="D432" s="78"/>
      <c r="E432" s="78"/>
      <c r="F432" s="79">
        <f t="shared" si="13"/>
        <v>0</v>
      </c>
      <c r="G432" s="80">
        <f t="shared" si="12"/>
        <v>0</v>
      </c>
      <c r="H432" s="81">
        <v>0.57689999999999997</v>
      </c>
      <c r="I432" s="2629" t="s">
        <v>1146</v>
      </c>
    </row>
    <row r="433" spans="1:9" ht="16.5">
      <c r="A433" s="85" t="s">
        <v>3025</v>
      </c>
      <c r="B433" s="2362" t="s">
        <v>8041</v>
      </c>
      <c r="C433" s="9" t="s">
        <v>3451</v>
      </c>
      <c r="D433" s="78"/>
      <c r="E433" s="78"/>
      <c r="F433" s="79">
        <f t="shared" si="13"/>
        <v>0</v>
      </c>
      <c r="G433" s="80">
        <f t="shared" si="12"/>
        <v>0</v>
      </c>
      <c r="H433" s="81">
        <v>1.3432999999999999</v>
      </c>
      <c r="I433" s="2629" t="s">
        <v>1146</v>
      </c>
    </row>
    <row r="434" spans="1:9" ht="16.5">
      <c r="A434" s="85" t="s">
        <v>3026</v>
      </c>
      <c r="B434" s="2362" t="s">
        <v>8042</v>
      </c>
      <c r="C434" s="9" t="s">
        <v>3451</v>
      </c>
      <c r="D434" s="78"/>
      <c r="E434" s="78"/>
      <c r="F434" s="79">
        <f t="shared" si="13"/>
        <v>0</v>
      </c>
      <c r="G434" s="80">
        <f t="shared" si="12"/>
        <v>0</v>
      </c>
      <c r="H434" s="81">
        <v>0.99039999999999995</v>
      </c>
      <c r="I434" s="2629" t="s">
        <v>1146</v>
      </c>
    </row>
    <row r="435" spans="1:9" ht="16.5">
      <c r="A435" s="85" t="s">
        <v>3027</v>
      </c>
      <c r="B435" s="2362" t="s">
        <v>8043</v>
      </c>
      <c r="C435" s="9" t="s">
        <v>3451</v>
      </c>
      <c r="D435" s="78"/>
      <c r="E435" s="78"/>
      <c r="F435" s="79">
        <f t="shared" si="13"/>
        <v>0</v>
      </c>
      <c r="G435" s="80">
        <f t="shared" si="12"/>
        <v>0</v>
      </c>
      <c r="H435" s="81">
        <v>0.40620000000000001</v>
      </c>
      <c r="I435" s="2629" t="s">
        <v>1146</v>
      </c>
    </row>
    <row r="436" spans="1:9" ht="16.5">
      <c r="A436" s="85" t="s">
        <v>3028</v>
      </c>
      <c r="B436" s="2362" t="s">
        <v>8044</v>
      </c>
      <c r="C436" s="9" t="s">
        <v>3451</v>
      </c>
      <c r="D436" s="78"/>
      <c r="E436" s="78"/>
      <c r="F436" s="79">
        <f t="shared" si="13"/>
        <v>0</v>
      </c>
      <c r="G436" s="80">
        <f t="shared" si="12"/>
        <v>0</v>
      </c>
      <c r="H436" s="81">
        <v>1.0218</v>
      </c>
      <c r="I436" s="2629" t="s">
        <v>1146</v>
      </c>
    </row>
    <row r="437" spans="1:9" ht="16.5">
      <c r="A437" s="85" t="s">
        <v>3029</v>
      </c>
      <c r="B437" s="2362" t="s">
        <v>8045</v>
      </c>
      <c r="C437" s="9" t="s">
        <v>3451</v>
      </c>
      <c r="D437" s="78"/>
      <c r="E437" s="78"/>
      <c r="F437" s="79">
        <f t="shared" si="13"/>
        <v>0</v>
      </c>
      <c r="G437" s="80">
        <f t="shared" si="12"/>
        <v>0</v>
      </c>
      <c r="H437" s="81">
        <v>-0.2228</v>
      </c>
      <c r="I437" s="2629" t="s">
        <v>1146</v>
      </c>
    </row>
    <row r="438" spans="1:9" ht="16.5">
      <c r="A438" s="85" t="s">
        <v>3030</v>
      </c>
      <c r="B438" s="2362" t="s">
        <v>8046</v>
      </c>
      <c r="C438" s="9" t="s">
        <v>3451</v>
      </c>
      <c r="D438" s="78"/>
      <c r="E438" s="78"/>
      <c r="F438" s="79">
        <f t="shared" si="13"/>
        <v>0</v>
      </c>
      <c r="G438" s="80">
        <f t="shared" si="12"/>
        <v>0</v>
      </c>
      <c r="H438" s="81">
        <v>1.1168</v>
      </c>
      <c r="I438" s="2629" t="s">
        <v>1146</v>
      </c>
    </row>
    <row r="439" spans="1:9" ht="16.5">
      <c r="A439" s="85" t="s">
        <v>3031</v>
      </c>
      <c r="B439" s="2362" t="s">
        <v>8047</v>
      </c>
      <c r="C439" s="9" t="s">
        <v>3451</v>
      </c>
      <c r="D439" s="78"/>
      <c r="E439" s="78"/>
      <c r="F439" s="79">
        <f t="shared" si="13"/>
        <v>0</v>
      </c>
      <c r="G439" s="80">
        <f t="shared" si="12"/>
        <v>0</v>
      </c>
      <c r="H439" s="81">
        <v>0.34620000000000001</v>
      </c>
      <c r="I439" s="2629" t="s">
        <v>1146</v>
      </c>
    </row>
    <row r="440" spans="1:9" ht="16.5">
      <c r="A440" s="85" t="s">
        <v>3032</v>
      </c>
      <c r="B440" s="2362" t="s">
        <v>8048</v>
      </c>
      <c r="C440" s="9" t="s">
        <v>3451</v>
      </c>
      <c r="D440" s="78"/>
      <c r="E440" s="78"/>
      <c r="F440" s="79">
        <f t="shared" si="13"/>
        <v>0</v>
      </c>
      <c r="G440" s="80">
        <f t="shared" si="12"/>
        <v>0</v>
      </c>
      <c r="H440" s="81">
        <v>0.84719999999999995</v>
      </c>
      <c r="I440" s="2629" t="s">
        <v>1146</v>
      </c>
    </row>
    <row r="441" spans="1:9" ht="16.5">
      <c r="A441" s="85" t="s">
        <v>3033</v>
      </c>
      <c r="B441" s="2362" t="s">
        <v>8049</v>
      </c>
      <c r="C441" s="9" t="s">
        <v>3451</v>
      </c>
      <c r="D441" s="78"/>
      <c r="E441" s="78"/>
      <c r="F441" s="79">
        <f t="shared" si="13"/>
        <v>0</v>
      </c>
      <c r="G441" s="80">
        <f t="shared" si="12"/>
        <v>0</v>
      </c>
      <c r="H441" s="81">
        <v>1.6157999999999999</v>
      </c>
      <c r="I441" s="2629" t="s">
        <v>1146</v>
      </c>
    </row>
    <row r="442" spans="1:9" ht="16.5">
      <c r="A442" s="85" t="s">
        <v>3034</v>
      </c>
      <c r="B442" s="2362" t="s">
        <v>8050</v>
      </c>
      <c r="C442" s="9" t="s">
        <v>3451</v>
      </c>
      <c r="D442" s="78"/>
      <c r="E442" s="78"/>
      <c r="F442" s="79">
        <f t="shared" si="13"/>
        <v>0</v>
      </c>
      <c r="G442" s="80">
        <f t="shared" si="12"/>
        <v>0</v>
      </c>
      <c r="H442" s="81">
        <v>0.56110000000000004</v>
      </c>
      <c r="I442" s="2629" t="s">
        <v>1146</v>
      </c>
    </row>
    <row r="443" spans="1:9" ht="16.5">
      <c r="A443" s="85" t="s">
        <v>3035</v>
      </c>
      <c r="B443" s="2362" t="s">
        <v>8051</v>
      </c>
      <c r="C443" s="9" t="s">
        <v>3451</v>
      </c>
      <c r="D443" s="78"/>
      <c r="E443" s="78"/>
      <c r="F443" s="79">
        <f t="shared" si="13"/>
        <v>0</v>
      </c>
      <c r="G443" s="80">
        <f t="shared" si="12"/>
        <v>0</v>
      </c>
      <c r="H443" s="81">
        <v>1.5255000000000001</v>
      </c>
      <c r="I443" s="2629" t="s">
        <v>1146</v>
      </c>
    </row>
    <row r="444" spans="1:9" ht="16.5">
      <c r="A444" s="85" t="s">
        <v>3036</v>
      </c>
      <c r="B444" s="2362" t="s">
        <v>8052</v>
      </c>
      <c r="C444" s="9" t="s">
        <v>3451</v>
      </c>
      <c r="D444" s="78"/>
      <c r="E444" s="78"/>
      <c r="F444" s="79">
        <f t="shared" si="13"/>
        <v>0</v>
      </c>
      <c r="G444" s="80">
        <f t="shared" si="12"/>
        <v>0</v>
      </c>
      <c r="H444" s="81">
        <v>1.2916000000000001</v>
      </c>
      <c r="I444" s="2629" t="s">
        <v>1146</v>
      </c>
    </row>
    <row r="445" spans="1:9" ht="16.5">
      <c r="A445" s="85" t="s">
        <v>3037</v>
      </c>
      <c r="B445" s="2362" t="s">
        <v>8053</v>
      </c>
      <c r="C445" s="9" t="s">
        <v>3451</v>
      </c>
      <c r="D445" s="78"/>
      <c r="E445" s="78"/>
      <c r="F445" s="79">
        <f t="shared" si="13"/>
        <v>0</v>
      </c>
      <c r="G445" s="80">
        <f t="shared" si="12"/>
        <v>0</v>
      </c>
      <c r="H445" s="81">
        <v>0.4602</v>
      </c>
      <c r="I445" s="2629" t="s">
        <v>1146</v>
      </c>
    </row>
    <row r="446" spans="1:9" ht="16.5">
      <c r="A446" s="85" t="s">
        <v>3038</v>
      </c>
      <c r="B446" s="2362" t="s">
        <v>8054</v>
      </c>
      <c r="C446" s="9" t="s">
        <v>3451</v>
      </c>
      <c r="D446" s="78"/>
      <c r="E446" s="78"/>
      <c r="F446" s="79">
        <f t="shared" si="13"/>
        <v>0</v>
      </c>
      <c r="G446" s="80">
        <f t="shared" si="12"/>
        <v>0</v>
      </c>
      <c r="H446" s="81">
        <v>7.4300000000000005E-2</v>
      </c>
      <c r="I446" s="2629" t="s">
        <v>1146</v>
      </c>
    </row>
    <row r="447" spans="1:9" ht="16.5">
      <c r="A447" s="85" t="s">
        <v>3039</v>
      </c>
      <c r="B447" s="2362" t="s">
        <v>8055</v>
      </c>
      <c r="C447" s="9" t="s">
        <v>3451</v>
      </c>
      <c r="D447" s="78"/>
      <c r="E447" s="78"/>
      <c r="F447" s="79">
        <f t="shared" si="13"/>
        <v>0</v>
      </c>
      <c r="G447" s="80">
        <f t="shared" si="12"/>
        <v>0</v>
      </c>
      <c r="H447" s="81">
        <v>1.0679000000000001</v>
      </c>
      <c r="I447" s="2629" t="s">
        <v>1146</v>
      </c>
    </row>
    <row r="448" spans="1:9" ht="16.5">
      <c r="A448" s="85" t="s">
        <v>3040</v>
      </c>
      <c r="B448" s="2362" t="s">
        <v>8056</v>
      </c>
      <c r="C448" s="9" t="s">
        <v>3451</v>
      </c>
      <c r="D448" s="78"/>
      <c r="E448" s="78"/>
      <c r="F448" s="79">
        <f t="shared" si="13"/>
        <v>0</v>
      </c>
      <c r="G448" s="80">
        <f t="shared" si="12"/>
        <v>0</v>
      </c>
      <c r="H448" s="81">
        <v>0.30259999999999998</v>
      </c>
      <c r="I448" s="2629" t="s">
        <v>1146</v>
      </c>
    </row>
    <row r="449" spans="1:9" ht="16.5">
      <c r="A449" s="85" t="s">
        <v>3041</v>
      </c>
      <c r="B449" s="2362" t="s">
        <v>8057</v>
      </c>
      <c r="C449" s="9" t="s">
        <v>3451</v>
      </c>
      <c r="D449" s="78"/>
      <c r="E449" s="78"/>
      <c r="F449" s="79">
        <f t="shared" si="13"/>
        <v>0</v>
      </c>
      <c r="G449" s="80">
        <f t="shared" si="12"/>
        <v>0</v>
      </c>
      <c r="H449" s="81">
        <v>1.1794</v>
      </c>
      <c r="I449" s="2629" t="s">
        <v>1146</v>
      </c>
    </row>
    <row r="450" spans="1:9" ht="16.5">
      <c r="A450" s="85" t="s">
        <v>3042</v>
      </c>
      <c r="B450" s="2362" t="s">
        <v>8058</v>
      </c>
      <c r="C450" s="9" t="s">
        <v>3451</v>
      </c>
      <c r="D450" s="78"/>
      <c r="E450" s="78"/>
      <c r="F450" s="79">
        <f t="shared" si="13"/>
        <v>0</v>
      </c>
      <c r="G450" s="80">
        <f t="shared" si="12"/>
        <v>0</v>
      </c>
      <c r="H450" s="81">
        <v>0.251</v>
      </c>
      <c r="I450" s="2629" t="s">
        <v>1146</v>
      </c>
    </row>
    <row r="451" spans="1:9" ht="16.5">
      <c r="A451" s="85" t="s">
        <v>3043</v>
      </c>
      <c r="B451" s="2362" t="s">
        <v>8059</v>
      </c>
      <c r="C451" s="9" t="s">
        <v>3451</v>
      </c>
      <c r="D451" s="78"/>
      <c r="E451" s="78"/>
      <c r="F451" s="79">
        <f t="shared" si="13"/>
        <v>0</v>
      </c>
      <c r="G451" s="80">
        <f t="shared" si="12"/>
        <v>0</v>
      </c>
      <c r="H451" s="81">
        <v>0.24249999999999999</v>
      </c>
      <c r="I451" s="2629" t="s">
        <v>1146</v>
      </c>
    </row>
    <row r="452" spans="1:9" ht="16.5">
      <c r="A452" s="85" t="s">
        <v>3044</v>
      </c>
      <c r="B452" s="2362" t="s">
        <v>8060</v>
      </c>
      <c r="C452" s="9" t="s">
        <v>3451</v>
      </c>
      <c r="D452" s="78"/>
      <c r="E452" s="78"/>
      <c r="F452" s="79">
        <f t="shared" si="13"/>
        <v>0</v>
      </c>
      <c r="G452" s="80">
        <f t="shared" ref="G452:G515" si="14">IF($F$836=0,0,F452/$F$836)</f>
        <v>0</v>
      </c>
      <c r="H452" s="81">
        <v>0.2676</v>
      </c>
      <c r="I452" s="2629" t="s">
        <v>1146</v>
      </c>
    </row>
    <row r="453" spans="1:9" ht="16.5">
      <c r="A453" s="85" t="s">
        <v>3045</v>
      </c>
      <c r="B453" s="2362" t="s">
        <v>8061</v>
      </c>
      <c r="C453" s="9" t="s">
        <v>3451</v>
      </c>
      <c r="D453" s="78"/>
      <c r="E453" s="78"/>
      <c r="F453" s="79">
        <f t="shared" ref="F453:F516" si="15">D453*E453</f>
        <v>0</v>
      </c>
      <c r="G453" s="80">
        <f t="shared" si="14"/>
        <v>0</v>
      </c>
      <c r="H453" s="81">
        <v>0.83430000000000004</v>
      </c>
      <c r="I453" s="2629" t="s">
        <v>1146</v>
      </c>
    </row>
    <row r="454" spans="1:9" ht="16.5">
      <c r="A454" s="85" t="s">
        <v>3046</v>
      </c>
      <c r="B454" s="2362" t="s">
        <v>8062</v>
      </c>
      <c r="C454" s="9" t="s">
        <v>3451</v>
      </c>
      <c r="D454" s="78"/>
      <c r="E454" s="78"/>
      <c r="F454" s="79">
        <f t="shared" si="15"/>
        <v>0</v>
      </c>
      <c r="G454" s="80">
        <f t="shared" si="14"/>
        <v>0</v>
      </c>
      <c r="H454" s="81">
        <v>0.30509999999999998</v>
      </c>
      <c r="I454" s="2629" t="s">
        <v>1146</v>
      </c>
    </row>
    <row r="455" spans="1:9" ht="16.5">
      <c r="A455" s="85" t="s">
        <v>3047</v>
      </c>
      <c r="B455" s="2362" t="s">
        <v>8063</v>
      </c>
      <c r="C455" s="9" t="s">
        <v>3451</v>
      </c>
      <c r="D455" s="78"/>
      <c r="E455" s="78"/>
      <c r="F455" s="79">
        <f t="shared" si="15"/>
        <v>0</v>
      </c>
      <c r="G455" s="80">
        <f t="shared" si="14"/>
        <v>0</v>
      </c>
      <c r="H455" s="81">
        <v>0.53069999999999995</v>
      </c>
      <c r="I455" s="2629" t="s">
        <v>1146</v>
      </c>
    </row>
    <row r="456" spans="1:9" ht="16.5">
      <c r="A456" s="85" t="s">
        <v>3048</v>
      </c>
      <c r="B456" s="2362" t="s">
        <v>8064</v>
      </c>
      <c r="C456" s="9" t="s">
        <v>3451</v>
      </c>
      <c r="D456" s="78"/>
      <c r="E456" s="78"/>
      <c r="F456" s="79">
        <f t="shared" si="15"/>
        <v>0</v>
      </c>
      <c r="G456" s="80">
        <f t="shared" si="14"/>
        <v>0</v>
      </c>
      <c r="H456" s="81">
        <v>0.51239999999999997</v>
      </c>
      <c r="I456" s="2629" t="s">
        <v>1146</v>
      </c>
    </row>
    <row r="457" spans="1:9" ht="16.5">
      <c r="A457" s="85" t="s">
        <v>3049</v>
      </c>
      <c r="B457" s="2362" t="s">
        <v>8065</v>
      </c>
      <c r="C457" s="9" t="s">
        <v>3451</v>
      </c>
      <c r="D457" s="78"/>
      <c r="E457" s="78"/>
      <c r="F457" s="79">
        <f t="shared" si="15"/>
        <v>0</v>
      </c>
      <c r="G457" s="80">
        <f t="shared" si="14"/>
        <v>0</v>
      </c>
      <c r="H457" s="81">
        <v>7.9399999999999998E-2</v>
      </c>
      <c r="I457" s="2629" t="s">
        <v>1146</v>
      </c>
    </row>
    <row r="458" spans="1:9" ht="16.5">
      <c r="A458" s="85" t="s">
        <v>3050</v>
      </c>
      <c r="B458" s="2362" t="s">
        <v>8066</v>
      </c>
      <c r="C458" s="9" t="s">
        <v>3451</v>
      </c>
      <c r="D458" s="78"/>
      <c r="E458" s="78"/>
      <c r="F458" s="79">
        <f t="shared" si="15"/>
        <v>0</v>
      </c>
      <c r="G458" s="80">
        <f t="shared" si="14"/>
        <v>0</v>
      </c>
      <c r="H458" s="81">
        <v>0.78469999999999995</v>
      </c>
      <c r="I458" s="2629" t="s">
        <v>1146</v>
      </c>
    </row>
    <row r="459" spans="1:9" ht="16.5">
      <c r="A459" s="85" t="s">
        <v>3051</v>
      </c>
      <c r="B459" s="2362" t="s">
        <v>8067</v>
      </c>
      <c r="C459" s="9" t="s">
        <v>3451</v>
      </c>
      <c r="D459" s="78"/>
      <c r="E459" s="78"/>
      <c r="F459" s="79">
        <f t="shared" si="15"/>
        <v>0</v>
      </c>
      <c r="G459" s="80">
        <f t="shared" si="14"/>
        <v>0</v>
      </c>
      <c r="H459" s="81">
        <v>0.15210000000000001</v>
      </c>
      <c r="I459" s="2629" t="s">
        <v>1146</v>
      </c>
    </row>
    <row r="460" spans="1:9" ht="16.5">
      <c r="A460" s="85" t="s">
        <v>3052</v>
      </c>
      <c r="B460" s="2362" t="s">
        <v>8068</v>
      </c>
      <c r="C460" s="9" t="s">
        <v>3451</v>
      </c>
      <c r="D460" s="78"/>
      <c r="E460" s="78"/>
      <c r="F460" s="79">
        <f t="shared" si="15"/>
        <v>0</v>
      </c>
      <c r="G460" s="80">
        <f t="shared" si="14"/>
        <v>0</v>
      </c>
      <c r="H460" s="81">
        <v>6.9900000000000004E-2</v>
      </c>
      <c r="I460" s="2629" t="s">
        <v>1146</v>
      </c>
    </row>
    <row r="461" spans="1:9" ht="16.5">
      <c r="A461" s="85" t="s">
        <v>3053</v>
      </c>
      <c r="B461" s="2362" t="s">
        <v>8069</v>
      </c>
      <c r="C461" s="9" t="s">
        <v>3451</v>
      </c>
      <c r="D461" s="78"/>
      <c r="E461" s="78"/>
      <c r="F461" s="79">
        <f t="shared" si="15"/>
        <v>0</v>
      </c>
      <c r="G461" s="80">
        <f t="shared" si="14"/>
        <v>0</v>
      </c>
      <c r="H461" s="81">
        <v>0.27039999999999997</v>
      </c>
      <c r="I461" s="2629" t="s">
        <v>1146</v>
      </c>
    </row>
    <row r="462" spans="1:9" ht="16.5">
      <c r="A462" s="85" t="s">
        <v>3054</v>
      </c>
      <c r="B462" s="2362" t="s">
        <v>8070</v>
      </c>
      <c r="C462" s="9" t="s">
        <v>3451</v>
      </c>
      <c r="D462" s="78"/>
      <c r="E462" s="78"/>
      <c r="F462" s="79">
        <f t="shared" si="15"/>
        <v>0</v>
      </c>
      <c r="G462" s="80">
        <f t="shared" si="14"/>
        <v>0</v>
      </c>
      <c r="H462" s="81">
        <v>0.1167</v>
      </c>
      <c r="I462" s="2629" t="s">
        <v>1146</v>
      </c>
    </row>
    <row r="463" spans="1:9" ht="16.5">
      <c r="A463" s="85" t="s">
        <v>3055</v>
      </c>
      <c r="B463" s="2362" t="s">
        <v>8071</v>
      </c>
      <c r="C463" s="9" t="s">
        <v>3451</v>
      </c>
      <c r="D463" s="78"/>
      <c r="E463" s="78"/>
      <c r="F463" s="79">
        <f t="shared" si="15"/>
        <v>0</v>
      </c>
      <c r="G463" s="80">
        <f t="shared" si="14"/>
        <v>0</v>
      </c>
      <c r="H463" s="81">
        <v>0.62529999999999997</v>
      </c>
      <c r="I463" s="2629" t="s">
        <v>1146</v>
      </c>
    </row>
    <row r="464" spans="1:9" ht="16.5">
      <c r="A464" s="85" t="s">
        <v>3056</v>
      </c>
      <c r="B464" s="2362" t="s">
        <v>8072</v>
      </c>
      <c r="C464" s="9" t="s">
        <v>3451</v>
      </c>
      <c r="D464" s="78"/>
      <c r="E464" s="78"/>
      <c r="F464" s="79">
        <f t="shared" si="15"/>
        <v>0</v>
      </c>
      <c r="G464" s="80">
        <f t="shared" si="14"/>
        <v>0</v>
      </c>
      <c r="H464" s="81">
        <v>0.30380000000000001</v>
      </c>
      <c r="I464" s="2629" t="s">
        <v>1146</v>
      </c>
    </row>
    <row r="465" spans="1:9" ht="16.5">
      <c r="A465" s="85" t="s">
        <v>3057</v>
      </c>
      <c r="B465" s="2362" t="s">
        <v>8073</v>
      </c>
      <c r="C465" s="9" t="s">
        <v>3451</v>
      </c>
      <c r="D465" s="78"/>
      <c r="E465" s="78"/>
      <c r="F465" s="79">
        <f t="shared" si="15"/>
        <v>0</v>
      </c>
      <c r="G465" s="80">
        <f t="shared" si="14"/>
        <v>0</v>
      </c>
      <c r="H465" s="81">
        <v>-6.7400000000000002E-2</v>
      </c>
      <c r="I465" s="2629" t="s">
        <v>1146</v>
      </c>
    </row>
    <row r="466" spans="1:9" ht="16.5">
      <c r="A466" s="85" t="s">
        <v>3058</v>
      </c>
      <c r="B466" s="2362" t="s">
        <v>8074</v>
      </c>
      <c r="C466" s="9" t="s">
        <v>3451</v>
      </c>
      <c r="D466" s="78"/>
      <c r="E466" s="78"/>
      <c r="F466" s="79">
        <f t="shared" si="15"/>
        <v>0</v>
      </c>
      <c r="G466" s="80">
        <f t="shared" si="14"/>
        <v>0</v>
      </c>
      <c r="H466" s="81">
        <v>0.6482</v>
      </c>
      <c r="I466" s="2629" t="s">
        <v>1146</v>
      </c>
    </row>
    <row r="467" spans="1:9" ht="16.5">
      <c r="A467" s="85" t="s">
        <v>3059</v>
      </c>
      <c r="B467" s="2362" t="s">
        <v>8075</v>
      </c>
      <c r="C467" s="9" t="s">
        <v>3451</v>
      </c>
      <c r="D467" s="78"/>
      <c r="E467" s="78"/>
      <c r="F467" s="79">
        <f t="shared" si="15"/>
        <v>0</v>
      </c>
      <c r="G467" s="80">
        <f t="shared" si="14"/>
        <v>0</v>
      </c>
      <c r="H467" s="81">
        <v>0.13339999999999999</v>
      </c>
      <c r="I467" s="2629" t="s">
        <v>1146</v>
      </c>
    </row>
    <row r="468" spans="1:9" ht="16.5">
      <c r="A468" s="85" t="s">
        <v>3060</v>
      </c>
      <c r="B468" s="2362" t="s">
        <v>8076</v>
      </c>
      <c r="C468" s="9" t="s">
        <v>3451</v>
      </c>
      <c r="D468" s="78"/>
      <c r="E468" s="78"/>
      <c r="F468" s="79">
        <f t="shared" si="15"/>
        <v>0</v>
      </c>
      <c r="G468" s="80">
        <f t="shared" si="14"/>
        <v>0</v>
      </c>
      <c r="H468" s="81">
        <v>0.38829999999999998</v>
      </c>
      <c r="I468" s="2629" t="s">
        <v>1146</v>
      </c>
    </row>
    <row r="469" spans="1:9" ht="16.5">
      <c r="A469" s="85" t="s">
        <v>3061</v>
      </c>
      <c r="B469" s="2362" t="s">
        <v>8077</v>
      </c>
      <c r="C469" s="9" t="s">
        <v>3451</v>
      </c>
      <c r="D469" s="78"/>
      <c r="E469" s="78"/>
      <c r="F469" s="79">
        <f t="shared" si="15"/>
        <v>0</v>
      </c>
      <c r="G469" s="80">
        <f t="shared" si="14"/>
        <v>0</v>
      </c>
      <c r="H469" s="81">
        <v>0.2525</v>
      </c>
      <c r="I469" s="2629" t="s">
        <v>1146</v>
      </c>
    </row>
    <row r="470" spans="1:9" ht="16.5">
      <c r="A470" s="85" t="s">
        <v>3062</v>
      </c>
      <c r="B470" s="2362" t="s">
        <v>8078</v>
      </c>
      <c r="C470" s="9" t="s">
        <v>3451</v>
      </c>
      <c r="D470" s="78"/>
      <c r="E470" s="78"/>
      <c r="F470" s="79">
        <f t="shared" si="15"/>
        <v>0</v>
      </c>
      <c r="G470" s="80">
        <f t="shared" si="14"/>
        <v>0</v>
      </c>
      <c r="H470" s="81">
        <v>0.93089999999999995</v>
      </c>
      <c r="I470" s="2629" t="s">
        <v>1146</v>
      </c>
    </row>
    <row r="471" spans="1:9" ht="16.5">
      <c r="A471" s="85" t="s">
        <v>3063</v>
      </c>
      <c r="B471" s="2362" t="s">
        <v>8079</v>
      </c>
      <c r="C471" s="9" t="s">
        <v>3451</v>
      </c>
      <c r="D471" s="78"/>
      <c r="E471" s="78"/>
      <c r="F471" s="79">
        <f t="shared" si="15"/>
        <v>0</v>
      </c>
      <c r="G471" s="80">
        <f t="shared" si="14"/>
        <v>0</v>
      </c>
      <c r="H471" s="81">
        <v>1.1516</v>
      </c>
      <c r="I471" s="2629" t="s">
        <v>1146</v>
      </c>
    </row>
    <row r="472" spans="1:9" ht="16.5">
      <c r="A472" s="85" t="s">
        <v>3064</v>
      </c>
      <c r="B472" s="2362" t="s">
        <v>8080</v>
      </c>
      <c r="C472" s="9" t="s">
        <v>3451</v>
      </c>
      <c r="D472" s="78"/>
      <c r="E472" s="78"/>
      <c r="F472" s="79">
        <f t="shared" si="15"/>
        <v>0</v>
      </c>
      <c r="G472" s="80">
        <f t="shared" si="14"/>
        <v>0</v>
      </c>
      <c r="H472" s="81">
        <v>1.3845000000000001</v>
      </c>
      <c r="I472" s="2629" t="s">
        <v>1146</v>
      </c>
    </row>
    <row r="473" spans="1:9" ht="16.5">
      <c r="A473" s="85" t="s">
        <v>3065</v>
      </c>
      <c r="B473" s="2362" t="s">
        <v>8081</v>
      </c>
      <c r="C473" s="9" t="s">
        <v>3451</v>
      </c>
      <c r="D473" s="78"/>
      <c r="E473" s="78"/>
      <c r="F473" s="79">
        <f t="shared" si="15"/>
        <v>0</v>
      </c>
      <c r="G473" s="80">
        <f t="shared" si="14"/>
        <v>0</v>
      </c>
      <c r="H473" s="81">
        <v>-2.3E-3</v>
      </c>
      <c r="I473" s="2629" t="s">
        <v>1146</v>
      </c>
    </row>
    <row r="474" spans="1:9" ht="16.5">
      <c r="A474" s="85" t="s">
        <v>3066</v>
      </c>
      <c r="B474" s="2362" t="s">
        <v>8082</v>
      </c>
      <c r="C474" s="9" t="s">
        <v>3451</v>
      </c>
      <c r="D474" s="78"/>
      <c r="E474" s="78"/>
      <c r="F474" s="79">
        <f t="shared" si="15"/>
        <v>0</v>
      </c>
      <c r="G474" s="80">
        <f t="shared" si="14"/>
        <v>0</v>
      </c>
      <c r="H474" s="81">
        <v>0.24510000000000001</v>
      </c>
      <c r="I474" s="2629" t="s">
        <v>1146</v>
      </c>
    </row>
    <row r="475" spans="1:9" ht="16.5">
      <c r="A475" s="85" t="s">
        <v>3067</v>
      </c>
      <c r="B475" s="2362" t="s">
        <v>8083</v>
      </c>
      <c r="C475" s="9" t="s">
        <v>3451</v>
      </c>
      <c r="D475" s="78"/>
      <c r="E475" s="78"/>
      <c r="F475" s="79">
        <f t="shared" si="15"/>
        <v>0</v>
      </c>
      <c r="G475" s="80">
        <f t="shared" si="14"/>
        <v>0</v>
      </c>
      <c r="H475" s="81">
        <v>0.248</v>
      </c>
      <c r="I475" s="2629" t="s">
        <v>1146</v>
      </c>
    </row>
    <row r="476" spans="1:9" ht="16.5">
      <c r="A476" s="85" t="s">
        <v>3068</v>
      </c>
      <c r="B476" s="2362" t="s">
        <v>8084</v>
      </c>
      <c r="C476" s="9" t="s">
        <v>3451</v>
      </c>
      <c r="D476" s="78"/>
      <c r="E476" s="78"/>
      <c r="F476" s="79">
        <f t="shared" si="15"/>
        <v>0</v>
      </c>
      <c r="G476" s="80">
        <f t="shared" si="14"/>
        <v>0</v>
      </c>
      <c r="H476" s="81">
        <v>0.6079</v>
      </c>
      <c r="I476" s="2629" t="s">
        <v>1146</v>
      </c>
    </row>
    <row r="477" spans="1:9" ht="16.5">
      <c r="A477" s="85" t="s">
        <v>3069</v>
      </c>
      <c r="B477" s="2362" t="s">
        <v>8085</v>
      </c>
      <c r="C477" s="9" t="s">
        <v>3451</v>
      </c>
      <c r="D477" s="78"/>
      <c r="E477" s="78"/>
      <c r="F477" s="79">
        <f t="shared" si="15"/>
        <v>0</v>
      </c>
      <c r="G477" s="80">
        <f t="shared" si="14"/>
        <v>0</v>
      </c>
      <c r="H477" s="81">
        <v>0.44790000000000002</v>
      </c>
      <c r="I477" s="2629" t="s">
        <v>1146</v>
      </c>
    </row>
    <row r="478" spans="1:9" ht="16.5">
      <c r="A478" s="85" t="s">
        <v>3070</v>
      </c>
      <c r="B478" s="2362" t="s">
        <v>8086</v>
      </c>
      <c r="C478" s="9" t="s">
        <v>3451</v>
      </c>
      <c r="D478" s="78"/>
      <c r="E478" s="78"/>
      <c r="F478" s="79">
        <f t="shared" si="15"/>
        <v>0</v>
      </c>
      <c r="G478" s="80">
        <f t="shared" si="14"/>
        <v>0</v>
      </c>
      <c r="H478" s="81">
        <v>1.0036</v>
      </c>
      <c r="I478" s="2629" t="s">
        <v>1146</v>
      </c>
    </row>
    <row r="479" spans="1:9" ht="16.5">
      <c r="A479" s="85" t="s">
        <v>3071</v>
      </c>
      <c r="B479" s="2362" t="s">
        <v>8087</v>
      </c>
      <c r="C479" s="9" t="s">
        <v>3451</v>
      </c>
      <c r="D479" s="78"/>
      <c r="E479" s="78"/>
      <c r="F479" s="79">
        <f t="shared" si="15"/>
        <v>0</v>
      </c>
      <c r="G479" s="80">
        <f t="shared" si="14"/>
        <v>0</v>
      </c>
      <c r="H479" s="81">
        <v>0.84470000000000001</v>
      </c>
      <c r="I479" s="2629" t="s">
        <v>1146</v>
      </c>
    </row>
    <row r="480" spans="1:9" ht="16.5">
      <c r="A480" s="85" t="s">
        <v>3072</v>
      </c>
      <c r="B480" s="2362" t="s">
        <v>8088</v>
      </c>
      <c r="C480" s="9" t="s">
        <v>3451</v>
      </c>
      <c r="D480" s="78"/>
      <c r="E480" s="78"/>
      <c r="F480" s="79">
        <f t="shared" si="15"/>
        <v>0</v>
      </c>
      <c r="G480" s="80">
        <f t="shared" si="14"/>
        <v>0</v>
      </c>
      <c r="H480" s="81">
        <v>0.1535</v>
      </c>
      <c r="I480" s="2629" t="s">
        <v>1146</v>
      </c>
    </row>
    <row r="481" spans="1:9" ht="16.5">
      <c r="A481" s="85" t="s">
        <v>3073</v>
      </c>
      <c r="B481" s="2362" t="s">
        <v>8089</v>
      </c>
      <c r="C481" s="9" t="s">
        <v>3451</v>
      </c>
      <c r="D481" s="78"/>
      <c r="E481" s="78"/>
      <c r="F481" s="79">
        <f t="shared" si="15"/>
        <v>0</v>
      </c>
      <c r="G481" s="80">
        <f t="shared" si="14"/>
        <v>0</v>
      </c>
      <c r="H481" s="81">
        <v>0.2399</v>
      </c>
      <c r="I481" s="2629" t="s">
        <v>1146</v>
      </c>
    </row>
    <row r="482" spans="1:9" ht="16.5">
      <c r="A482" s="85" t="s">
        <v>3074</v>
      </c>
      <c r="B482" s="2362" t="s">
        <v>8090</v>
      </c>
      <c r="C482" s="9" t="s">
        <v>3451</v>
      </c>
      <c r="D482" s="78"/>
      <c r="E482" s="78"/>
      <c r="F482" s="79">
        <f t="shared" si="15"/>
        <v>0</v>
      </c>
      <c r="G482" s="80">
        <f t="shared" si="14"/>
        <v>0</v>
      </c>
      <c r="H482" s="81">
        <v>0.20419999999999999</v>
      </c>
      <c r="I482" s="2629" t="s">
        <v>1146</v>
      </c>
    </row>
    <row r="483" spans="1:9" ht="16.5">
      <c r="A483" s="85" t="s">
        <v>3075</v>
      </c>
      <c r="B483" s="2362" t="s">
        <v>8091</v>
      </c>
      <c r="C483" s="9" t="s">
        <v>3451</v>
      </c>
      <c r="D483" s="78"/>
      <c r="E483" s="78"/>
      <c r="F483" s="79">
        <f t="shared" si="15"/>
        <v>0</v>
      </c>
      <c r="G483" s="80">
        <f t="shared" si="14"/>
        <v>0</v>
      </c>
      <c r="H483" s="81">
        <v>0.89639999999999997</v>
      </c>
      <c r="I483" s="2629" t="s">
        <v>1146</v>
      </c>
    </row>
    <row r="484" spans="1:9" ht="16.5">
      <c r="A484" s="85" t="s">
        <v>3076</v>
      </c>
      <c r="B484" s="2362" t="s">
        <v>8092</v>
      </c>
      <c r="C484" s="9" t="s">
        <v>3451</v>
      </c>
      <c r="D484" s="78"/>
      <c r="E484" s="78"/>
      <c r="F484" s="79">
        <f t="shared" si="15"/>
        <v>0</v>
      </c>
      <c r="G484" s="80">
        <f t="shared" si="14"/>
        <v>0</v>
      </c>
      <c r="H484" s="81">
        <v>0.52510000000000001</v>
      </c>
      <c r="I484" s="2629" t="s">
        <v>1146</v>
      </c>
    </row>
    <row r="485" spans="1:9" ht="16.5">
      <c r="A485" s="85" t="s">
        <v>3077</v>
      </c>
      <c r="B485" s="2362" t="s">
        <v>8093</v>
      </c>
      <c r="C485" s="9" t="s">
        <v>3451</v>
      </c>
      <c r="D485" s="78"/>
      <c r="E485" s="78"/>
      <c r="F485" s="79">
        <f t="shared" si="15"/>
        <v>0</v>
      </c>
      <c r="G485" s="80">
        <f t="shared" si="14"/>
        <v>0</v>
      </c>
      <c r="H485" s="81">
        <v>1.2051000000000001</v>
      </c>
      <c r="I485" s="2629" t="s">
        <v>1146</v>
      </c>
    </row>
    <row r="486" spans="1:9" ht="16.5">
      <c r="A486" s="85" t="s">
        <v>3078</v>
      </c>
      <c r="B486" s="2362" t="s">
        <v>8094</v>
      </c>
      <c r="C486" s="9" t="s">
        <v>3451</v>
      </c>
      <c r="D486" s="78"/>
      <c r="E486" s="78"/>
      <c r="F486" s="79">
        <f t="shared" si="15"/>
        <v>0</v>
      </c>
      <c r="G486" s="80">
        <f t="shared" si="14"/>
        <v>0</v>
      </c>
      <c r="H486" s="81">
        <v>1.8065</v>
      </c>
      <c r="I486" s="2629" t="s">
        <v>1146</v>
      </c>
    </row>
    <row r="487" spans="1:9" ht="16.5">
      <c r="A487" s="85" t="s">
        <v>3079</v>
      </c>
      <c r="B487" s="2362" t="s">
        <v>8095</v>
      </c>
      <c r="C487" s="9" t="s">
        <v>3451</v>
      </c>
      <c r="D487" s="78"/>
      <c r="E487" s="78"/>
      <c r="F487" s="79">
        <f t="shared" si="15"/>
        <v>0</v>
      </c>
      <c r="G487" s="80">
        <f t="shared" si="14"/>
        <v>0</v>
      </c>
      <c r="H487" s="81">
        <v>1.1870000000000001</v>
      </c>
      <c r="I487" s="2629" t="s">
        <v>1146</v>
      </c>
    </row>
    <row r="488" spans="1:9" ht="16.5">
      <c r="A488" s="85" t="s">
        <v>3080</v>
      </c>
      <c r="B488" s="2362" t="s">
        <v>8096</v>
      </c>
      <c r="C488" s="9" t="s">
        <v>3451</v>
      </c>
      <c r="D488" s="78"/>
      <c r="E488" s="78"/>
      <c r="F488" s="79">
        <f t="shared" si="15"/>
        <v>0</v>
      </c>
      <c r="G488" s="80">
        <f t="shared" si="14"/>
        <v>0</v>
      </c>
      <c r="H488" s="81">
        <v>1.167</v>
      </c>
      <c r="I488" s="2629" t="s">
        <v>1146</v>
      </c>
    </row>
    <row r="489" spans="1:9" ht="16.5">
      <c r="A489" s="85" t="s">
        <v>3081</v>
      </c>
      <c r="B489" s="2362" t="s">
        <v>8097</v>
      </c>
      <c r="C489" s="9" t="s">
        <v>3451</v>
      </c>
      <c r="D489" s="78"/>
      <c r="E489" s="78"/>
      <c r="F489" s="79">
        <f t="shared" si="15"/>
        <v>0</v>
      </c>
      <c r="G489" s="80">
        <f t="shared" si="14"/>
        <v>0</v>
      </c>
      <c r="H489" s="81">
        <v>0.74590000000000001</v>
      </c>
      <c r="I489" s="2629" t="s">
        <v>1146</v>
      </c>
    </row>
    <row r="490" spans="1:9" ht="16.5">
      <c r="A490" s="85" t="s">
        <v>3082</v>
      </c>
      <c r="B490" s="2362" t="s">
        <v>8098</v>
      </c>
      <c r="C490" s="9" t="s">
        <v>3451</v>
      </c>
      <c r="D490" s="78"/>
      <c r="E490" s="78"/>
      <c r="F490" s="79">
        <f t="shared" si="15"/>
        <v>0</v>
      </c>
      <c r="G490" s="80">
        <f t="shared" si="14"/>
        <v>0</v>
      </c>
      <c r="H490" s="81">
        <v>0.90510000000000002</v>
      </c>
      <c r="I490" s="2629" t="s">
        <v>1146</v>
      </c>
    </row>
    <row r="491" spans="1:9" ht="16.5">
      <c r="A491" s="85" t="s">
        <v>3083</v>
      </c>
      <c r="B491" s="2362" t="s">
        <v>8099</v>
      </c>
      <c r="C491" s="9" t="s">
        <v>3451</v>
      </c>
      <c r="D491" s="78"/>
      <c r="E491" s="78"/>
      <c r="F491" s="79">
        <f t="shared" si="15"/>
        <v>0</v>
      </c>
      <c r="G491" s="80">
        <f t="shared" si="14"/>
        <v>0</v>
      </c>
      <c r="H491" s="81">
        <v>1.4185000000000001</v>
      </c>
      <c r="I491" s="2629" t="s">
        <v>1146</v>
      </c>
    </row>
    <row r="492" spans="1:9" ht="16.5">
      <c r="A492" s="85" t="s">
        <v>3084</v>
      </c>
      <c r="B492" s="2362" t="s">
        <v>8100</v>
      </c>
      <c r="C492" s="9" t="s">
        <v>3451</v>
      </c>
      <c r="D492" s="78"/>
      <c r="E492" s="78"/>
      <c r="F492" s="79">
        <f t="shared" si="15"/>
        <v>0</v>
      </c>
      <c r="G492" s="80">
        <f t="shared" si="14"/>
        <v>0</v>
      </c>
      <c r="H492" s="81">
        <v>0.45400000000000001</v>
      </c>
      <c r="I492" s="2629" t="s">
        <v>1146</v>
      </c>
    </row>
    <row r="493" spans="1:9" ht="16.5">
      <c r="A493" s="85" t="s">
        <v>3085</v>
      </c>
      <c r="B493" s="2362" t="s">
        <v>8101</v>
      </c>
      <c r="C493" s="9" t="s">
        <v>3451</v>
      </c>
      <c r="D493" s="78"/>
      <c r="E493" s="78"/>
      <c r="F493" s="79">
        <f t="shared" si="15"/>
        <v>0</v>
      </c>
      <c r="G493" s="80">
        <f t="shared" si="14"/>
        <v>0</v>
      </c>
      <c r="H493" s="81">
        <v>1.3748</v>
      </c>
      <c r="I493" s="2629" t="s">
        <v>1146</v>
      </c>
    </row>
    <row r="494" spans="1:9" ht="16.5">
      <c r="A494" s="85" t="s">
        <v>3086</v>
      </c>
      <c r="B494" s="2362" t="s">
        <v>8102</v>
      </c>
      <c r="C494" s="9" t="s">
        <v>3451</v>
      </c>
      <c r="D494" s="78"/>
      <c r="E494" s="78"/>
      <c r="F494" s="79">
        <f t="shared" si="15"/>
        <v>0</v>
      </c>
      <c r="G494" s="80">
        <f t="shared" si="14"/>
        <v>0</v>
      </c>
      <c r="H494" s="81">
        <v>0.6371</v>
      </c>
      <c r="I494" s="2629" t="s">
        <v>1146</v>
      </c>
    </row>
    <row r="495" spans="1:9" ht="16.5">
      <c r="A495" s="85" t="s">
        <v>3087</v>
      </c>
      <c r="B495" s="2362" t="s">
        <v>8103</v>
      </c>
      <c r="C495" s="9" t="s">
        <v>3451</v>
      </c>
      <c r="D495" s="78"/>
      <c r="E495" s="78"/>
      <c r="F495" s="79">
        <f t="shared" si="15"/>
        <v>0</v>
      </c>
      <c r="G495" s="80">
        <f t="shared" si="14"/>
        <v>0</v>
      </c>
      <c r="H495" s="81">
        <v>1.0157</v>
      </c>
      <c r="I495" s="2629" t="s">
        <v>1146</v>
      </c>
    </row>
    <row r="496" spans="1:9" ht="16.5">
      <c r="A496" s="85" t="s">
        <v>3088</v>
      </c>
      <c r="B496" s="2362" t="s">
        <v>8104</v>
      </c>
      <c r="C496" s="9" t="s">
        <v>3451</v>
      </c>
      <c r="D496" s="78"/>
      <c r="E496" s="78"/>
      <c r="F496" s="79">
        <f t="shared" si="15"/>
        <v>0</v>
      </c>
      <c r="G496" s="80">
        <f t="shared" si="14"/>
        <v>0</v>
      </c>
      <c r="H496" s="81">
        <v>1.5944</v>
      </c>
      <c r="I496" s="2629" t="s">
        <v>1146</v>
      </c>
    </row>
    <row r="497" spans="1:9" ht="16.5">
      <c r="A497" s="85" t="s">
        <v>3089</v>
      </c>
      <c r="B497" s="2362" t="s">
        <v>8105</v>
      </c>
      <c r="C497" s="9" t="s">
        <v>3451</v>
      </c>
      <c r="D497" s="78"/>
      <c r="E497" s="78"/>
      <c r="F497" s="79">
        <f t="shared" si="15"/>
        <v>0</v>
      </c>
      <c r="G497" s="80">
        <f t="shared" si="14"/>
        <v>0</v>
      </c>
      <c r="H497" s="81">
        <v>1.0401</v>
      </c>
      <c r="I497" s="2629" t="s">
        <v>1146</v>
      </c>
    </row>
    <row r="498" spans="1:9" ht="16.5">
      <c r="A498" s="85" t="s">
        <v>3090</v>
      </c>
      <c r="B498" s="2362" t="s">
        <v>8106</v>
      </c>
      <c r="C498" s="9" t="s">
        <v>3451</v>
      </c>
      <c r="D498" s="78"/>
      <c r="E498" s="78"/>
      <c r="F498" s="79">
        <f t="shared" si="15"/>
        <v>0</v>
      </c>
      <c r="G498" s="80">
        <f t="shared" si="14"/>
        <v>0</v>
      </c>
      <c r="H498" s="81">
        <v>1.4266000000000001</v>
      </c>
      <c r="I498" s="2629" t="s">
        <v>1146</v>
      </c>
    </row>
    <row r="499" spans="1:9" ht="16.5">
      <c r="A499" s="85" t="s">
        <v>3091</v>
      </c>
      <c r="B499" s="2362" t="s">
        <v>8107</v>
      </c>
      <c r="C499" s="9" t="s">
        <v>3451</v>
      </c>
      <c r="D499" s="78"/>
      <c r="E499" s="78"/>
      <c r="F499" s="79">
        <f t="shared" si="15"/>
        <v>0</v>
      </c>
      <c r="G499" s="80">
        <f t="shared" si="14"/>
        <v>0</v>
      </c>
      <c r="H499" s="81">
        <v>1.2452000000000001</v>
      </c>
      <c r="I499" s="2629" t="s">
        <v>1146</v>
      </c>
    </row>
    <row r="500" spans="1:9" ht="16.5">
      <c r="A500" s="85" t="s">
        <v>3092</v>
      </c>
      <c r="B500" s="2362" t="s">
        <v>8108</v>
      </c>
      <c r="C500" s="9" t="s">
        <v>3451</v>
      </c>
      <c r="D500" s="78"/>
      <c r="E500" s="78"/>
      <c r="F500" s="79">
        <f t="shared" si="15"/>
        <v>0</v>
      </c>
      <c r="G500" s="80">
        <f t="shared" si="14"/>
        <v>0</v>
      </c>
      <c r="H500" s="81">
        <v>0.3155</v>
      </c>
      <c r="I500" s="2629" t="s">
        <v>1146</v>
      </c>
    </row>
    <row r="501" spans="1:9" ht="16.5">
      <c r="A501" s="85" t="s">
        <v>3093</v>
      </c>
      <c r="B501" s="2362" t="s">
        <v>8109</v>
      </c>
      <c r="C501" s="9" t="s">
        <v>3451</v>
      </c>
      <c r="D501" s="78"/>
      <c r="E501" s="78"/>
      <c r="F501" s="79">
        <f t="shared" si="15"/>
        <v>0</v>
      </c>
      <c r="G501" s="80">
        <f t="shared" si="14"/>
        <v>0</v>
      </c>
      <c r="H501" s="81">
        <v>1.1438999999999999</v>
      </c>
      <c r="I501" s="2629" t="s">
        <v>1146</v>
      </c>
    </row>
    <row r="502" spans="1:9" ht="16.5">
      <c r="A502" s="85" t="s">
        <v>3094</v>
      </c>
      <c r="B502" s="2362" t="s">
        <v>8110</v>
      </c>
      <c r="C502" s="9" t="s">
        <v>3451</v>
      </c>
      <c r="D502" s="78"/>
      <c r="E502" s="78"/>
      <c r="F502" s="79">
        <f t="shared" si="15"/>
        <v>0</v>
      </c>
      <c r="G502" s="80">
        <f t="shared" si="14"/>
        <v>0</v>
      </c>
      <c r="H502" s="81">
        <v>1.8391999999999999</v>
      </c>
      <c r="I502" s="2629" t="s">
        <v>1146</v>
      </c>
    </row>
    <row r="503" spans="1:9" ht="16.5">
      <c r="A503" s="85" t="s">
        <v>3095</v>
      </c>
      <c r="B503" s="2362" t="s">
        <v>8111</v>
      </c>
      <c r="C503" s="9" t="s">
        <v>3451</v>
      </c>
      <c r="D503" s="78"/>
      <c r="E503" s="78"/>
      <c r="F503" s="79">
        <f t="shared" si="15"/>
        <v>0</v>
      </c>
      <c r="G503" s="80">
        <f t="shared" si="14"/>
        <v>0</v>
      </c>
      <c r="H503" s="81">
        <v>1.0599000000000001</v>
      </c>
      <c r="I503" s="2629" t="s">
        <v>1146</v>
      </c>
    </row>
    <row r="504" spans="1:9" ht="16.5">
      <c r="A504" s="85" t="s">
        <v>3096</v>
      </c>
      <c r="B504" s="2362" t="s">
        <v>8112</v>
      </c>
      <c r="C504" s="9" t="s">
        <v>3451</v>
      </c>
      <c r="D504" s="78"/>
      <c r="E504" s="78"/>
      <c r="F504" s="79">
        <f t="shared" si="15"/>
        <v>0</v>
      </c>
      <c r="G504" s="80">
        <f t="shared" si="14"/>
        <v>0</v>
      </c>
      <c r="H504" s="81">
        <v>1.4901</v>
      </c>
      <c r="I504" s="2629" t="s">
        <v>1146</v>
      </c>
    </row>
    <row r="505" spans="1:9" ht="16.5">
      <c r="A505" s="85" t="s">
        <v>3097</v>
      </c>
      <c r="B505" s="2362" t="s">
        <v>8113</v>
      </c>
      <c r="C505" s="9" t="s">
        <v>3451</v>
      </c>
      <c r="D505" s="78"/>
      <c r="E505" s="78"/>
      <c r="F505" s="79">
        <f t="shared" si="15"/>
        <v>0</v>
      </c>
      <c r="G505" s="80">
        <f t="shared" si="14"/>
        <v>0</v>
      </c>
      <c r="H505" s="81">
        <v>0.15429999999999999</v>
      </c>
      <c r="I505" s="2629" t="s">
        <v>1146</v>
      </c>
    </row>
    <row r="506" spans="1:9" ht="16.5">
      <c r="A506" s="85" t="s">
        <v>3098</v>
      </c>
      <c r="B506" s="2362" t="s">
        <v>8114</v>
      </c>
      <c r="C506" s="9" t="s">
        <v>3451</v>
      </c>
      <c r="D506" s="78"/>
      <c r="E506" s="78"/>
      <c r="F506" s="79">
        <f t="shared" si="15"/>
        <v>0</v>
      </c>
      <c r="G506" s="80">
        <f t="shared" si="14"/>
        <v>0</v>
      </c>
      <c r="H506" s="81">
        <v>0.82569999999999999</v>
      </c>
      <c r="I506" s="2629" t="s">
        <v>1146</v>
      </c>
    </row>
    <row r="507" spans="1:9" ht="16.5">
      <c r="A507" s="85" t="s">
        <v>3099</v>
      </c>
      <c r="B507" s="2362" t="s">
        <v>8115</v>
      </c>
      <c r="C507" s="9" t="s">
        <v>3451</v>
      </c>
      <c r="D507" s="78"/>
      <c r="E507" s="78"/>
      <c r="F507" s="79">
        <f t="shared" si="15"/>
        <v>0</v>
      </c>
      <c r="G507" s="80">
        <f t="shared" si="14"/>
        <v>0</v>
      </c>
      <c r="H507" s="81">
        <v>0.46</v>
      </c>
      <c r="I507" s="2629" t="s">
        <v>1146</v>
      </c>
    </row>
    <row r="508" spans="1:9" ht="16.5">
      <c r="A508" s="85" t="s">
        <v>3100</v>
      </c>
      <c r="B508" s="2362" t="s">
        <v>8116</v>
      </c>
      <c r="C508" s="9" t="s">
        <v>3451</v>
      </c>
      <c r="D508" s="78"/>
      <c r="E508" s="78"/>
      <c r="F508" s="79">
        <f t="shared" si="15"/>
        <v>0</v>
      </c>
      <c r="G508" s="80">
        <f t="shared" si="14"/>
        <v>0</v>
      </c>
      <c r="H508" s="81">
        <v>1.2081999999999999</v>
      </c>
      <c r="I508" s="2629" t="s">
        <v>1146</v>
      </c>
    </row>
    <row r="509" spans="1:9" ht="16.5">
      <c r="A509" s="85" t="s">
        <v>3101</v>
      </c>
      <c r="B509" s="2362" t="s">
        <v>8117</v>
      </c>
      <c r="C509" s="9" t="s">
        <v>3451</v>
      </c>
      <c r="D509" s="78"/>
      <c r="E509" s="78"/>
      <c r="F509" s="79">
        <f t="shared" si="15"/>
        <v>0</v>
      </c>
      <c r="G509" s="80">
        <f t="shared" si="14"/>
        <v>0</v>
      </c>
      <c r="H509" s="81">
        <v>1.2904</v>
      </c>
      <c r="I509" s="2629" t="s">
        <v>1146</v>
      </c>
    </row>
    <row r="510" spans="1:9" ht="16.5">
      <c r="A510" s="85" t="s">
        <v>3102</v>
      </c>
      <c r="B510" s="2362" t="s">
        <v>8118</v>
      </c>
      <c r="C510" s="9" t="s">
        <v>3451</v>
      </c>
      <c r="D510" s="78"/>
      <c r="E510" s="78"/>
      <c r="F510" s="79">
        <f t="shared" si="15"/>
        <v>0</v>
      </c>
      <c r="G510" s="80">
        <f t="shared" si="14"/>
        <v>0</v>
      </c>
      <c r="H510" s="81">
        <v>0.1991</v>
      </c>
      <c r="I510" s="2629" t="s">
        <v>1146</v>
      </c>
    </row>
    <row r="511" spans="1:9" ht="16.5">
      <c r="A511" s="85" t="s">
        <v>3103</v>
      </c>
      <c r="B511" s="2362" t="s">
        <v>8119</v>
      </c>
      <c r="C511" s="9" t="s">
        <v>3451</v>
      </c>
      <c r="D511" s="78"/>
      <c r="E511" s="78"/>
      <c r="F511" s="79">
        <f t="shared" si="15"/>
        <v>0</v>
      </c>
      <c r="G511" s="80">
        <f t="shared" si="14"/>
        <v>0</v>
      </c>
      <c r="H511" s="81">
        <v>0.20549999999999999</v>
      </c>
      <c r="I511" s="2629" t="s">
        <v>1146</v>
      </c>
    </row>
    <row r="512" spans="1:9" ht="16.5">
      <c r="A512" s="85" t="s">
        <v>3104</v>
      </c>
      <c r="B512" s="2362" t="s">
        <v>8120</v>
      </c>
      <c r="C512" s="9" t="s">
        <v>3451</v>
      </c>
      <c r="D512" s="78"/>
      <c r="E512" s="78"/>
      <c r="F512" s="79">
        <f t="shared" si="15"/>
        <v>0</v>
      </c>
      <c r="G512" s="80">
        <f t="shared" si="14"/>
        <v>0</v>
      </c>
      <c r="H512" s="81">
        <v>0.99950000000000006</v>
      </c>
      <c r="I512" s="2629" t="s">
        <v>1146</v>
      </c>
    </row>
    <row r="513" spans="1:9" ht="16.5">
      <c r="A513" s="85" t="s">
        <v>3105</v>
      </c>
      <c r="B513" s="2362" t="s">
        <v>8121</v>
      </c>
      <c r="C513" s="9" t="s">
        <v>3451</v>
      </c>
      <c r="D513" s="78"/>
      <c r="E513" s="78"/>
      <c r="F513" s="79">
        <f t="shared" si="15"/>
        <v>0</v>
      </c>
      <c r="G513" s="80">
        <f t="shared" si="14"/>
        <v>0</v>
      </c>
      <c r="H513" s="81">
        <v>0.6482</v>
      </c>
      <c r="I513" s="2629" t="s">
        <v>1146</v>
      </c>
    </row>
    <row r="514" spans="1:9" ht="16.5">
      <c r="A514" s="85" t="s">
        <v>3106</v>
      </c>
      <c r="B514" s="2362" t="s">
        <v>8122</v>
      </c>
      <c r="C514" s="9" t="s">
        <v>3451</v>
      </c>
      <c r="D514" s="78"/>
      <c r="E514" s="78"/>
      <c r="F514" s="79">
        <f t="shared" si="15"/>
        <v>0</v>
      </c>
      <c r="G514" s="80">
        <f t="shared" si="14"/>
        <v>0</v>
      </c>
      <c r="H514" s="81">
        <v>1.5974999999999999</v>
      </c>
      <c r="I514" s="2629" t="s">
        <v>1146</v>
      </c>
    </row>
    <row r="515" spans="1:9" ht="16.5">
      <c r="A515" s="85" t="s">
        <v>3107</v>
      </c>
      <c r="B515" s="2362" t="s">
        <v>8123</v>
      </c>
      <c r="C515" s="9" t="s">
        <v>3451</v>
      </c>
      <c r="D515" s="78"/>
      <c r="E515" s="78"/>
      <c r="F515" s="79">
        <f t="shared" si="15"/>
        <v>0</v>
      </c>
      <c r="G515" s="80">
        <f t="shared" si="14"/>
        <v>0</v>
      </c>
      <c r="H515" s="81">
        <v>1.1763999999999999</v>
      </c>
      <c r="I515" s="2629" t="s">
        <v>1146</v>
      </c>
    </row>
    <row r="516" spans="1:9" ht="16.5">
      <c r="A516" s="85" t="s">
        <v>3108</v>
      </c>
      <c r="B516" s="2362" t="s">
        <v>8124</v>
      </c>
      <c r="C516" s="9" t="s">
        <v>3451</v>
      </c>
      <c r="D516" s="78"/>
      <c r="E516" s="78"/>
      <c r="F516" s="79">
        <f t="shared" si="15"/>
        <v>0</v>
      </c>
      <c r="G516" s="80">
        <f t="shared" ref="G516:G579" si="16">IF($F$836=0,0,F516/$F$836)</f>
        <v>0</v>
      </c>
      <c r="H516" s="81">
        <v>0.999</v>
      </c>
      <c r="I516" s="2629" t="s">
        <v>1146</v>
      </c>
    </row>
    <row r="517" spans="1:9" ht="16.5">
      <c r="A517" s="85" t="s">
        <v>3109</v>
      </c>
      <c r="B517" s="2362" t="s">
        <v>8125</v>
      </c>
      <c r="C517" s="9" t="s">
        <v>3451</v>
      </c>
      <c r="D517" s="78"/>
      <c r="E517" s="78"/>
      <c r="F517" s="79">
        <f t="shared" ref="F517:F580" si="17">D517*E517</f>
        <v>0</v>
      </c>
      <c r="G517" s="80">
        <f t="shared" si="16"/>
        <v>0</v>
      </c>
      <c r="H517" s="81">
        <v>1.0250999999999999</v>
      </c>
      <c r="I517" s="2629" t="s">
        <v>1146</v>
      </c>
    </row>
    <row r="518" spans="1:9" ht="16.5">
      <c r="A518" s="85" t="s">
        <v>3110</v>
      </c>
      <c r="B518" s="2362" t="s">
        <v>8126</v>
      </c>
      <c r="C518" s="9" t="s">
        <v>3451</v>
      </c>
      <c r="D518" s="78"/>
      <c r="E518" s="78"/>
      <c r="F518" s="79">
        <f t="shared" si="17"/>
        <v>0</v>
      </c>
      <c r="G518" s="80">
        <f t="shared" si="16"/>
        <v>0</v>
      </c>
      <c r="H518" s="81">
        <v>0.26319999999999999</v>
      </c>
      <c r="I518" s="2629" t="s">
        <v>1146</v>
      </c>
    </row>
    <row r="519" spans="1:9" ht="16.5">
      <c r="A519" s="85" t="s">
        <v>3111</v>
      </c>
      <c r="B519" s="2362" t="s">
        <v>8127</v>
      </c>
      <c r="C519" s="9" t="s">
        <v>3451</v>
      </c>
      <c r="D519" s="78"/>
      <c r="E519" s="78"/>
      <c r="F519" s="79">
        <f t="shared" si="17"/>
        <v>0</v>
      </c>
      <c r="G519" s="80">
        <f t="shared" si="16"/>
        <v>0</v>
      </c>
      <c r="H519" s="81">
        <v>0.77739999999999998</v>
      </c>
      <c r="I519" s="2629" t="s">
        <v>1146</v>
      </c>
    </row>
    <row r="520" spans="1:9" ht="16.5">
      <c r="A520" s="85" t="s">
        <v>3112</v>
      </c>
      <c r="B520" s="2362" t="s">
        <v>8128</v>
      </c>
      <c r="C520" s="9" t="s">
        <v>3451</v>
      </c>
      <c r="D520" s="78"/>
      <c r="E520" s="78"/>
      <c r="F520" s="79">
        <f t="shared" si="17"/>
        <v>0</v>
      </c>
      <c r="G520" s="80">
        <f t="shared" si="16"/>
        <v>0</v>
      </c>
      <c r="H520" s="81">
        <v>0.114</v>
      </c>
      <c r="I520" s="2629" t="s">
        <v>1146</v>
      </c>
    </row>
    <row r="521" spans="1:9" ht="16.5">
      <c r="A521" s="85" t="s">
        <v>3113</v>
      </c>
      <c r="B521" s="2362" t="s">
        <v>8129</v>
      </c>
      <c r="C521" s="9" t="s">
        <v>3451</v>
      </c>
      <c r="D521" s="78"/>
      <c r="E521" s="78"/>
      <c r="F521" s="79">
        <f t="shared" si="17"/>
        <v>0</v>
      </c>
      <c r="G521" s="80">
        <f t="shared" si="16"/>
        <v>0</v>
      </c>
      <c r="H521" s="81">
        <v>1.2638</v>
      </c>
      <c r="I521" s="2629" t="s">
        <v>1146</v>
      </c>
    </row>
    <row r="522" spans="1:9" ht="16.5">
      <c r="A522" s="85" t="s">
        <v>3114</v>
      </c>
      <c r="B522" s="2362" t="s">
        <v>8130</v>
      </c>
      <c r="C522" s="9" t="s">
        <v>3451</v>
      </c>
      <c r="D522" s="78"/>
      <c r="E522" s="78"/>
      <c r="F522" s="79">
        <f t="shared" si="17"/>
        <v>0</v>
      </c>
      <c r="G522" s="80">
        <f t="shared" si="16"/>
        <v>0</v>
      </c>
      <c r="H522" s="81">
        <v>0.68330000000000002</v>
      </c>
      <c r="I522" s="2629" t="s">
        <v>1146</v>
      </c>
    </row>
    <row r="523" spans="1:9" ht="16.5">
      <c r="A523" s="85" t="s">
        <v>3115</v>
      </c>
      <c r="B523" s="2362" t="s">
        <v>8131</v>
      </c>
      <c r="C523" s="9" t="s">
        <v>3451</v>
      </c>
      <c r="D523" s="78"/>
      <c r="E523" s="78"/>
      <c r="F523" s="79">
        <f t="shared" si="17"/>
        <v>0</v>
      </c>
      <c r="G523" s="80">
        <f t="shared" si="16"/>
        <v>0</v>
      </c>
      <c r="H523" s="81">
        <v>1.0988</v>
      </c>
      <c r="I523" s="2629" t="s">
        <v>1146</v>
      </c>
    </row>
    <row r="524" spans="1:9" ht="16.5">
      <c r="A524" s="85" t="s">
        <v>3116</v>
      </c>
      <c r="B524" s="2362" t="s">
        <v>8132</v>
      </c>
      <c r="C524" s="9" t="s">
        <v>3451</v>
      </c>
      <c r="D524" s="78"/>
      <c r="E524" s="78"/>
      <c r="F524" s="79">
        <f t="shared" si="17"/>
        <v>0</v>
      </c>
      <c r="G524" s="80">
        <f t="shared" si="16"/>
        <v>0</v>
      </c>
      <c r="H524" s="81">
        <v>0.77600000000000002</v>
      </c>
      <c r="I524" s="2629" t="s">
        <v>1146</v>
      </c>
    </row>
    <row r="525" spans="1:9" ht="16.5">
      <c r="A525" s="85" t="s">
        <v>3117</v>
      </c>
      <c r="B525" s="2362" t="s">
        <v>8133</v>
      </c>
      <c r="C525" s="9" t="s">
        <v>3451</v>
      </c>
      <c r="D525" s="78"/>
      <c r="E525" s="78"/>
      <c r="F525" s="79">
        <f t="shared" si="17"/>
        <v>0</v>
      </c>
      <c r="G525" s="80">
        <f t="shared" si="16"/>
        <v>0</v>
      </c>
      <c r="H525" s="81">
        <v>0.93420000000000003</v>
      </c>
      <c r="I525" s="2629" t="s">
        <v>1146</v>
      </c>
    </row>
    <row r="526" spans="1:9" ht="16.5">
      <c r="A526" s="85" t="s">
        <v>3118</v>
      </c>
      <c r="B526" s="2362" t="s">
        <v>8134</v>
      </c>
      <c r="C526" s="9" t="s">
        <v>3451</v>
      </c>
      <c r="D526" s="78"/>
      <c r="E526" s="78"/>
      <c r="F526" s="79">
        <f t="shared" si="17"/>
        <v>0</v>
      </c>
      <c r="G526" s="80">
        <f t="shared" si="16"/>
        <v>0</v>
      </c>
      <c r="H526" s="81">
        <v>0.91800000000000004</v>
      </c>
      <c r="I526" s="2629" t="s">
        <v>1146</v>
      </c>
    </row>
    <row r="527" spans="1:9" ht="16.5">
      <c r="A527" s="85" t="s">
        <v>3119</v>
      </c>
      <c r="B527" s="2362" t="s">
        <v>8135</v>
      </c>
      <c r="C527" s="9" t="s">
        <v>3451</v>
      </c>
      <c r="D527" s="78"/>
      <c r="E527" s="78"/>
      <c r="F527" s="79">
        <f t="shared" si="17"/>
        <v>0</v>
      </c>
      <c r="G527" s="80">
        <f t="shared" si="16"/>
        <v>0</v>
      </c>
      <c r="H527" s="81">
        <v>1.1715</v>
      </c>
      <c r="I527" s="2629" t="s">
        <v>1146</v>
      </c>
    </row>
    <row r="528" spans="1:9" ht="16.5">
      <c r="A528" s="85" t="s">
        <v>3120</v>
      </c>
      <c r="B528" s="2362" t="s">
        <v>8136</v>
      </c>
      <c r="C528" s="9" t="s">
        <v>3451</v>
      </c>
      <c r="D528" s="78"/>
      <c r="E528" s="78"/>
      <c r="F528" s="79">
        <f t="shared" si="17"/>
        <v>0</v>
      </c>
      <c r="G528" s="80">
        <f t="shared" si="16"/>
        <v>0</v>
      </c>
      <c r="H528" s="81">
        <v>0.2165</v>
      </c>
      <c r="I528" s="2629" t="s">
        <v>1146</v>
      </c>
    </row>
    <row r="529" spans="1:9" ht="16.5">
      <c r="A529" s="85" t="s">
        <v>3121</v>
      </c>
      <c r="B529" s="2362" t="s">
        <v>8137</v>
      </c>
      <c r="C529" s="9" t="s">
        <v>3451</v>
      </c>
      <c r="D529" s="78"/>
      <c r="E529" s="78"/>
      <c r="F529" s="79">
        <f t="shared" si="17"/>
        <v>0</v>
      </c>
      <c r="G529" s="80">
        <f t="shared" si="16"/>
        <v>0</v>
      </c>
      <c r="H529" s="81">
        <v>1.6135999999999999</v>
      </c>
      <c r="I529" s="2629" t="s">
        <v>1146</v>
      </c>
    </row>
    <row r="530" spans="1:9" ht="16.5">
      <c r="A530" s="85" t="s">
        <v>3122</v>
      </c>
      <c r="B530" s="2362" t="s">
        <v>8138</v>
      </c>
      <c r="C530" s="9" t="s">
        <v>3451</v>
      </c>
      <c r="D530" s="78"/>
      <c r="E530" s="78"/>
      <c r="F530" s="79">
        <f t="shared" si="17"/>
        <v>0</v>
      </c>
      <c r="G530" s="80">
        <f t="shared" si="16"/>
        <v>0</v>
      </c>
      <c r="H530" s="81">
        <v>1.5395000000000001</v>
      </c>
      <c r="I530" s="2629" t="s">
        <v>1146</v>
      </c>
    </row>
    <row r="531" spans="1:9" ht="16.5">
      <c r="A531" s="85" t="s">
        <v>3123</v>
      </c>
      <c r="B531" s="2362" t="s">
        <v>8139</v>
      </c>
      <c r="C531" s="9" t="s">
        <v>3451</v>
      </c>
      <c r="D531" s="78"/>
      <c r="E531" s="78"/>
      <c r="F531" s="79">
        <f t="shared" si="17"/>
        <v>0</v>
      </c>
      <c r="G531" s="80">
        <f t="shared" si="16"/>
        <v>0</v>
      </c>
      <c r="H531" s="81">
        <v>1.1695</v>
      </c>
      <c r="I531" s="2629" t="s">
        <v>1146</v>
      </c>
    </row>
    <row r="532" spans="1:9" ht="16.5">
      <c r="A532" s="85" t="s">
        <v>3124</v>
      </c>
      <c r="B532" s="2362" t="s">
        <v>8140</v>
      </c>
      <c r="C532" s="9" t="s">
        <v>3451</v>
      </c>
      <c r="D532" s="78"/>
      <c r="E532" s="78"/>
      <c r="F532" s="79">
        <f t="shared" si="17"/>
        <v>0</v>
      </c>
      <c r="G532" s="80">
        <f t="shared" si="16"/>
        <v>0</v>
      </c>
      <c r="H532" s="81">
        <v>0.81020000000000003</v>
      </c>
      <c r="I532" s="2629" t="s">
        <v>1146</v>
      </c>
    </row>
    <row r="533" spans="1:9" ht="16.5">
      <c r="A533" s="85" t="s">
        <v>3125</v>
      </c>
      <c r="B533" s="2362" t="s">
        <v>8141</v>
      </c>
      <c r="C533" s="9" t="s">
        <v>3451</v>
      </c>
      <c r="D533" s="78"/>
      <c r="E533" s="78"/>
      <c r="F533" s="79">
        <f t="shared" si="17"/>
        <v>0</v>
      </c>
      <c r="G533" s="80">
        <f t="shared" si="16"/>
        <v>0</v>
      </c>
      <c r="H533" s="81">
        <v>0.24229999999999999</v>
      </c>
      <c r="I533" s="2629" t="s">
        <v>1146</v>
      </c>
    </row>
    <row r="534" spans="1:9" ht="16.5">
      <c r="A534" s="85" t="s">
        <v>3126</v>
      </c>
      <c r="B534" s="2362" t="s">
        <v>8142</v>
      </c>
      <c r="C534" s="9" t="s">
        <v>3451</v>
      </c>
      <c r="D534" s="78"/>
      <c r="E534" s="78"/>
      <c r="F534" s="79">
        <f t="shared" si="17"/>
        <v>0</v>
      </c>
      <c r="G534" s="80">
        <f t="shared" si="16"/>
        <v>0</v>
      </c>
      <c r="H534" s="81">
        <v>-0.1103</v>
      </c>
      <c r="I534" s="2629" t="s">
        <v>1146</v>
      </c>
    </row>
    <row r="535" spans="1:9" ht="16.5">
      <c r="A535" s="85" t="s">
        <v>3127</v>
      </c>
      <c r="B535" s="2362" t="s">
        <v>8143</v>
      </c>
      <c r="C535" s="9" t="s">
        <v>3451</v>
      </c>
      <c r="D535" s="78"/>
      <c r="E535" s="79"/>
      <c r="F535" s="79">
        <f t="shared" si="17"/>
        <v>0</v>
      </c>
      <c r="G535" s="80">
        <f t="shared" si="16"/>
        <v>0</v>
      </c>
      <c r="H535" s="81">
        <v>0.1046</v>
      </c>
      <c r="I535" s="2629" t="s">
        <v>1146</v>
      </c>
    </row>
    <row r="536" spans="1:9" ht="16.5">
      <c r="A536" s="85" t="s">
        <v>3128</v>
      </c>
      <c r="B536" s="2362" t="s">
        <v>8144</v>
      </c>
      <c r="C536" s="9" t="s">
        <v>3451</v>
      </c>
      <c r="D536" s="78"/>
      <c r="E536" s="79"/>
      <c r="F536" s="79">
        <f t="shared" si="17"/>
        <v>0</v>
      </c>
      <c r="G536" s="80">
        <f t="shared" si="16"/>
        <v>0</v>
      </c>
      <c r="H536" s="81">
        <v>1.2968999999999999</v>
      </c>
      <c r="I536" s="2629" t="s">
        <v>1146</v>
      </c>
    </row>
    <row r="537" spans="1:9" ht="16.5">
      <c r="A537" s="85" t="s">
        <v>3129</v>
      </c>
      <c r="B537" s="2362" t="s">
        <v>8145</v>
      </c>
      <c r="C537" s="9" t="s">
        <v>3451</v>
      </c>
      <c r="D537" s="78"/>
      <c r="E537" s="79"/>
      <c r="F537" s="79">
        <f t="shared" si="17"/>
        <v>0</v>
      </c>
      <c r="G537" s="80">
        <f t="shared" si="16"/>
        <v>0</v>
      </c>
      <c r="H537" s="81">
        <v>0.28220000000000001</v>
      </c>
      <c r="I537" s="2629" t="s">
        <v>1146</v>
      </c>
    </row>
    <row r="538" spans="1:9" ht="16.5">
      <c r="A538" s="85" t="s">
        <v>3130</v>
      </c>
      <c r="B538" s="2362" t="s">
        <v>8146</v>
      </c>
      <c r="C538" s="9" t="s">
        <v>3451</v>
      </c>
      <c r="D538" s="78"/>
      <c r="E538" s="79"/>
      <c r="F538" s="79">
        <f t="shared" si="17"/>
        <v>0</v>
      </c>
      <c r="G538" s="80">
        <f t="shared" si="16"/>
        <v>0</v>
      </c>
      <c r="H538" s="81">
        <v>0.87290000000000001</v>
      </c>
      <c r="I538" s="2629" t="s">
        <v>1146</v>
      </c>
    </row>
    <row r="539" spans="1:9" ht="16.5">
      <c r="A539" s="85" t="s">
        <v>3131</v>
      </c>
      <c r="B539" s="2362" t="s">
        <v>8147</v>
      </c>
      <c r="C539" s="9" t="s">
        <v>3451</v>
      </c>
      <c r="D539" s="78"/>
      <c r="E539" s="79"/>
      <c r="F539" s="79">
        <f t="shared" si="17"/>
        <v>0</v>
      </c>
      <c r="G539" s="80">
        <f t="shared" si="16"/>
        <v>0</v>
      </c>
      <c r="H539" s="81">
        <v>0.28179999999999999</v>
      </c>
      <c r="I539" s="2629" t="s">
        <v>1146</v>
      </c>
    </row>
    <row r="540" spans="1:9" ht="16.5">
      <c r="A540" s="85" t="s">
        <v>3132</v>
      </c>
      <c r="B540" s="2362" t="s">
        <v>8148</v>
      </c>
      <c r="C540" s="9" t="s">
        <v>3451</v>
      </c>
      <c r="D540" s="78"/>
      <c r="E540" s="79"/>
      <c r="F540" s="79">
        <f t="shared" si="17"/>
        <v>0</v>
      </c>
      <c r="G540" s="80">
        <f t="shared" si="16"/>
        <v>0</v>
      </c>
      <c r="H540" s="81">
        <v>0.1176</v>
      </c>
      <c r="I540" s="2629" t="s">
        <v>1146</v>
      </c>
    </row>
    <row r="541" spans="1:9" ht="16.5">
      <c r="A541" s="85" t="s">
        <v>3133</v>
      </c>
      <c r="B541" s="2362" t="s">
        <v>8149</v>
      </c>
      <c r="C541" s="9" t="s">
        <v>3451</v>
      </c>
      <c r="D541" s="78"/>
      <c r="E541" s="79"/>
      <c r="F541" s="79">
        <f t="shared" si="17"/>
        <v>0</v>
      </c>
      <c r="G541" s="80">
        <f t="shared" si="16"/>
        <v>0</v>
      </c>
      <c r="H541" s="81">
        <v>4.3700000000000003E-2</v>
      </c>
      <c r="I541" s="2629" t="s">
        <v>1146</v>
      </c>
    </row>
    <row r="542" spans="1:9" ht="16.5">
      <c r="A542" s="85" t="s">
        <v>3134</v>
      </c>
      <c r="B542" s="2362" t="s">
        <v>8150</v>
      </c>
      <c r="C542" s="9" t="s">
        <v>3451</v>
      </c>
      <c r="D542" s="78"/>
      <c r="E542" s="79"/>
      <c r="F542" s="79">
        <f t="shared" si="17"/>
        <v>0</v>
      </c>
      <c r="G542" s="80">
        <f t="shared" si="16"/>
        <v>0</v>
      </c>
      <c r="H542" s="81">
        <v>1.2029000000000001</v>
      </c>
      <c r="I542" s="2629" t="s">
        <v>1146</v>
      </c>
    </row>
    <row r="543" spans="1:9" ht="16.5">
      <c r="A543" s="85" t="s">
        <v>3135</v>
      </c>
      <c r="B543" s="2362" t="s">
        <v>8151</v>
      </c>
      <c r="C543" s="9" t="s">
        <v>3451</v>
      </c>
      <c r="D543" s="78"/>
      <c r="E543" s="79"/>
      <c r="F543" s="79">
        <f t="shared" si="17"/>
        <v>0</v>
      </c>
      <c r="G543" s="80">
        <f t="shared" si="16"/>
        <v>0</v>
      </c>
      <c r="H543" s="81">
        <v>0.92869999999999997</v>
      </c>
      <c r="I543" s="2629" t="s">
        <v>1146</v>
      </c>
    </row>
    <row r="544" spans="1:9" ht="16.5">
      <c r="A544" s="85" t="s">
        <v>3136</v>
      </c>
      <c r="B544" s="2362" t="s">
        <v>8152</v>
      </c>
      <c r="C544" s="9" t="s">
        <v>3451</v>
      </c>
      <c r="D544" s="78"/>
      <c r="E544" s="79"/>
      <c r="F544" s="79">
        <f t="shared" si="17"/>
        <v>0</v>
      </c>
      <c r="G544" s="80">
        <f t="shared" si="16"/>
        <v>0</v>
      </c>
      <c r="H544" s="81">
        <v>0.1119</v>
      </c>
      <c r="I544" s="2629" t="s">
        <v>1146</v>
      </c>
    </row>
    <row r="545" spans="1:9" ht="16.5">
      <c r="A545" s="85" t="s">
        <v>3137</v>
      </c>
      <c r="B545" s="2362" t="s">
        <v>8153</v>
      </c>
      <c r="C545" s="9" t="s">
        <v>3451</v>
      </c>
      <c r="D545" s="78"/>
      <c r="E545" s="79"/>
      <c r="F545" s="79">
        <f t="shared" si="17"/>
        <v>0</v>
      </c>
      <c r="G545" s="80">
        <f t="shared" si="16"/>
        <v>0</v>
      </c>
      <c r="H545" s="81">
        <v>0.501</v>
      </c>
      <c r="I545" s="2629" t="s">
        <v>1146</v>
      </c>
    </row>
    <row r="546" spans="1:9" ht="16.5">
      <c r="A546" s="85" t="s">
        <v>3138</v>
      </c>
      <c r="B546" s="2362" t="s">
        <v>8154</v>
      </c>
      <c r="C546" s="9" t="s">
        <v>3451</v>
      </c>
      <c r="D546" s="78"/>
      <c r="E546" s="79"/>
      <c r="F546" s="79">
        <f t="shared" si="17"/>
        <v>0</v>
      </c>
      <c r="G546" s="80">
        <f t="shared" si="16"/>
        <v>0</v>
      </c>
      <c r="H546" s="81">
        <v>0.41949999999999998</v>
      </c>
      <c r="I546" s="2629" t="s">
        <v>1146</v>
      </c>
    </row>
    <row r="547" spans="1:9" ht="16.5">
      <c r="A547" s="85" t="s">
        <v>3139</v>
      </c>
      <c r="B547" s="2362" t="s">
        <v>8155</v>
      </c>
      <c r="C547" s="9" t="s">
        <v>3451</v>
      </c>
      <c r="D547" s="78"/>
      <c r="E547" s="79"/>
      <c r="F547" s="79">
        <f t="shared" si="17"/>
        <v>0</v>
      </c>
      <c r="G547" s="80">
        <f t="shared" si="16"/>
        <v>0</v>
      </c>
      <c r="H547" s="81">
        <v>-1.38E-2</v>
      </c>
      <c r="I547" s="2629" t="s">
        <v>1146</v>
      </c>
    </row>
    <row r="548" spans="1:9" ht="16.5">
      <c r="A548" s="85" t="s">
        <v>3140</v>
      </c>
      <c r="B548" s="2362" t="s">
        <v>8156</v>
      </c>
      <c r="C548" s="9" t="s">
        <v>3451</v>
      </c>
      <c r="D548" s="78"/>
      <c r="E548" s="79"/>
      <c r="F548" s="79">
        <f t="shared" si="17"/>
        <v>0</v>
      </c>
      <c r="G548" s="80">
        <f t="shared" si="16"/>
        <v>0</v>
      </c>
      <c r="H548" s="81">
        <v>1.7639</v>
      </c>
      <c r="I548" s="2629" t="s">
        <v>1146</v>
      </c>
    </row>
    <row r="549" spans="1:9" ht="16.5">
      <c r="A549" s="85" t="s">
        <v>3141</v>
      </c>
      <c r="B549" s="2362" t="s">
        <v>8157</v>
      </c>
      <c r="C549" s="9" t="s">
        <v>3451</v>
      </c>
      <c r="D549" s="78"/>
      <c r="E549" s="79"/>
      <c r="F549" s="79">
        <f t="shared" si="17"/>
        <v>0</v>
      </c>
      <c r="G549" s="80">
        <f t="shared" si="16"/>
        <v>0</v>
      </c>
      <c r="H549" s="81">
        <v>0.66390000000000005</v>
      </c>
      <c r="I549" s="2629" t="s">
        <v>1146</v>
      </c>
    </row>
    <row r="550" spans="1:9" ht="16.5">
      <c r="A550" s="85" t="s">
        <v>3142</v>
      </c>
      <c r="B550" s="2362" t="s">
        <v>8158</v>
      </c>
      <c r="C550" s="9" t="s">
        <v>3451</v>
      </c>
      <c r="D550" s="78"/>
      <c r="E550" s="79"/>
      <c r="F550" s="79">
        <f t="shared" si="17"/>
        <v>0</v>
      </c>
      <c r="G550" s="80">
        <f t="shared" si="16"/>
        <v>0</v>
      </c>
      <c r="H550" s="81">
        <v>0.7087</v>
      </c>
      <c r="I550" s="2629" t="s">
        <v>1146</v>
      </c>
    </row>
    <row r="551" spans="1:9" ht="16.5">
      <c r="A551" s="85" t="s">
        <v>3143</v>
      </c>
      <c r="B551" s="2362" t="s">
        <v>8159</v>
      </c>
      <c r="C551" s="9" t="s">
        <v>3451</v>
      </c>
      <c r="D551" s="78"/>
      <c r="E551" s="79"/>
      <c r="F551" s="79">
        <f t="shared" si="17"/>
        <v>0</v>
      </c>
      <c r="G551" s="80">
        <f t="shared" si="16"/>
        <v>0</v>
      </c>
      <c r="H551" s="81">
        <v>0.74609999999999999</v>
      </c>
      <c r="I551" s="2629" t="s">
        <v>1146</v>
      </c>
    </row>
    <row r="552" spans="1:9" ht="16.5">
      <c r="A552" s="85" t="s">
        <v>3144</v>
      </c>
      <c r="B552" s="2362" t="s">
        <v>8160</v>
      </c>
      <c r="C552" s="9" t="s">
        <v>3451</v>
      </c>
      <c r="D552" s="78"/>
      <c r="E552" s="79"/>
      <c r="F552" s="79">
        <f t="shared" si="17"/>
        <v>0</v>
      </c>
      <c r="G552" s="80">
        <f t="shared" si="16"/>
        <v>0</v>
      </c>
      <c r="H552" s="81">
        <v>1.8653</v>
      </c>
      <c r="I552" s="2629" t="s">
        <v>1146</v>
      </c>
    </row>
    <row r="553" spans="1:9" ht="16.5">
      <c r="A553" s="85" t="s">
        <v>3145</v>
      </c>
      <c r="B553" s="2362" t="s">
        <v>8161</v>
      </c>
      <c r="C553" s="9" t="s">
        <v>3451</v>
      </c>
      <c r="D553" s="78"/>
      <c r="E553" s="79"/>
      <c r="F553" s="79">
        <f t="shared" si="17"/>
        <v>0</v>
      </c>
      <c r="G553" s="80">
        <f t="shared" si="16"/>
        <v>0</v>
      </c>
      <c r="H553" s="81">
        <v>1.5316000000000001</v>
      </c>
      <c r="I553" s="2629" t="s">
        <v>1146</v>
      </c>
    </row>
    <row r="554" spans="1:9" ht="16.5">
      <c r="A554" s="85" t="s">
        <v>3146</v>
      </c>
      <c r="B554" s="2362" t="s">
        <v>8162</v>
      </c>
      <c r="C554" s="9" t="s">
        <v>3451</v>
      </c>
      <c r="D554" s="78"/>
      <c r="E554" s="79"/>
      <c r="F554" s="79">
        <f t="shared" si="17"/>
        <v>0</v>
      </c>
      <c r="G554" s="80">
        <f t="shared" si="16"/>
        <v>0</v>
      </c>
      <c r="H554" s="81">
        <v>1.1073</v>
      </c>
      <c r="I554" s="2629" t="s">
        <v>1146</v>
      </c>
    </row>
    <row r="555" spans="1:9" ht="16.5">
      <c r="A555" s="85" t="s">
        <v>3147</v>
      </c>
      <c r="B555" s="2362" t="s">
        <v>8163</v>
      </c>
      <c r="C555" s="9" t="s">
        <v>3451</v>
      </c>
      <c r="D555" s="78"/>
      <c r="E555" s="79"/>
      <c r="F555" s="79">
        <f t="shared" si="17"/>
        <v>0</v>
      </c>
      <c r="G555" s="80">
        <f t="shared" si="16"/>
        <v>0</v>
      </c>
      <c r="H555" s="81">
        <v>4.5999999999999999E-2</v>
      </c>
      <c r="I555" s="2629" t="s">
        <v>1146</v>
      </c>
    </row>
    <row r="556" spans="1:9" ht="16.5">
      <c r="A556" s="85" t="s">
        <v>3148</v>
      </c>
      <c r="B556" s="2362" t="s">
        <v>8164</v>
      </c>
      <c r="C556" s="9" t="s">
        <v>3451</v>
      </c>
      <c r="D556" s="78"/>
      <c r="E556" s="79"/>
      <c r="F556" s="79">
        <f t="shared" si="17"/>
        <v>0</v>
      </c>
      <c r="G556" s="80">
        <f t="shared" si="16"/>
        <v>0</v>
      </c>
      <c r="H556" s="81">
        <v>1.4609000000000001</v>
      </c>
      <c r="I556" s="2629" t="s">
        <v>1146</v>
      </c>
    </row>
    <row r="557" spans="1:9" ht="16.5">
      <c r="A557" s="85" t="s">
        <v>3149</v>
      </c>
      <c r="B557" s="2362" t="s">
        <v>8165</v>
      </c>
      <c r="C557" s="9" t="s">
        <v>3451</v>
      </c>
      <c r="D557" s="78"/>
      <c r="E557" s="79"/>
      <c r="F557" s="79">
        <f t="shared" si="17"/>
        <v>0</v>
      </c>
      <c r="G557" s="80">
        <f t="shared" si="16"/>
        <v>0</v>
      </c>
      <c r="H557" s="81">
        <v>0.62919999999999998</v>
      </c>
      <c r="I557" s="2629" t="s">
        <v>1146</v>
      </c>
    </row>
    <row r="558" spans="1:9" ht="16.5">
      <c r="A558" s="85" t="s">
        <v>3150</v>
      </c>
      <c r="B558" s="2362" t="s">
        <v>8166</v>
      </c>
      <c r="C558" s="9" t="s">
        <v>3451</v>
      </c>
      <c r="D558" s="78"/>
      <c r="E558" s="79"/>
      <c r="F558" s="79">
        <f t="shared" si="17"/>
        <v>0</v>
      </c>
      <c r="G558" s="80">
        <f t="shared" si="16"/>
        <v>0</v>
      </c>
      <c r="H558" s="81">
        <v>0.51759999999999995</v>
      </c>
      <c r="I558" s="2629" t="s">
        <v>1146</v>
      </c>
    </row>
    <row r="559" spans="1:9" ht="16.5">
      <c r="A559" s="85" t="s">
        <v>3151</v>
      </c>
      <c r="B559" s="2362" t="s">
        <v>8167</v>
      </c>
      <c r="C559" s="9" t="s">
        <v>3451</v>
      </c>
      <c r="D559" s="78"/>
      <c r="E559" s="79"/>
      <c r="F559" s="79">
        <f t="shared" si="17"/>
        <v>0</v>
      </c>
      <c r="G559" s="80">
        <f t="shared" si="16"/>
        <v>0</v>
      </c>
      <c r="H559" s="81">
        <v>0.60640000000000005</v>
      </c>
      <c r="I559" s="2629" t="s">
        <v>1146</v>
      </c>
    </row>
    <row r="560" spans="1:9" ht="16.5">
      <c r="A560" s="85" t="s">
        <v>3152</v>
      </c>
      <c r="B560" s="2362" t="s">
        <v>8168</v>
      </c>
      <c r="C560" s="9" t="s">
        <v>3451</v>
      </c>
      <c r="D560" s="78"/>
      <c r="E560" s="79"/>
      <c r="F560" s="79">
        <f t="shared" si="17"/>
        <v>0</v>
      </c>
      <c r="G560" s="80">
        <f t="shared" si="16"/>
        <v>0</v>
      </c>
      <c r="H560" s="81">
        <v>1.0132000000000001</v>
      </c>
      <c r="I560" s="2629" t="s">
        <v>1146</v>
      </c>
    </row>
    <row r="561" spans="1:9" ht="16.5">
      <c r="A561" s="85" t="s">
        <v>3153</v>
      </c>
      <c r="B561" s="2362" t="s">
        <v>8169</v>
      </c>
      <c r="C561" s="9" t="s">
        <v>3451</v>
      </c>
      <c r="D561" s="78"/>
      <c r="E561" s="79"/>
      <c r="F561" s="79">
        <f t="shared" si="17"/>
        <v>0</v>
      </c>
      <c r="G561" s="80">
        <f t="shared" si="16"/>
        <v>0</v>
      </c>
      <c r="H561" s="81">
        <v>1.4631000000000001</v>
      </c>
      <c r="I561" s="2629" t="s">
        <v>1146</v>
      </c>
    </row>
    <row r="562" spans="1:9" ht="16.5">
      <c r="A562" s="85" t="s">
        <v>3154</v>
      </c>
      <c r="B562" s="2362" t="s">
        <v>8170</v>
      </c>
      <c r="C562" s="9" t="s">
        <v>3451</v>
      </c>
      <c r="D562" s="78"/>
      <c r="E562" s="79"/>
      <c r="F562" s="79">
        <f t="shared" si="17"/>
        <v>0</v>
      </c>
      <c r="G562" s="80">
        <f t="shared" si="16"/>
        <v>0</v>
      </c>
      <c r="H562" s="81">
        <v>0.18029999999999999</v>
      </c>
      <c r="I562" s="2629" t="s">
        <v>1146</v>
      </c>
    </row>
    <row r="563" spans="1:9" ht="16.5">
      <c r="A563" s="85" t="s">
        <v>3155</v>
      </c>
      <c r="B563" s="2362" t="s">
        <v>8171</v>
      </c>
      <c r="C563" s="9" t="s">
        <v>3451</v>
      </c>
      <c r="D563" s="78"/>
      <c r="E563" s="79"/>
      <c r="F563" s="79">
        <f t="shared" si="17"/>
        <v>0</v>
      </c>
      <c r="G563" s="80">
        <f t="shared" si="16"/>
        <v>0</v>
      </c>
      <c r="H563" s="81">
        <v>0.44309999999999999</v>
      </c>
      <c r="I563" s="2629" t="s">
        <v>1146</v>
      </c>
    </row>
    <row r="564" spans="1:9" ht="16.5">
      <c r="A564" s="85" t="s">
        <v>3156</v>
      </c>
      <c r="B564" s="2362" t="s">
        <v>8172</v>
      </c>
      <c r="C564" s="9" t="s">
        <v>3451</v>
      </c>
      <c r="D564" s="78"/>
      <c r="E564" s="79"/>
      <c r="F564" s="79">
        <f t="shared" si="17"/>
        <v>0</v>
      </c>
      <c r="G564" s="80">
        <f t="shared" si="16"/>
        <v>0</v>
      </c>
      <c r="H564" s="81">
        <v>0.10349999999999999</v>
      </c>
      <c r="I564" s="2629" t="s">
        <v>1146</v>
      </c>
    </row>
    <row r="565" spans="1:9" ht="16.5">
      <c r="A565" s="85" t="s">
        <v>3157</v>
      </c>
      <c r="B565" s="2362" t="s">
        <v>8173</v>
      </c>
      <c r="C565" s="9" t="s">
        <v>3451</v>
      </c>
      <c r="D565" s="78"/>
      <c r="E565" s="79"/>
      <c r="F565" s="79">
        <f t="shared" si="17"/>
        <v>0</v>
      </c>
      <c r="G565" s="80">
        <f t="shared" si="16"/>
        <v>0</v>
      </c>
      <c r="H565" s="81">
        <v>0.60260000000000002</v>
      </c>
      <c r="I565" s="2629" t="s">
        <v>1146</v>
      </c>
    </row>
    <row r="566" spans="1:9" ht="16.5">
      <c r="A566" s="85" t="s">
        <v>3158</v>
      </c>
      <c r="B566" s="2362" t="s">
        <v>8174</v>
      </c>
      <c r="C566" s="9" t="s">
        <v>3451</v>
      </c>
      <c r="D566" s="78"/>
      <c r="E566" s="79"/>
      <c r="F566" s="79">
        <f t="shared" si="17"/>
        <v>0</v>
      </c>
      <c r="G566" s="80">
        <f t="shared" si="16"/>
        <v>0</v>
      </c>
      <c r="H566" s="81">
        <v>1.0153000000000001</v>
      </c>
      <c r="I566" s="2629" t="s">
        <v>1146</v>
      </c>
    </row>
    <row r="567" spans="1:9" ht="16.5">
      <c r="A567" s="85" t="s">
        <v>3159</v>
      </c>
      <c r="B567" s="2362" t="s">
        <v>8175</v>
      </c>
      <c r="C567" s="9" t="s">
        <v>3451</v>
      </c>
      <c r="D567" s="78"/>
      <c r="E567" s="79"/>
      <c r="F567" s="79">
        <f t="shared" si="17"/>
        <v>0</v>
      </c>
      <c r="G567" s="80">
        <f t="shared" si="16"/>
        <v>0</v>
      </c>
      <c r="H567" s="81">
        <v>6.7699999999999996E-2</v>
      </c>
      <c r="I567" s="2629" t="s">
        <v>1146</v>
      </c>
    </row>
    <row r="568" spans="1:9" ht="16.5">
      <c r="A568" s="85" t="s">
        <v>3160</v>
      </c>
      <c r="B568" s="2362" t="s">
        <v>8176</v>
      </c>
      <c r="C568" s="9" t="s">
        <v>3451</v>
      </c>
      <c r="D568" s="78"/>
      <c r="E568" s="79"/>
      <c r="F568" s="79">
        <f t="shared" si="17"/>
        <v>0</v>
      </c>
      <c r="G568" s="80">
        <f t="shared" si="16"/>
        <v>0</v>
      </c>
      <c r="H568" s="81">
        <v>0.49940000000000001</v>
      </c>
      <c r="I568" s="2629" t="s">
        <v>1146</v>
      </c>
    </row>
    <row r="569" spans="1:9" ht="16.5">
      <c r="A569" s="85" t="s">
        <v>3161</v>
      </c>
      <c r="B569" s="2362" t="s">
        <v>8177</v>
      </c>
      <c r="C569" s="9" t="s">
        <v>3451</v>
      </c>
      <c r="D569" s="78"/>
      <c r="E569" s="79"/>
      <c r="F569" s="79">
        <f t="shared" si="17"/>
        <v>0</v>
      </c>
      <c r="G569" s="80">
        <f t="shared" si="16"/>
        <v>0</v>
      </c>
      <c r="H569" s="81">
        <v>0.90659999999999996</v>
      </c>
      <c r="I569" s="2629" t="s">
        <v>1146</v>
      </c>
    </row>
    <row r="570" spans="1:9" ht="16.5">
      <c r="A570" s="85" t="s">
        <v>3162</v>
      </c>
      <c r="B570" s="2362" t="s">
        <v>8178</v>
      </c>
      <c r="C570" s="9" t="s">
        <v>3451</v>
      </c>
      <c r="D570" s="78"/>
      <c r="E570" s="79"/>
      <c r="F570" s="79">
        <f t="shared" si="17"/>
        <v>0</v>
      </c>
      <c r="G570" s="80">
        <f t="shared" si="16"/>
        <v>0</v>
      </c>
      <c r="H570" s="81">
        <v>0.33710000000000001</v>
      </c>
      <c r="I570" s="2629" t="s">
        <v>1146</v>
      </c>
    </row>
    <row r="571" spans="1:9" ht="16.5">
      <c r="A571" s="85" t="s">
        <v>3163</v>
      </c>
      <c r="B571" s="2362" t="s">
        <v>8179</v>
      </c>
      <c r="C571" s="9" t="s">
        <v>3451</v>
      </c>
      <c r="D571" s="78"/>
      <c r="E571" s="79"/>
      <c r="F571" s="79">
        <f t="shared" si="17"/>
        <v>0</v>
      </c>
      <c r="G571" s="80">
        <f t="shared" si="16"/>
        <v>0</v>
      </c>
      <c r="H571" s="81">
        <v>1.9973000000000001</v>
      </c>
      <c r="I571" s="2629" t="s">
        <v>1146</v>
      </c>
    </row>
    <row r="572" spans="1:9" ht="16.5">
      <c r="A572" s="85" t="s">
        <v>3164</v>
      </c>
      <c r="B572" s="2362" t="s">
        <v>8180</v>
      </c>
      <c r="C572" s="9" t="s">
        <v>3451</v>
      </c>
      <c r="D572" s="78"/>
      <c r="E572" s="79"/>
      <c r="F572" s="79">
        <f t="shared" si="17"/>
        <v>0</v>
      </c>
      <c r="G572" s="80">
        <f t="shared" si="16"/>
        <v>0</v>
      </c>
      <c r="H572" s="81">
        <v>1.1307</v>
      </c>
      <c r="I572" s="2629" t="s">
        <v>1146</v>
      </c>
    </row>
    <row r="573" spans="1:9" ht="16.5">
      <c r="A573" s="85" t="s">
        <v>3165</v>
      </c>
      <c r="B573" s="2362" t="s">
        <v>8181</v>
      </c>
      <c r="C573" s="9" t="s">
        <v>3451</v>
      </c>
      <c r="D573" s="79"/>
      <c r="E573" s="79"/>
      <c r="F573" s="79">
        <f t="shared" si="17"/>
        <v>0</v>
      </c>
      <c r="G573" s="80">
        <f t="shared" si="16"/>
        <v>0</v>
      </c>
      <c r="H573" s="81">
        <v>1.4140999999999999</v>
      </c>
      <c r="I573" s="2629" t="s">
        <v>1146</v>
      </c>
    </row>
    <row r="574" spans="1:9" ht="16.5">
      <c r="A574" s="85" t="s">
        <v>3166</v>
      </c>
      <c r="B574" s="2362" t="s">
        <v>8182</v>
      </c>
      <c r="C574" s="9" t="s">
        <v>3451</v>
      </c>
      <c r="D574" s="79"/>
      <c r="E574" s="79"/>
      <c r="F574" s="79">
        <f t="shared" si="17"/>
        <v>0</v>
      </c>
      <c r="G574" s="80">
        <f t="shared" si="16"/>
        <v>0</v>
      </c>
      <c r="H574" s="81">
        <v>1.0738000000000001</v>
      </c>
      <c r="I574" s="2629" t="s">
        <v>1146</v>
      </c>
    </row>
    <row r="575" spans="1:9" ht="16.5">
      <c r="A575" s="85" t="s">
        <v>3167</v>
      </c>
      <c r="B575" s="2362" t="s">
        <v>8183</v>
      </c>
      <c r="C575" s="9" t="s">
        <v>3451</v>
      </c>
      <c r="D575" s="79"/>
      <c r="E575" s="79"/>
      <c r="F575" s="79">
        <f t="shared" si="17"/>
        <v>0</v>
      </c>
      <c r="G575" s="80">
        <f t="shared" si="16"/>
        <v>0</v>
      </c>
      <c r="H575" s="81">
        <v>1.3221000000000001</v>
      </c>
      <c r="I575" s="2629" t="s">
        <v>1146</v>
      </c>
    </row>
    <row r="576" spans="1:9" ht="16.5">
      <c r="A576" s="85" t="s">
        <v>3168</v>
      </c>
      <c r="B576" s="2362" t="s">
        <v>8184</v>
      </c>
      <c r="C576" s="9" t="s">
        <v>3451</v>
      </c>
      <c r="D576" s="79"/>
      <c r="E576" s="79"/>
      <c r="F576" s="79">
        <f t="shared" si="17"/>
        <v>0</v>
      </c>
      <c r="G576" s="80">
        <f t="shared" si="16"/>
        <v>0</v>
      </c>
      <c r="H576" s="81">
        <v>0.51439999999999997</v>
      </c>
      <c r="I576" s="2629" t="s">
        <v>1146</v>
      </c>
    </row>
    <row r="577" spans="1:9" ht="16.5">
      <c r="A577" s="85" t="s">
        <v>3169</v>
      </c>
      <c r="B577" s="2362" t="s">
        <v>8185</v>
      </c>
      <c r="C577" s="9" t="s">
        <v>3451</v>
      </c>
      <c r="D577" s="79"/>
      <c r="E577" s="79"/>
      <c r="F577" s="79">
        <f t="shared" si="17"/>
        <v>0</v>
      </c>
      <c r="G577" s="80">
        <f t="shared" si="16"/>
        <v>0</v>
      </c>
      <c r="H577" s="81">
        <v>1.1483000000000001</v>
      </c>
      <c r="I577" s="2629" t="s">
        <v>1146</v>
      </c>
    </row>
    <row r="578" spans="1:9" ht="16.5">
      <c r="A578" s="85" t="s">
        <v>3170</v>
      </c>
      <c r="B578" s="2362" t="s">
        <v>8186</v>
      </c>
      <c r="C578" s="9" t="s">
        <v>3451</v>
      </c>
      <c r="D578" s="79"/>
      <c r="E578" s="79"/>
      <c r="F578" s="79">
        <f t="shared" si="17"/>
        <v>0</v>
      </c>
      <c r="G578" s="80">
        <f t="shared" si="16"/>
        <v>0</v>
      </c>
      <c r="H578" s="81">
        <v>1.075</v>
      </c>
      <c r="I578" s="2629" t="s">
        <v>1146</v>
      </c>
    </row>
    <row r="579" spans="1:9" ht="16.5">
      <c r="A579" s="85" t="s">
        <v>3171</v>
      </c>
      <c r="B579" s="2362" t="s">
        <v>8187</v>
      </c>
      <c r="C579" s="9" t="s">
        <v>3451</v>
      </c>
      <c r="D579" s="79"/>
      <c r="E579" s="79"/>
      <c r="F579" s="79">
        <f t="shared" si="17"/>
        <v>0</v>
      </c>
      <c r="G579" s="80">
        <f t="shared" si="16"/>
        <v>0</v>
      </c>
      <c r="H579" s="81">
        <v>0.47189999999999999</v>
      </c>
      <c r="I579" s="2629" t="s">
        <v>1146</v>
      </c>
    </row>
    <row r="580" spans="1:9" ht="16.5">
      <c r="A580" s="85" t="s">
        <v>3172</v>
      </c>
      <c r="B580" s="2362" t="s">
        <v>8188</v>
      </c>
      <c r="C580" s="9" t="s">
        <v>3451</v>
      </c>
      <c r="D580" s="79"/>
      <c r="E580" s="79"/>
      <c r="F580" s="79">
        <f t="shared" si="17"/>
        <v>0</v>
      </c>
      <c r="G580" s="80">
        <f t="shared" ref="G580:G643" si="18">IF($F$836=0,0,F580/$F$836)</f>
        <v>0</v>
      </c>
      <c r="H580" s="81">
        <v>0.1623</v>
      </c>
      <c r="I580" s="2629" t="s">
        <v>1146</v>
      </c>
    </row>
    <row r="581" spans="1:9" ht="16.5">
      <c r="A581" s="85" t="s">
        <v>3173</v>
      </c>
      <c r="B581" s="2362" t="s">
        <v>8189</v>
      </c>
      <c r="C581" s="9" t="s">
        <v>3451</v>
      </c>
      <c r="D581" s="79"/>
      <c r="E581" s="79"/>
      <c r="F581" s="79">
        <f t="shared" ref="F581:F644" si="19">D581*E581</f>
        <v>0</v>
      </c>
      <c r="G581" s="80">
        <f t="shared" si="18"/>
        <v>0</v>
      </c>
      <c r="H581" s="81">
        <v>-0.1232</v>
      </c>
      <c r="I581" s="2629" t="s">
        <v>1146</v>
      </c>
    </row>
    <row r="582" spans="1:9" ht="16.5">
      <c r="A582" s="85" t="s">
        <v>3174</v>
      </c>
      <c r="B582" s="2362" t="s">
        <v>8190</v>
      </c>
      <c r="C582" s="9" t="s">
        <v>3451</v>
      </c>
      <c r="D582" s="79"/>
      <c r="E582" s="79"/>
      <c r="F582" s="79">
        <f t="shared" si="19"/>
        <v>0</v>
      </c>
      <c r="G582" s="80">
        <f t="shared" si="18"/>
        <v>0</v>
      </c>
      <c r="H582" s="81">
        <v>1.7381</v>
      </c>
      <c r="I582" s="2629" t="s">
        <v>1146</v>
      </c>
    </row>
    <row r="583" spans="1:9" ht="16.5">
      <c r="A583" s="85" t="s">
        <v>3175</v>
      </c>
      <c r="B583" s="2362" t="s">
        <v>8191</v>
      </c>
      <c r="C583" s="9" t="s">
        <v>3451</v>
      </c>
      <c r="D583" s="79"/>
      <c r="E583" s="79"/>
      <c r="F583" s="79">
        <f t="shared" si="19"/>
        <v>0</v>
      </c>
      <c r="G583" s="80">
        <f t="shared" si="18"/>
        <v>0</v>
      </c>
      <c r="H583" s="81">
        <v>1.8553999999999999</v>
      </c>
      <c r="I583" s="2629" t="s">
        <v>1146</v>
      </c>
    </row>
    <row r="584" spans="1:9" ht="16.5">
      <c r="A584" s="85" t="s">
        <v>3176</v>
      </c>
      <c r="B584" s="2362" t="s">
        <v>8192</v>
      </c>
      <c r="C584" s="9" t="s">
        <v>3451</v>
      </c>
      <c r="D584" s="79"/>
      <c r="E584" s="79"/>
      <c r="F584" s="79">
        <f t="shared" si="19"/>
        <v>0</v>
      </c>
      <c r="G584" s="80">
        <f t="shared" si="18"/>
        <v>0</v>
      </c>
      <c r="H584" s="81">
        <v>0.50229999999999997</v>
      </c>
      <c r="I584" s="2629" t="s">
        <v>1146</v>
      </c>
    </row>
    <row r="585" spans="1:9" ht="16.5">
      <c r="A585" s="85" t="s">
        <v>3177</v>
      </c>
      <c r="B585" s="2362" t="s">
        <v>8193</v>
      </c>
      <c r="C585" s="9" t="s">
        <v>3451</v>
      </c>
      <c r="D585" s="79"/>
      <c r="E585" s="79"/>
      <c r="F585" s="79">
        <f t="shared" si="19"/>
        <v>0</v>
      </c>
      <c r="G585" s="80">
        <f t="shared" si="18"/>
        <v>0</v>
      </c>
      <c r="H585" s="81">
        <v>0.28100000000000003</v>
      </c>
      <c r="I585" s="2629" t="s">
        <v>1146</v>
      </c>
    </row>
    <row r="586" spans="1:9" ht="16.5">
      <c r="A586" s="85" t="s">
        <v>3178</v>
      </c>
      <c r="B586" s="2362" t="s">
        <v>8194</v>
      </c>
      <c r="C586" s="9" t="s">
        <v>3451</v>
      </c>
      <c r="D586" s="79"/>
      <c r="E586" s="79"/>
      <c r="F586" s="79">
        <f t="shared" si="19"/>
        <v>0</v>
      </c>
      <c r="G586" s="80">
        <f t="shared" si="18"/>
        <v>0</v>
      </c>
      <c r="H586" s="81">
        <v>0.17269999999999999</v>
      </c>
      <c r="I586" s="2629" t="s">
        <v>1146</v>
      </c>
    </row>
    <row r="587" spans="1:9" ht="16.5">
      <c r="A587" s="85" t="s">
        <v>3180</v>
      </c>
      <c r="B587" s="2362" t="s">
        <v>8195</v>
      </c>
      <c r="C587" s="9" t="s">
        <v>3451</v>
      </c>
      <c r="D587" s="79"/>
      <c r="E587" s="79"/>
      <c r="F587" s="79">
        <f t="shared" si="19"/>
        <v>0</v>
      </c>
      <c r="G587" s="80">
        <f t="shared" si="18"/>
        <v>0</v>
      </c>
      <c r="H587" s="81">
        <v>0.91790000000000005</v>
      </c>
      <c r="I587" s="2629" t="s">
        <v>1146</v>
      </c>
    </row>
    <row r="588" spans="1:9" ht="16.5">
      <c r="A588" s="85" t="s">
        <v>3181</v>
      </c>
      <c r="B588" s="2362" t="s">
        <v>8196</v>
      </c>
      <c r="C588" s="9" t="s">
        <v>3451</v>
      </c>
      <c r="D588" s="79"/>
      <c r="E588" s="79"/>
      <c r="F588" s="79">
        <f t="shared" si="19"/>
        <v>0</v>
      </c>
      <c r="G588" s="80">
        <f t="shared" si="18"/>
        <v>0</v>
      </c>
      <c r="H588" s="81">
        <v>0.74739999999999995</v>
      </c>
      <c r="I588" s="2629" t="s">
        <v>1146</v>
      </c>
    </row>
    <row r="589" spans="1:9" ht="16.5">
      <c r="A589" s="85" t="s">
        <v>3183</v>
      </c>
      <c r="B589" s="2362" t="s">
        <v>8197</v>
      </c>
      <c r="C589" s="9" t="s">
        <v>3451</v>
      </c>
      <c r="D589" s="79"/>
      <c r="E589" s="79"/>
      <c r="F589" s="79">
        <f t="shared" si="19"/>
        <v>0</v>
      </c>
      <c r="G589" s="80">
        <f t="shared" si="18"/>
        <v>0</v>
      </c>
      <c r="H589" s="81">
        <v>1.4686999999999999</v>
      </c>
      <c r="I589" s="2629" t="s">
        <v>1146</v>
      </c>
    </row>
    <row r="590" spans="1:9" ht="16.5">
      <c r="A590" s="85" t="s">
        <v>3184</v>
      </c>
      <c r="B590" s="2362" t="s">
        <v>8198</v>
      </c>
      <c r="C590" s="9" t="s">
        <v>3451</v>
      </c>
      <c r="D590" s="79"/>
      <c r="E590" s="79"/>
      <c r="F590" s="79">
        <f t="shared" si="19"/>
        <v>0</v>
      </c>
      <c r="G590" s="80">
        <f t="shared" si="18"/>
        <v>0</v>
      </c>
      <c r="H590" s="81">
        <v>1.1980999999999999</v>
      </c>
      <c r="I590" s="2629" t="s">
        <v>1146</v>
      </c>
    </row>
    <row r="591" spans="1:9" ht="16.5">
      <c r="A591" s="85" t="s">
        <v>3185</v>
      </c>
      <c r="B591" s="2362" t="s">
        <v>8199</v>
      </c>
      <c r="C591" s="9" t="s">
        <v>3451</v>
      </c>
      <c r="D591" s="79"/>
      <c r="E591" s="79"/>
      <c r="F591" s="79">
        <f t="shared" si="19"/>
        <v>0</v>
      </c>
      <c r="G591" s="80">
        <f t="shared" si="18"/>
        <v>0</v>
      </c>
      <c r="H591" s="81">
        <v>0.92989999999999995</v>
      </c>
      <c r="I591" s="2629" t="s">
        <v>1146</v>
      </c>
    </row>
    <row r="592" spans="1:9" ht="16.5">
      <c r="A592" s="85" t="s">
        <v>3186</v>
      </c>
      <c r="B592" s="2362" t="s">
        <v>8200</v>
      </c>
      <c r="C592" s="9" t="s">
        <v>3451</v>
      </c>
      <c r="D592" s="79"/>
      <c r="E592" s="79"/>
      <c r="F592" s="79">
        <f t="shared" si="19"/>
        <v>0</v>
      </c>
      <c r="G592" s="80">
        <f t="shared" si="18"/>
        <v>0</v>
      </c>
      <c r="H592" s="81">
        <v>0.61890000000000001</v>
      </c>
      <c r="I592" s="2629" t="s">
        <v>1146</v>
      </c>
    </row>
    <row r="593" spans="1:9" ht="16.5">
      <c r="A593" s="85" t="s">
        <v>3187</v>
      </c>
      <c r="B593" s="2362" t="s">
        <v>8201</v>
      </c>
      <c r="C593" s="9" t="s">
        <v>3451</v>
      </c>
      <c r="D593" s="79"/>
      <c r="E593" s="79"/>
      <c r="F593" s="79">
        <f t="shared" si="19"/>
        <v>0</v>
      </c>
      <c r="G593" s="80">
        <f t="shared" si="18"/>
        <v>0</v>
      </c>
      <c r="H593" s="81">
        <v>1.2116</v>
      </c>
      <c r="I593" s="2629" t="s">
        <v>1146</v>
      </c>
    </row>
    <row r="594" spans="1:9" ht="16.5">
      <c r="A594" s="85" t="s">
        <v>3188</v>
      </c>
      <c r="B594" s="2362" t="s">
        <v>8202</v>
      </c>
      <c r="C594" s="9" t="s">
        <v>3451</v>
      </c>
      <c r="D594" s="79"/>
      <c r="E594" s="79"/>
      <c r="F594" s="79">
        <f t="shared" si="19"/>
        <v>0</v>
      </c>
      <c r="G594" s="80">
        <f t="shared" si="18"/>
        <v>0</v>
      </c>
      <c r="H594" s="81">
        <v>0.69450000000000001</v>
      </c>
      <c r="I594" s="2629" t="s">
        <v>1146</v>
      </c>
    </row>
    <row r="595" spans="1:9" ht="16.5">
      <c r="A595" s="85" t="s">
        <v>3189</v>
      </c>
      <c r="B595" s="2362" t="s">
        <v>8203</v>
      </c>
      <c r="C595" s="9" t="s">
        <v>3451</v>
      </c>
      <c r="D595" s="79"/>
      <c r="E595" s="79"/>
      <c r="F595" s="79">
        <f t="shared" si="19"/>
        <v>0</v>
      </c>
      <c r="G595" s="80">
        <f t="shared" si="18"/>
        <v>0</v>
      </c>
      <c r="H595" s="81">
        <v>0.57269999999999999</v>
      </c>
      <c r="I595" s="2629" t="s">
        <v>1146</v>
      </c>
    </row>
    <row r="596" spans="1:9" ht="16.5">
      <c r="A596" s="85" t="s">
        <v>3190</v>
      </c>
      <c r="B596" s="2362" t="s">
        <v>8204</v>
      </c>
      <c r="C596" s="9" t="s">
        <v>3451</v>
      </c>
      <c r="D596" s="79"/>
      <c r="E596" s="79"/>
      <c r="F596" s="79">
        <f t="shared" si="19"/>
        <v>0</v>
      </c>
      <c r="G596" s="80">
        <f t="shared" si="18"/>
        <v>0</v>
      </c>
      <c r="H596" s="81">
        <v>1.3851</v>
      </c>
      <c r="I596" s="2629" t="s">
        <v>1146</v>
      </c>
    </row>
    <row r="597" spans="1:9" ht="16.5">
      <c r="A597" s="85" t="s">
        <v>3192</v>
      </c>
      <c r="B597" s="2362" t="s">
        <v>8205</v>
      </c>
      <c r="C597" s="9" t="s">
        <v>3451</v>
      </c>
      <c r="D597" s="79"/>
      <c r="E597" s="79"/>
      <c r="F597" s="79">
        <f t="shared" si="19"/>
        <v>0</v>
      </c>
      <c r="G597" s="80">
        <f t="shared" si="18"/>
        <v>0</v>
      </c>
      <c r="H597" s="81">
        <v>0.48659999999999998</v>
      </c>
      <c r="I597" s="2629" t="s">
        <v>1146</v>
      </c>
    </row>
    <row r="598" spans="1:9" ht="16.5">
      <c r="A598" s="85" t="s">
        <v>3193</v>
      </c>
      <c r="B598" s="2362" t="s">
        <v>8206</v>
      </c>
      <c r="C598" s="9" t="s">
        <v>3451</v>
      </c>
      <c r="D598" s="79"/>
      <c r="E598" s="79"/>
      <c r="F598" s="79">
        <f t="shared" si="19"/>
        <v>0</v>
      </c>
      <c r="G598" s="80">
        <f t="shared" si="18"/>
        <v>0</v>
      </c>
      <c r="H598" s="81">
        <v>1.7218</v>
      </c>
      <c r="I598" s="2629" t="s">
        <v>1146</v>
      </c>
    </row>
    <row r="599" spans="1:9" ht="16.5">
      <c r="A599" s="85" t="s">
        <v>3194</v>
      </c>
      <c r="B599" s="2362" t="s">
        <v>8207</v>
      </c>
      <c r="C599" s="9" t="s">
        <v>3451</v>
      </c>
      <c r="D599" s="79"/>
      <c r="E599" s="79"/>
      <c r="F599" s="79">
        <f t="shared" si="19"/>
        <v>0</v>
      </c>
      <c r="G599" s="80">
        <f t="shared" si="18"/>
        <v>0</v>
      </c>
      <c r="H599" s="81">
        <v>0.46050000000000002</v>
      </c>
      <c r="I599" s="2629" t="s">
        <v>1146</v>
      </c>
    </row>
    <row r="600" spans="1:9" ht="16.5">
      <c r="A600" s="85" t="s">
        <v>3195</v>
      </c>
      <c r="B600" s="2362" t="s">
        <v>8208</v>
      </c>
      <c r="C600" s="9" t="s">
        <v>3451</v>
      </c>
      <c r="D600" s="79"/>
      <c r="E600" s="79"/>
      <c r="F600" s="79">
        <f t="shared" si="19"/>
        <v>0</v>
      </c>
      <c r="G600" s="80">
        <f t="shared" si="18"/>
        <v>0</v>
      </c>
      <c r="H600" s="81">
        <v>1.0477000000000001</v>
      </c>
      <c r="I600" s="2629" t="s">
        <v>1146</v>
      </c>
    </row>
    <row r="601" spans="1:9" ht="16.5">
      <c r="A601" s="85" t="s">
        <v>3196</v>
      </c>
      <c r="B601" s="2362" t="s">
        <v>8209</v>
      </c>
      <c r="C601" s="9" t="s">
        <v>3451</v>
      </c>
      <c r="D601" s="79"/>
      <c r="E601" s="79"/>
      <c r="F601" s="79">
        <f t="shared" si="19"/>
        <v>0</v>
      </c>
      <c r="G601" s="80">
        <f t="shared" si="18"/>
        <v>0</v>
      </c>
      <c r="H601" s="81">
        <v>0.42459999999999998</v>
      </c>
      <c r="I601" s="2629" t="s">
        <v>1146</v>
      </c>
    </row>
    <row r="602" spans="1:9" ht="16.5">
      <c r="A602" s="85" t="s">
        <v>3197</v>
      </c>
      <c r="B602" s="2362" t="s">
        <v>8210</v>
      </c>
      <c r="C602" s="9" t="s">
        <v>3451</v>
      </c>
      <c r="D602" s="79"/>
      <c r="E602" s="79"/>
      <c r="F602" s="79">
        <f t="shared" si="19"/>
        <v>0</v>
      </c>
      <c r="G602" s="80">
        <f t="shared" si="18"/>
        <v>0</v>
      </c>
      <c r="H602" s="81">
        <v>1.105</v>
      </c>
      <c r="I602" s="2629" t="s">
        <v>1146</v>
      </c>
    </row>
    <row r="603" spans="1:9" ht="16.5">
      <c r="A603" s="85" t="s">
        <v>3198</v>
      </c>
      <c r="B603" s="2362" t="s">
        <v>8211</v>
      </c>
      <c r="C603" s="9" t="s">
        <v>3451</v>
      </c>
      <c r="D603" s="79"/>
      <c r="E603" s="79"/>
      <c r="F603" s="79">
        <f t="shared" si="19"/>
        <v>0</v>
      </c>
      <c r="G603" s="80">
        <f t="shared" si="18"/>
        <v>0</v>
      </c>
      <c r="H603" s="81">
        <v>0.437</v>
      </c>
      <c r="I603" s="2629" t="s">
        <v>1146</v>
      </c>
    </row>
    <row r="604" spans="1:9" ht="16.5">
      <c r="A604" s="85" t="s">
        <v>3199</v>
      </c>
      <c r="B604" s="2362" t="s">
        <v>8212</v>
      </c>
      <c r="C604" s="9" t="s">
        <v>3451</v>
      </c>
      <c r="D604" s="79"/>
      <c r="E604" s="79"/>
      <c r="F604" s="79">
        <f t="shared" si="19"/>
        <v>0</v>
      </c>
      <c r="G604" s="80">
        <f t="shared" si="18"/>
        <v>0</v>
      </c>
      <c r="H604" s="81">
        <v>0.62960000000000005</v>
      </c>
      <c r="I604" s="2629" t="s">
        <v>1146</v>
      </c>
    </row>
    <row r="605" spans="1:9" ht="16.5">
      <c r="A605" s="85" t="s">
        <v>3200</v>
      </c>
      <c r="B605" s="2362" t="s">
        <v>8213</v>
      </c>
      <c r="C605" s="9" t="s">
        <v>3451</v>
      </c>
      <c r="D605" s="79"/>
      <c r="E605" s="79"/>
      <c r="F605" s="79">
        <f t="shared" si="19"/>
        <v>0</v>
      </c>
      <c r="G605" s="80">
        <f t="shared" si="18"/>
        <v>0</v>
      </c>
      <c r="H605" s="81">
        <v>0.1832</v>
      </c>
      <c r="I605" s="2629" t="s">
        <v>1146</v>
      </c>
    </row>
    <row r="606" spans="1:9" ht="16.5">
      <c r="A606" s="85" t="s">
        <v>3201</v>
      </c>
      <c r="B606" s="2362" t="s">
        <v>8214</v>
      </c>
      <c r="C606" s="9" t="s">
        <v>3451</v>
      </c>
      <c r="D606" s="79"/>
      <c r="E606" s="79"/>
      <c r="F606" s="79">
        <f t="shared" si="19"/>
        <v>0</v>
      </c>
      <c r="G606" s="80">
        <f t="shared" si="18"/>
        <v>0</v>
      </c>
      <c r="H606" s="81">
        <v>0.44500000000000001</v>
      </c>
      <c r="I606" s="2629" t="s">
        <v>1146</v>
      </c>
    </row>
    <row r="607" spans="1:9" ht="16.5">
      <c r="A607" s="85" t="s">
        <v>3202</v>
      </c>
      <c r="B607" s="2362" t="s">
        <v>8215</v>
      </c>
      <c r="C607" s="9" t="s">
        <v>3451</v>
      </c>
      <c r="D607" s="79"/>
      <c r="E607" s="79"/>
      <c r="F607" s="79">
        <f t="shared" si="19"/>
        <v>0</v>
      </c>
      <c r="G607" s="80">
        <f t="shared" si="18"/>
        <v>0</v>
      </c>
      <c r="H607" s="81">
        <v>0.91290000000000004</v>
      </c>
      <c r="I607" s="2629" t="s">
        <v>1146</v>
      </c>
    </row>
    <row r="608" spans="1:9" ht="16.5">
      <c r="A608" s="85" t="s">
        <v>3203</v>
      </c>
      <c r="B608" s="2362" t="s">
        <v>8216</v>
      </c>
      <c r="C608" s="9" t="s">
        <v>3451</v>
      </c>
      <c r="D608" s="79"/>
      <c r="E608" s="79"/>
      <c r="F608" s="79">
        <f t="shared" si="19"/>
        <v>0</v>
      </c>
      <c r="G608" s="80">
        <f t="shared" si="18"/>
        <v>0</v>
      </c>
      <c r="H608" s="81">
        <v>1.1698999999999999</v>
      </c>
      <c r="I608" s="2629" t="s">
        <v>1146</v>
      </c>
    </row>
    <row r="609" spans="1:9" ht="16.5">
      <c r="A609" s="85" t="s">
        <v>3204</v>
      </c>
      <c r="B609" s="2362" t="s">
        <v>8217</v>
      </c>
      <c r="C609" s="9" t="s">
        <v>3451</v>
      </c>
      <c r="D609" s="79"/>
      <c r="E609" s="79"/>
      <c r="F609" s="79">
        <f t="shared" si="19"/>
        <v>0</v>
      </c>
      <c r="G609" s="80">
        <f t="shared" si="18"/>
        <v>0</v>
      </c>
      <c r="H609" s="81">
        <v>0.1358</v>
      </c>
      <c r="I609" s="2629" t="s">
        <v>1146</v>
      </c>
    </row>
    <row r="610" spans="1:9" ht="16.5">
      <c r="A610" s="85" t="s">
        <v>3205</v>
      </c>
      <c r="B610" s="2362" t="s">
        <v>8218</v>
      </c>
      <c r="C610" s="9" t="s">
        <v>3451</v>
      </c>
      <c r="D610" s="79"/>
      <c r="E610" s="79"/>
      <c r="F610" s="79">
        <f t="shared" si="19"/>
        <v>0</v>
      </c>
      <c r="G610" s="80">
        <f t="shared" si="18"/>
        <v>0</v>
      </c>
      <c r="H610" s="81">
        <v>0.64500000000000002</v>
      </c>
      <c r="I610" s="2629" t="s">
        <v>1146</v>
      </c>
    </row>
    <row r="611" spans="1:9" ht="16.5">
      <c r="A611" s="85" t="s">
        <v>3206</v>
      </c>
      <c r="B611" s="2362" t="s">
        <v>8219</v>
      </c>
      <c r="C611" s="9" t="s">
        <v>3451</v>
      </c>
      <c r="D611" s="79"/>
      <c r="E611" s="79"/>
      <c r="F611" s="79">
        <f t="shared" si="19"/>
        <v>0</v>
      </c>
      <c r="G611" s="80">
        <f t="shared" si="18"/>
        <v>0</v>
      </c>
      <c r="H611" s="81">
        <v>0.70169999999999999</v>
      </c>
      <c r="I611" s="2629" t="s">
        <v>1146</v>
      </c>
    </row>
    <row r="612" spans="1:9" ht="16.5">
      <c r="A612" s="85" t="s">
        <v>5051</v>
      </c>
      <c r="B612" s="2362" t="s">
        <v>8220</v>
      </c>
      <c r="C612" s="9" t="s">
        <v>3451</v>
      </c>
      <c r="D612" s="79"/>
      <c r="E612" s="79"/>
      <c r="F612" s="79">
        <f t="shared" si="19"/>
        <v>0</v>
      </c>
      <c r="G612" s="80">
        <f t="shared" si="18"/>
        <v>0</v>
      </c>
      <c r="H612" s="81">
        <v>1.2021999999999999</v>
      </c>
      <c r="I612" s="2629" t="s">
        <v>1146</v>
      </c>
    </row>
    <row r="613" spans="1:9" ht="16.5">
      <c r="A613" s="85" t="s">
        <v>3207</v>
      </c>
      <c r="B613" s="2362" t="s">
        <v>8221</v>
      </c>
      <c r="C613" s="9" t="s">
        <v>3451</v>
      </c>
      <c r="D613" s="79"/>
      <c r="E613" s="79"/>
      <c r="F613" s="79">
        <f t="shared" si="19"/>
        <v>0</v>
      </c>
      <c r="G613" s="80">
        <f t="shared" si="18"/>
        <v>0</v>
      </c>
      <c r="H613" s="81">
        <v>0.81530000000000002</v>
      </c>
      <c r="I613" s="2629" t="s">
        <v>1146</v>
      </c>
    </row>
    <row r="614" spans="1:9" ht="16.5">
      <c r="A614" s="85" t="s">
        <v>3208</v>
      </c>
      <c r="B614" s="2362" t="s">
        <v>8222</v>
      </c>
      <c r="C614" s="9" t="s">
        <v>3451</v>
      </c>
      <c r="D614" s="79"/>
      <c r="E614" s="79"/>
      <c r="F614" s="79">
        <f t="shared" si="19"/>
        <v>0</v>
      </c>
      <c r="G614" s="80">
        <f t="shared" si="18"/>
        <v>0</v>
      </c>
      <c r="H614" s="81">
        <v>1.2932999999999999</v>
      </c>
      <c r="I614" s="2629" t="s">
        <v>1146</v>
      </c>
    </row>
    <row r="615" spans="1:9" ht="16.5">
      <c r="A615" s="85" t="s">
        <v>3209</v>
      </c>
      <c r="B615" s="2362" t="s">
        <v>8223</v>
      </c>
      <c r="C615" s="9" t="s">
        <v>3451</v>
      </c>
      <c r="D615" s="79"/>
      <c r="E615" s="79"/>
      <c r="F615" s="79">
        <f t="shared" si="19"/>
        <v>0</v>
      </c>
      <c r="G615" s="80">
        <f t="shared" si="18"/>
        <v>0</v>
      </c>
      <c r="H615" s="81">
        <v>1.3873</v>
      </c>
      <c r="I615" s="2629" t="s">
        <v>1146</v>
      </c>
    </row>
    <row r="616" spans="1:9" ht="16.5">
      <c r="A616" s="85" t="s">
        <v>3210</v>
      </c>
      <c r="B616" s="2362" t="s">
        <v>8224</v>
      </c>
      <c r="C616" s="9" t="s">
        <v>3451</v>
      </c>
      <c r="D616" s="79"/>
      <c r="E616" s="79"/>
      <c r="F616" s="79">
        <f t="shared" si="19"/>
        <v>0</v>
      </c>
      <c r="G616" s="80">
        <f t="shared" si="18"/>
        <v>0</v>
      </c>
      <c r="H616" s="81">
        <v>1.2713000000000001</v>
      </c>
      <c r="I616" s="2629" t="s">
        <v>1146</v>
      </c>
    </row>
    <row r="617" spans="1:9" ht="16.5">
      <c r="A617" s="85" t="s">
        <v>3211</v>
      </c>
      <c r="B617" s="2362" t="s">
        <v>8225</v>
      </c>
      <c r="C617" s="9" t="s">
        <v>3451</v>
      </c>
      <c r="D617" s="79"/>
      <c r="E617" s="79"/>
      <c r="F617" s="79">
        <f t="shared" si="19"/>
        <v>0</v>
      </c>
      <c r="G617" s="80">
        <f t="shared" si="18"/>
        <v>0</v>
      </c>
      <c r="H617" s="81">
        <v>0.74880000000000002</v>
      </c>
      <c r="I617" s="2629" t="s">
        <v>1146</v>
      </c>
    </row>
    <row r="618" spans="1:9" ht="16.5">
      <c r="A618" s="85" t="s">
        <v>3212</v>
      </c>
      <c r="B618" s="2362" t="s">
        <v>8226</v>
      </c>
      <c r="C618" s="9" t="s">
        <v>3451</v>
      </c>
      <c r="D618" s="79"/>
      <c r="E618" s="79"/>
      <c r="F618" s="79">
        <f t="shared" si="19"/>
        <v>0</v>
      </c>
      <c r="G618" s="80">
        <f t="shared" si="18"/>
        <v>0</v>
      </c>
      <c r="H618" s="81">
        <v>1.0007999999999999</v>
      </c>
      <c r="I618" s="2629" t="s">
        <v>1146</v>
      </c>
    </row>
    <row r="619" spans="1:9" ht="16.5">
      <c r="A619" s="85" t="s">
        <v>3213</v>
      </c>
      <c r="B619" s="2362" t="s">
        <v>8227</v>
      </c>
      <c r="C619" s="9" t="s">
        <v>3451</v>
      </c>
      <c r="D619" s="79"/>
      <c r="E619" s="79"/>
      <c r="F619" s="79">
        <f t="shared" si="19"/>
        <v>0</v>
      </c>
      <c r="G619" s="80">
        <f t="shared" si="18"/>
        <v>0</v>
      </c>
      <c r="H619" s="81">
        <v>0.36809999999999998</v>
      </c>
      <c r="I619" s="2629" t="s">
        <v>1146</v>
      </c>
    </row>
    <row r="620" spans="1:9" ht="16.5">
      <c r="A620" s="85" t="s">
        <v>5052</v>
      </c>
      <c r="B620" s="2362" t="s">
        <v>8228</v>
      </c>
      <c r="C620" s="9" t="s">
        <v>3451</v>
      </c>
      <c r="D620" s="79"/>
      <c r="E620" s="79"/>
      <c r="F620" s="79">
        <f t="shared" si="19"/>
        <v>0</v>
      </c>
      <c r="G620" s="80">
        <f t="shared" si="18"/>
        <v>0</v>
      </c>
      <c r="H620" s="81">
        <v>1.2085999999999999</v>
      </c>
      <c r="I620" s="2629" t="s">
        <v>1146</v>
      </c>
    </row>
    <row r="621" spans="1:9" ht="16.5">
      <c r="A621" s="85" t="s">
        <v>3214</v>
      </c>
      <c r="B621" s="2362" t="s">
        <v>8229</v>
      </c>
      <c r="C621" s="9" t="s">
        <v>3451</v>
      </c>
      <c r="D621" s="79"/>
      <c r="E621" s="79"/>
      <c r="F621" s="79">
        <f t="shared" si="19"/>
        <v>0</v>
      </c>
      <c r="G621" s="80">
        <f t="shared" si="18"/>
        <v>0</v>
      </c>
      <c r="H621" s="81">
        <v>0.85460000000000003</v>
      </c>
      <c r="I621" s="2629" t="s">
        <v>1146</v>
      </c>
    </row>
    <row r="622" spans="1:9" ht="16.5">
      <c r="A622" s="85" t="s">
        <v>3215</v>
      </c>
      <c r="B622" s="2362" t="s">
        <v>8230</v>
      </c>
      <c r="C622" s="9" t="s">
        <v>3451</v>
      </c>
      <c r="D622" s="79"/>
      <c r="E622" s="79"/>
      <c r="F622" s="79">
        <f t="shared" si="19"/>
        <v>0</v>
      </c>
      <c r="G622" s="80">
        <f t="shared" si="18"/>
        <v>0</v>
      </c>
      <c r="H622" s="81">
        <v>1.0082</v>
      </c>
      <c r="I622" s="2629" t="s">
        <v>1146</v>
      </c>
    </row>
    <row r="623" spans="1:9" ht="16.5">
      <c r="A623" s="85" t="s">
        <v>3216</v>
      </c>
      <c r="B623" s="2362" t="s">
        <v>8231</v>
      </c>
      <c r="C623" s="9" t="s">
        <v>3451</v>
      </c>
      <c r="D623" s="79"/>
      <c r="E623" s="79"/>
      <c r="F623" s="79">
        <f t="shared" si="19"/>
        <v>0</v>
      </c>
      <c r="G623" s="80">
        <f t="shared" si="18"/>
        <v>0</v>
      </c>
      <c r="H623" s="81">
        <v>1.1085</v>
      </c>
      <c r="I623" s="2629" t="s">
        <v>1146</v>
      </c>
    </row>
    <row r="624" spans="1:9" ht="16.5">
      <c r="A624" s="85" t="s">
        <v>3217</v>
      </c>
      <c r="B624" s="2362" t="s">
        <v>8232</v>
      </c>
      <c r="C624" s="9" t="s">
        <v>3451</v>
      </c>
      <c r="D624" s="79"/>
      <c r="E624" s="79"/>
      <c r="F624" s="79">
        <f t="shared" si="19"/>
        <v>0</v>
      </c>
      <c r="G624" s="80">
        <f t="shared" si="18"/>
        <v>0</v>
      </c>
      <c r="H624" s="81">
        <v>0.3906</v>
      </c>
      <c r="I624" s="2629" t="s">
        <v>1146</v>
      </c>
    </row>
    <row r="625" spans="1:9" ht="16.5">
      <c r="A625" s="85" t="s">
        <v>3218</v>
      </c>
      <c r="B625" s="2362" t="s">
        <v>8233</v>
      </c>
      <c r="C625" s="9" t="s">
        <v>3451</v>
      </c>
      <c r="D625" s="79"/>
      <c r="E625" s="79"/>
      <c r="F625" s="79">
        <f t="shared" si="19"/>
        <v>0</v>
      </c>
      <c r="G625" s="80">
        <f t="shared" si="18"/>
        <v>0</v>
      </c>
      <c r="H625" s="81">
        <v>0.5766</v>
      </c>
      <c r="I625" s="2629" t="s">
        <v>1146</v>
      </c>
    </row>
    <row r="626" spans="1:9" ht="16.5">
      <c r="A626" s="85" t="s">
        <v>3219</v>
      </c>
      <c r="B626" s="2362" t="s">
        <v>8234</v>
      </c>
      <c r="C626" s="9" t="s">
        <v>3451</v>
      </c>
      <c r="D626" s="79"/>
      <c r="E626" s="79"/>
      <c r="F626" s="79">
        <f t="shared" si="19"/>
        <v>0</v>
      </c>
      <c r="G626" s="80">
        <f t="shared" si="18"/>
        <v>0</v>
      </c>
      <c r="H626" s="81">
        <v>1.5130999999999999</v>
      </c>
      <c r="I626" s="2629" t="s">
        <v>1146</v>
      </c>
    </row>
    <row r="627" spans="1:9" ht="16.5">
      <c r="A627" s="85" t="s">
        <v>3220</v>
      </c>
      <c r="B627" s="2362" t="s">
        <v>8235</v>
      </c>
      <c r="C627" s="9" t="s">
        <v>3451</v>
      </c>
      <c r="D627" s="79"/>
      <c r="E627" s="79"/>
      <c r="F627" s="79">
        <f t="shared" si="19"/>
        <v>0</v>
      </c>
      <c r="G627" s="80">
        <f t="shared" si="18"/>
        <v>0</v>
      </c>
      <c r="H627" s="81">
        <v>1.0849</v>
      </c>
      <c r="I627" s="2629" t="s">
        <v>1146</v>
      </c>
    </row>
    <row r="628" spans="1:9" ht="16.5">
      <c r="A628" s="85" t="s">
        <v>3221</v>
      </c>
      <c r="B628" s="2362" t="s">
        <v>8236</v>
      </c>
      <c r="C628" s="9" t="s">
        <v>3451</v>
      </c>
      <c r="D628" s="79"/>
      <c r="E628" s="79"/>
      <c r="F628" s="79">
        <f t="shared" si="19"/>
        <v>0</v>
      </c>
      <c r="G628" s="80">
        <f t="shared" si="18"/>
        <v>0</v>
      </c>
      <c r="H628" s="81">
        <v>1.0445</v>
      </c>
      <c r="I628" s="2629" t="s">
        <v>1146</v>
      </c>
    </row>
    <row r="629" spans="1:9" ht="16.5">
      <c r="A629" s="85" t="s">
        <v>3222</v>
      </c>
      <c r="B629" s="2362" t="s">
        <v>8237</v>
      </c>
      <c r="C629" s="9" t="s">
        <v>3451</v>
      </c>
      <c r="D629" s="79"/>
      <c r="E629" s="79"/>
      <c r="F629" s="79">
        <f t="shared" si="19"/>
        <v>0</v>
      </c>
      <c r="G629" s="80">
        <f t="shared" si="18"/>
        <v>0</v>
      </c>
      <c r="H629" s="81">
        <v>0.1027</v>
      </c>
      <c r="I629" s="2629" t="s">
        <v>1146</v>
      </c>
    </row>
    <row r="630" spans="1:9" ht="16.5">
      <c r="A630" s="85" t="s">
        <v>3223</v>
      </c>
      <c r="B630" s="2362" t="s">
        <v>8238</v>
      </c>
      <c r="C630" s="9" t="s">
        <v>3451</v>
      </c>
      <c r="D630" s="79"/>
      <c r="E630" s="79"/>
      <c r="F630" s="79">
        <f t="shared" si="19"/>
        <v>0</v>
      </c>
      <c r="G630" s="80">
        <f t="shared" si="18"/>
        <v>0</v>
      </c>
      <c r="H630" s="81">
        <v>0.74129999999999996</v>
      </c>
      <c r="I630" s="2629" t="s">
        <v>1146</v>
      </c>
    </row>
    <row r="631" spans="1:9" ht="16.5">
      <c r="A631" s="85" t="s">
        <v>3224</v>
      </c>
      <c r="B631" s="2362" t="s">
        <v>8239</v>
      </c>
      <c r="C631" s="9" t="s">
        <v>3451</v>
      </c>
      <c r="D631" s="79"/>
      <c r="E631" s="79"/>
      <c r="F631" s="79">
        <f t="shared" si="19"/>
        <v>0</v>
      </c>
      <c r="G631" s="80">
        <f t="shared" si="18"/>
        <v>0</v>
      </c>
      <c r="H631" s="81">
        <v>0.61109999999999998</v>
      </c>
      <c r="I631" s="2629" t="s">
        <v>1146</v>
      </c>
    </row>
    <row r="632" spans="1:9" ht="16.5">
      <c r="A632" s="85" t="s">
        <v>3225</v>
      </c>
      <c r="B632" s="2362" t="s">
        <v>8240</v>
      </c>
      <c r="C632" s="9" t="s">
        <v>3451</v>
      </c>
      <c r="D632" s="79"/>
      <c r="E632" s="79"/>
      <c r="F632" s="79">
        <f t="shared" si="19"/>
        <v>0</v>
      </c>
      <c r="G632" s="80">
        <f t="shared" si="18"/>
        <v>0</v>
      </c>
      <c r="H632" s="81">
        <v>0.65039999999999998</v>
      </c>
      <c r="I632" s="2619" t="s">
        <v>1146</v>
      </c>
    </row>
    <row r="633" spans="1:9" ht="16.5">
      <c r="A633" s="85" t="s">
        <v>5721</v>
      </c>
      <c r="B633" s="2362" t="s">
        <v>8241</v>
      </c>
      <c r="C633" s="9" t="s">
        <v>3451</v>
      </c>
      <c r="D633" s="79"/>
      <c r="E633" s="79"/>
      <c r="F633" s="79">
        <f t="shared" si="19"/>
        <v>0</v>
      </c>
      <c r="G633" s="80">
        <f t="shared" si="18"/>
        <v>0</v>
      </c>
      <c r="H633" s="81">
        <v>1</v>
      </c>
      <c r="I633" s="2629" t="s">
        <v>7649</v>
      </c>
    </row>
    <row r="634" spans="1:9" ht="16.5">
      <c r="A634" s="85" t="s">
        <v>3226</v>
      </c>
      <c r="B634" s="2362" t="s">
        <v>8242</v>
      </c>
      <c r="C634" s="9" t="s">
        <v>3451</v>
      </c>
      <c r="D634" s="79"/>
      <c r="E634" s="79"/>
      <c r="F634" s="79">
        <f t="shared" si="19"/>
        <v>0</v>
      </c>
      <c r="G634" s="80">
        <f t="shared" si="18"/>
        <v>0</v>
      </c>
      <c r="H634" s="81">
        <v>0.69799999999999995</v>
      </c>
      <c r="I634" s="2629" t="s">
        <v>1146</v>
      </c>
    </row>
    <row r="635" spans="1:9" ht="16.5">
      <c r="A635" s="85" t="s">
        <v>3227</v>
      </c>
      <c r="B635" s="2362" t="s">
        <v>8243</v>
      </c>
      <c r="C635" s="9" t="s">
        <v>3451</v>
      </c>
      <c r="D635" s="79"/>
      <c r="E635" s="79"/>
      <c r="F635" s="79">
        <f t="shared" si="19"/>
        <v>0</v>
      </c>
      <c r="G635" s="80">
        <f t="shared" si="18"/>
        <v>0</v>
      </c>
      <c r="H635" s="81">
        <v>1.022</v>
      </c>
      <c r="I635" s="2629" t="s">
        <v>1146</v>
      </c>
    </row>
    <row r="636" spans="1:9" ht="16.5">
      <c r="A636" s="85" t="s">
        <v>3228</v>
      </c>
      <c r="B636" s="2362" t="s">
        <v>8244</v>
      </c>
      <c r="C636" s="9" t="s">
        <v>3451</v>
      </c>
      <c r="D636" s="79"/>
      <c r="E636" s="79"/>
      <c r="F636" s="79">
        <f t="shared" si="19"/>
        <v>0</v>
      </c>
      <c r="G636" s="80">
        <f t="shared" si="18"/>
        <v>0</v>
      </c>
      <c r="H636" s="81">
        <v>1.1560999999999999</v>
      </c>
      <c r="I636" s="2629" t="s">
        <v>1146</v>
      </c>
    </row>
    <row r="637" spans="1:9" ht="16.5">
      <c r="A637" s="85" t="s">
        <v>3229</v>
      </c>
      <c r="B637" s="2362" t="s">
        <v>8245</v>
      </c>
      <c r="C637" s="9" t="s">
        <v>3451</v>
      </c>
      <c r="D637" s="79"/>
      <c r="E637" s="79"/>
      <c r="F637" s="79">
        <f t="shared" si="19"/>
        <v>0</v>
      </c>
      <c r="G637" s="80">
        <f t="shared" si="18"/>
        <v>0</v>
      </c>
      <c r="H637" s="81">
        <v>0.78359999999999996</v>
      </c>
      <c r="I637" s="2629" t="s">
        <v>1146</v>
      </c>
    </row>
    <row r="638" spans="1:9" ht="16.5">
      <c r="A638" s="85" t="s">
        <v>3230</v>
      </c>
      <c r="B638" s="2362" t="s">
        <v>8246</v>
      </c>
      <c r="C638" s="9" t="s">
        <v>3451</v>
      </c>
      <c r="D638" s="79"/>
      <c r="E638" s="79"/>
      <c r="F638" s="79">
        <f t="shared" si="19"/>
        <v>0</v>
      </c>
      <c r="G638" s="80">
        <f t="shared" si="18"/>
        <v>0</v>
      </c>
      <c r="H638" s="81">
        <v>0.77090000000000003</v>
      </c>
      <c r="I638" s="2629" t="s">
        <v>1146</v>
      </c>
    </row>
    <row r="639" spans="1:9" ht="16.5">
      <c r="A639" s="85" t="s">
        <v>3231</v>
      </c>
      <c r="B639" s="2362" t="s">
        <v>8247</v>
      </c>
      <c r="C639" s="9" t="s">
        <v>3451</v>
      </c>
      <c r="D639" s="79"/>
      <c r="E639" s="79"/>
      <c r="F639" s="79">
        <f t="shared" si="19"/>
        <v>0</v>
      </c>
      <c r="G639" s="80">
        <f t="shared" si="18"/>
        <v>0</v>
      </c>
      <c r="H639" s="81">
        <v>0.28139999999999998</v>
      </c>
      <c r="I639" s="2629" t="s">
        <v>1146</v>
      </c>
    </row>
    <row r="640" spans="1:9" ht="16.5">
      <c r="A640" s="85" t="s">
        <v>3232</v>
      </c>
      <c r="B640" s="2362" t="s">
        <v>8248</v>
      </c>
      <c r="C640" s="9" t="s">
        <v>3451</v>
      </c>
      <c r="D640" s="79"/>
      <c r="E640" s="79"/>
      <c r="F640" s="79">
        <f t="shared" si="19"/>
        <v>0</v>
      </c>
      <c r="G640" s="80">
        <f t="shared" si="18"/>
        <v>0</v>
      </c>
      <c r="H640" s="81">
        <v>0.7026</v>
      </c>
      <c r="I640" s="2629" t="s">
        <v>1146</v>
      </c>
    </row>
    <row r="641" spans="1:9" ht="16.5">
      <c r="A641" s="85" t="s">
        <v>3233</v>
      </c>
      <c r="B641" s="2362" t="s">
        <v>8249</v>
      </c>
      <c r="C641" s="9" t="s">
        <v>3451</v>
      </c>
      <c r="D641" s="79"/>
      <c r="E641" s="79"/>
      <c r="F641" s="79">
        <f t="shared" si="19"/>
        <v>0</v>
      </c>
      <c r="G641" s="80">
        <f t="shared" si="18"/>
        <v>0</v>
      </c>
      <c r="H641" s="81">
        <v>1.2941</v>
      </c>
      <c r="I641" s="2629" t="s">
        <v>1146</v>
      </c>
    </row>
    <row r="642" spans="1:9" ht="16.5">
      <c r="A642" s="85" t="s">
        <v>3234</v>
      </c>
      <c r="B642" s="2362" t="s">
        <v>8250</v>
      </c>
      <c r="C642" s="9" t="s">
        <v>3451</v>
      </c>
      <c r="D642" s="79"/>
      <c r="E642" s="79"/>
      <c r="F642" s="79">
        <f t="shared" si="19"/>
        <v>0</v>
      </c>
      <c r="G642" s="80">
        <f t="shared" si="18"/>
        <v>0</v>
      </c>
      <c r="H642" s="81">
        <v>0.63900000000000001</v>
      </c>
      <c r="I642" s="2629" t="s">
        <v>1146</v>
      </c>
    </row>
    <row r="643" spans="1:9" ht="16.5">
      <c r="A643" s="85" t="s">
        <v>3235</v>
      </c>
      <c r="B643" s="2362" t="s">
        <v>8251</v>
      </c>
      <c r="C643" s="9" t="s">
        <v>3451</v>
      </c>
      <c r="D643" s="79"/>
      <c r="E643" s="79"/>
      <c r="F643" s="79">
        <f t="shared" si="19"/>
        <v>0</v>
      </c>
      <c r="G643" s="80">
        <f t="shared" si="18"/>
        <v>0</v>
      </c>
      <c r="H643" s="81">
        <v>0.26669999999999999</v>
      </c>
      <c r="I643" s="2629" t="s">
        <v>1146</v>
      </c>
    </row>
    <row r="644" spans="1:9" ht="16.5">
      <c r="A644" s="85" t="s">
        <v>3236</v>
      </c>
      <c r="B644" s="2362" t="s">
        <v>8252</v>
      </c>
      <c r="C644" s="9" t="s">
        <v>3451</v>
      </c>
      <c r="D644" s="79"/>
      <c r="E644" s="79"/>
      <c r="F644" s="79">
        <f t="shared" si="19"/>
        <v>0</v>
      </c>
      <c r="G644" s="80">
        <f t="shared" ref="G644:G707" si="20">IF($F$836=0,0,F644/$F$836)</f>
        <v>0</v>
      </c>
      <c r="H644" s="81">
        <v>0.28810000000000002</v>
      </c>
      <c r="I644" s="2629" t="s">
        <v>1146</v>
      </c>
    </row>
    <row r="645" spans="1:9" ht="16.5">
      <c r="A645" s="85" t="s">
        <v>3237</v>
      </c>
      <c r="B645" s="2362" t="s">
        <v>8253</v>
      </c>
      <c r="C645" s="9" t="s">
        <v>3451</v>
      </c>
      <c r="D645" s="79"/>
      <c r="E645" s="79"/>
      <c r="F645" s="79">
        <f t="shared" ref="F645:F708" si="21">D645*E645</f>
        <v>0</v>
      </c>
      <c r="G645" s="80">
        <f t="shared" si="20"/>
        <v>0</v>
      </c>
      <c r="H645" s="81">
        <v>-0.18229999999999999</v>
      </c>
      <c r="I645" s="2629" t="s">
        <v>1146</v>
      </c>
    </row>
    <row r="646" spans="1:9" ht="16.5">
      <c r="A646" s="85" t="s">
        <v>3238</v>
      </c>
      <c r="B646" s="2362" t="s">
        <v>8254</v>
      </c>
      <c r="C646" s="9" t="s">
        <v>3451</v>
      </c>
      <c r="D646" s="79"/>
      <c r="E646" s="79"/>
      <c r="F646" s="79">
        <f t="shared" si="21"/>
        <v>0</v>
      </c>
      <c r="G646" s="80">
        <f t="shared" si="20"/>
        <v>0</v>
      </c>
      <c r="H646" s="81">
        <v>-2.8199999999999999E-2</v>
      </c>
      <c r="I646" s="2629" t="s">
        <v>1146</v>
      </c>
    </row>
    <row r="647" spans="1:9" ht="16.5">
      <c r="A647" s="85" t="s">
        <v>3239</v>
      </c>
      <c r="B647" s="2362" t="s">
        <v>8255</v>
      </c>
      <c r="C647" s="9" t="s">
        <v>3451</v>
      </c>
      <c r="D647" s="79"/>
      <c r="E647" s="79"/>
      <c r="F647" s="79">
        <f t="shared" si="21"/>
        <v>0</v>
      </c>
      <c r="G647" s="80">
        <f t="shared" si="20"/>
        <v>0</v>
      </c>
      <c r="H647" s="81">
        <v>0.53990000000000005</v>
      </c>
      <c r="I647" s="2619" t="s">
        <v>1146</v>
      </c>
    </row>
    <row r="648" spans="1:9" ht="16.5">
      <c r="A648" s="85" t="s">
        <v>3240</v>
      </c>
      <c r="B648" s="2362" t="s">
        <v>8256</v>
      </c>
      <c r="C648" s="9" t="s">
        <v>3451</v>
      </c>
      <c r="D648" s="79"/>
      <c r="E648" s="79"/>
      <c r="F648" s="79">
        <f t="shared" si="21"/>
        <v>0</v>
      </c>
      <c r="G648" s="80">
        <f t="shared" si="20"/>
        <v>0</v>
      </c>
      <c r="H648" s="81">
        <v>0.37759999999999999</v>
      </c>
      <c r="I648" s="2629" t="s">
        <v>1146</v>
      </c>
    </row>
    <row r="649" spans="1:9" ht="16.5">
      <c r="A649" s="85" t="s">
        <v>3241</v>
      </c>
      <c r="B649" s="2362" t="s">
        <v>5053</v>
      </c>
      <c r="C649" s="9" t="s">
        <v>3451</v>
      </c>
      <c r="D649" s="79"/>
      <c r="E649" s="79"/>
      <c r="F649" s="79">
        <f t="shared" si="21"/>
        <v>0</v>
      </c>
      <c r="G649" s="80">
        <f t="shared" si="20"/>
        <v>0</v>
      </c>
      <c r="H649" s="81">
        <v>1.8604000000000001</v>
      </c>
      <c r="I649" s="2619" t="s">
        <v>1146</v>
      </c>
    </row>
    <row r="650" spans="1:9" ht="16.5">
      <c r="A650" s="85" t="s">
        <v>3242</v>
      </c>
      <c r="B650" s="2362" t="s">
        <v>8257</v>
      </c>
      <c r="C650" s="9" t="s">
        <v>3451</v>
      </c>
      <c r="D650" s="79"/>
      <c r="E650" s="79"/>
      <c r="F650" s="79">
        <f t="shared" si="21"/>
        <v>0</v>
      </c>
      <c r="G650" s="80">
        <f t="shared" si="20"/>
        <v>0</v>
      </c>
      <c r="H650" s="81">
        <v>0.71650000000000003</v>
      </c>
      <c r="I650" s="2629" t="s">
        <v>1146</v>
      </c>
    </row>
    <row r="651" spans="1:9" ht="16.5">
      <c r="A651" s="85" t="s">
        <v>3424</v>
      </c>
      <c r="B651" s="2362" t="s">
        <v>8258</v>
      </c>
      <c r="C651" s="9" t="s">
        <v>3451</v>
      </c>
      <c r="D651" s="79"/>
      <c r="E651" s="79"/>
      <c r="F651" s="79">
        <f t="shared" si="21"/>
        <v>0</v>
      </c>
      <c r="G651" s="80">
        <f t="shared" si="20"/>
        <v>0</v>
      </c>
      <c r="H651" s="81">
        <v>1.1034999999999999</v>
      </c>
      <c r="I651" s="2629" t="s">
        <v>1146</v>
      </c>
    </row>
    <row r="652" spans="1:9" ht="16.5">
      <c r="A652" s="85" t="s">
        <v>3243</v>
      </c>
      <c r="B652" s="2362" t="s">
        <v>8259</v>
      </c>
      <c r="C652" s="9" t="s">
        <v>3451</v>
      </c>
      <c r="D652" s="79"/>
      <c r="E652" s="79"/>
      <c r="F652" s="79">
        <f t="shared" si="21"/>
        <v>0</v>
      </c>
      <c r="G652" s="80">
        <f t="shared" si="20"/>
        <v>0</v>
      </c>
      <c r="H652" s="81">
        <v>0.23169999999999999</v>
      </c>
      <c r="I652" s="2629" t="s">
        <v>1146</v>
      </c>
    </row>
    <row r="653" spans="1:9" ht="16.5">
      <c r="A653" s="85" t="s">
        <v>3425</v>
      </c>
      <c r="B653" s="2362" t="s">
        <v>8260</v>
      </c>
      <c r="C653" s="9" t="s">
        <v>3451</v>
      </c>
      <c r="D653" s="79"/>
      <c r="E653" s="79"/>
      <c r="F653" s="79">
        <f t="shared" si="21"/>
        <v>0</v>
      </c>
      <c r="G653" s="80">
        <f t="shared" si="20"/>
        <v>0</v>
      </c>
      <c r="H653" s="81">
        <v>0.18809999999999999</v>
      </c>
      <c r="I653" s="2629" t="s">
        <v>1146</v>
      </c>
    </row>
    <row r="654" spans="1:9" ht="16.5">
      <c r="A654" s="85" t="s">
        <v>3244</v>
      </c>
      <c r="B654" s="2362" t="s">
        <v>8261</v>
      </c>
      <c r="C654" s="9" t="s">
        <v>3451</v>
      </c>
      <c r="D654" s="79"/>
      <c r="E654" s="79"/>
      <c r="F654" s="79">
        <f t="shared" si="21"/>
        <v>0</v>
      </c>
      <c r="G654" s="80">
        <f t="shared" si="20"/>
        <v>0</v>
      </c>
      <c r="H654" s="81">
        <v>0.1812</v>
      </c>
      <c r="I654" s="2629" t="s">
        <v>1146</v>
      </c>
    </row>
    <row r="655" spans="1:9" ht="16.5">
      <c r="A655" s="85" t="s">
        <v>3245</v>
      </c>
      <c r="B655" s="2362" t="s">
        <v>8262</v>
      </c>
      <c r="C655" s="9" t="s">
        <v>3451</v>
      </c>
      <c r="D655" s="79"/>
      <c r="E655" s="79"/>
      <c r="F655" s="79">
        <f t="shared" si="21"/>
        <v>0</v>
      </c>
      <c r="G655" s="80">
        <f t="shared" si="20"/>
        <v>0</v>
      </c>
      <c r="H655" s="81">
        <v>1.0580000000000001</v>
      </c>
      <c r="I655" s="2629" t="s">
        <v>1146</v>
      </c>
    </row>
    <row r="656" spans="1:9" ht="16.5">
      <c r="A656" s="85" t="s">
        <v>3246</v>
      </c>
      <c r="B656" s="2362" t="s">
        <v>8263</v>
      </c>
      <c r="C656" s="9" t="s">
        <v>3451</v>
      </c>
      <c r="D656" s="79"/>
      <c r="E656" s="79"/>
      <c r="F656" s="79">
        <f t="shared" si="21"/>
        <v>0</v>
      </c>
      <c r="G656" s="80">
        <f t="shared" si="20"/>
        <v>0</v>
      </c>
      <c r="H656" s="81">
        <v>0.89649999999999996</v>
      </c>
      <c r="I656" s="2619" t="s">
        <v>1146</v>
      </c>
    </row>
    <row r="657" spans="1:9" ht="16.5">
      <c r="A657" s="85" t="s">
        <v>3247</v>
      </c>
      <c r="B657" s="2362" t="s">
        <v>8264</v>
      </c>
      <c r="C657" s="9" t="s">
        <v>3451</v>
      </c>
      <c r="D657" s="79"/>
      <c r="E657" s="79"/>
      <c r="F657" s="79">
        <f t="shared" si="21"/>
        <v>0</v>
      </c>
      <c r="G657" s="80">
        <f t="shared" si="20"/>
        <v>0</v>
      </c>
      <c r="H657" s="81">
        <v>1.27</v>
      </c>
      <c r="I657" s="2629" t="s">
        <v>1146</v>
      </c>
    </row>
    <row r="658" spans="1:9" ht="16.5">
      <c r="A658" s="85" t="s">
        <v>3248</v>
      </c>
      <c r="B658" s="2362" t="s">
        <v>8265</v>
      </c>
      <c r="C658" s="9" t="s">
        <v>3451</v>
      </c>
      <c r="D658" s="79"/>
      <c r="E658" s="79"/>
      <c r="F658" s="79">
        <f t="shared" si="21"/>
        <v>0</v>
      </c>
      <c r="G658" s="80">
        <f t="shared" si="20"/>
        <v>0</v>
      </c>
      <c r="H658" s="81">
        <v>0.60029999999999994</v>
      </c>
      <c r="I658" s="2629" t="s">
        <v>1146</v>
      </c>
    </row>
    <row r="659" spans="1:9" ht="16.5">
      <c r="A659" s="85" t="s">
        <v>3249</v>
      </c>
      <c r="B659" s="2362" t="s">
        <v>8266</v>
      </c>
      <c r="C659" s="9" t="s">
        <v>3451</v>
      </c>
      <c r="D659" s="79"/>
      <c r="E659" s="79"/>
      <c r="F659" s="79">
        <f t="shared" si="21"/>
        <v>0</v>
      </c>
      <c r="G659" s="80">
        <f t="shared" si="20"/>
        <v>0</v>
      </c>
      <c r="H659" s="81">
        <v>1.3209</v>
      </c>
      <c r="I659" s="2619" t="s">
        <v>1146</v>
      </c>
    </row>
    <row r="660" spans="1:9" ht="16.5">
      <c r="A660" s="85" t="s">
        <v>3426</v>
      </c>
      <c r="B660" s="2362" t="s">
        <v>8267</v>
      </c>
      <c r="C660" s="9" t="s">
        <v>3451</v>
      </c>
      <c r="D660" s="79"/>
      <c r="E660" s="79"/>
      <c r="F660" s="79">
        <f t="shared" si="21"/>
        <v>0</v>
      </c>
      <c r="G660" s="80">
        <f t="shared" si="20"/>
        <v>0</v>
      </c>
      <c r="H660" s="81">
        <v>1.5364</v>
      </c>
      <c r="I660" s="2619" t="s">
        <v>1146</v>
      </c>
    </row>
    <row r="661" spans="1:9" ht="16.5">
      <c r="A661" s="85" t="s">
        <v>3250</v>
      </c>
      <c r="B661" s="2362" t="s">
        <v>8268</v>
      </c>
      <c r="C661" s="9" t="s">
        <v>3451</v>
      </c>
      <c r="D661" s="79"/>
      <c r="E661" s="79"/>
      <c r="F661" s="79">
        <f t="shared" si="21"/>
        <v>0</v>
      </c>
      <c r="G661" s="80">
        <f t="shared" si="20"/>
        <v>0</v>
      </c>
      <c r="H661" s="81">
        <v>1.2785</v>
      </c>
      <c r="I661" s="2619" t="s">
        <v>1146</v>
      </c>
    </row>
    <row r="662" spans="1:9" ht="16.5">
      <c r="A662" s="85" t="s">
        <v>5054</v>
      </c>
      <c r="B662" s="2362" t="s">
        <v>8269</v>
      </c>
      <c r="C662" s="9" t="s">
        <v>3451</v>
      </c>
      <c r="D662" s="79"/>
      <c r="E662" s="79"/>
      <c r="F662" s="79">
        <f t="shared" si="21"/>
        <v>0</v>
      </c>
      <c r="G662" s="80">
        <f t="shared" si="20"/>
        <v>0</v>
      </c>
      <c r="H662" s="81">
        <v>0.63539999999999996</v>
      </c>
      <c r="I662" s="2619" t="s">
        <v>1146</v>
      </c>
    </row>
    <row r="663" spans="1:9" ht="16.5">
      <c r="A663" s="85" t="s">
        <v>3251</v>
      </c>
      <c r="B663" s="2362" t="s">
        <v>8270</v>
      </c>
      <c r="C663" s="9" t="s">
        <v>3451</v>
      </c>
      <c r="D663" s="79"/>
      <c r="E663" s="79"/>
      <c r="F663" s="79">
        <f t="shared" si="21"/>
        <v>0</v>
      </c>
      <c r="G663" s="80">
        <f t="shared" si="20"/>
        <v>0</v>
      </c>
      <c r="H663" s="81">
        <v>0.70430000000000004</v>
      </c>
      <c r="I663" s="2619" t="s">
        <v>1146</v>
      </c>
    </row>
    <row r="664" spans="1:9" ht="16.5">
      <c r="A664" s="85" t="s">
        <v>3252</v>
      </c>
      <c r="B664" s="2362" t="s">
        <v>8271</v>
      </c>
      <c r="C664" s="9" t="s">
        <v>3451</v>
      </c>
      <c r="D664" s="79"/>
      <c r="E664" s="79"/>
      <c r="F664" s="79">
        <f t="shared" si="21"/>
        <v>0</v>
      </c>
      <c r="G664" s="80">
        <f t="shared" si="20"/>
        <v>0</v>
      </c>
      <c r="H664" s="81">
        <v>0.63349999999999995</v>
      </c>
      <c r="I664" s="2619" t="s">
        <v>1146</v>
      </c>
    </row>
    <row r="665" spans="1:9" ht="16.5">
      <c r="A665" s="85" t="s">
        <v>5722</v>
      </c>
      <c r="B665" s="2362" t="s">
        <v>8272</v>
      </c>
      <c r="C665" s="9" t="s">
        <v>3451</v>
      </c>
      <c r="D665" s="79"/>
      <c r="E665" s="79"/>
      <c r="F665" s="79">
        <f t="shared" si="21"/>
        <v>0</v>
      </c>
      <c r="G665" s="80">
        <f t="shared" si="20"/>
        <v>0</v>
      </c>
      <c r="H665" s="81">
        <v>0.87839999999999996</v>
      </c>
      <c r="I665" s="2619" t="s">
        <v>1146</v>
      </c>
    </row>
    <row r="666" spans="1:9" ht="16.5">
      <c r="A666" s="85" t="s">
        <v>3427</v>
      </c>
      <c r="B666" s="2362" t="s">
        <v>8273</v>
      </c>
      <c r="C666" s="9" t="s">
        <v>3451</v>
      </c>
      <c r="D666" s="79"/>
      <c r="E666" s="79"/>
      <c r="F666" s="79">
        <f t="shared" si="21"/>
        <v>0</v>
      </c>
      <c r="G666" s="80">
        <f t="shared" si="20"/>
        <v>0</v>
      </c>
      <c r="H666" s="81">
        <v>0.66810000000000003</v>
      </c>
      <c r="I666" s="2619" t="s">
        <v>1146</v>
      </c>
    </row>
    <row r="667" spans="1:9" ht="16.5">
      <c r="A667" s="85" t="s">
        <v>3253</v>
      </c>
      <c r="B667" s="2362" t="s">
        <v>8274</v>
      </c>
      <c r="C667" s="9" t="s">
        <v>3451</v>
      </c>
      <c r="D667" s="79"/>
      <c r="E667" s="79"/>
      <c r="F667" s="79">
        <f t="shared" si="21"/>
        <v>0</v>
      </c>
      <c r="G667" s="80">
        <f t="shared" si="20"/>
        <v>0</v>
      </c>
      <c r="H667" s="81">
        <v>0.62360000000000004</v>
      </c>
      <c r="I667" s="2619" t="s">
        <v>1146</v>
      </c>
    </row>
    <row r="668" spans="1:9" ht="16.5">
      <c r="A668" s="85" t="s">
        <v>5055</v>
      </c>
      <c r="B668" s="2362" t="s">
        <v>8275</v>
      </c>
      <c r="C668" s="9" t="s">
        <v>3451</v>
      </c>
      <c r="D668" s="79"/>
      <c r="E668" s="79"/>
      <c r="F668" s="79">
        <f t="shared" si="21"/>
        <v>0</v>
      </c>
      <c r="G668" s="80">
        <f t="shared" si="20"/>
        <v>0</v>
      </c>
      <c r="H668" s="81">
        <v>9.8299999999999998E-2</v>
      </c>
      <c r="I668" s="2629" t="s">
        <v>1146</v>
      </c>
    </row>
    <row r="669" spans="1:9" ht="16.5">
      <c r="A669" s="85" t="s">
        <v>3254</v>
      </c>
      <c r="B669" s="2362" t="s">
        <v>8276</v>
      </c>
      <c r="C669" s="9" t="s">
        <v>3451</v>
      </c>
      <c r="D669" s="79"/>
      <c r="E669" s="79"/>
      <c r="F669" s="79">
        <f t="shared" si="21"/>
        <v>0</v>
      </c>
      <c r="G669" s="80">
        <f t="shared" si="20"/>
        <v>0</v>
      </c>
      <c r="H669" s="81">
        <v>0.5857</v>
      </c>
      <c r="I669" s="2619" t="s">
        <v>1146</v>
      </c>
    </row>
    <row r="670" spans="1:9" ht="16.5">
      <c r="A670" s="85" t="s">
        <v>3255</v>
      </c>
      <c r="B670" s="2362" t="s">
        <v>8277</v>
      </c>
      <c r="C670" s="9" t="s">
        <v>3451</v>
      </c>
      <c r="D670" s="79"/>
      <c r="E670" s="79"/>
      <c r="F670" s="79">
        <f t="shared" si="21"/>
        <v>0</v>
      </c>
      <c r="G670" s="80">
        <f t="shared" si="20"/>
        <v>0</v>
      </c>
      <c r="H670" s="81">
        <v>0.60829999999999995</v>
      </c>
      <c r="I670" s="2619" t="s">
        <v>1146</v>
      </c>
    </row>
    <row r="671" spans="1:9" ht="16.5">
      <c r="A671" s="85" t="s">
        <v>3256</v>
      </c>
      <c r="B671" s="2362" t="s">
        <v>8278</v>
      </c>
      <c r="C671" s="9" t="s">
        <v>3451</v>
      </c>
      <c r="D671" s="79"/>
      <c r="E671" s="79"/>
      <c r="F671" s="79">
        <f t="shared" si="21"/>
        <v>0</v>
      </c>
      <c r="G671" s="80">
        <f t="shared" si="20"/>
        <v>0</v>
      </c>
      <c r="H671" s="81">
        <v>1.6868000000000001</v>
      </c>
      <c r="I671" s="2629" t="s">
        <v>1146</v>
      </c>
    </row>
    <row r="672" spans="1:9" ht="16.5">
      <c r="A672" s="85" t="s">
        <v>3428</v>
      </c>
      <c r="B672" s="2362" t="s">
        <v>8279</v>
      </c>
      <c r="C672" s="9" t="s">
        <v>3451</v>
      </c>
      <c r="D672" s="79"/>
      <c r="E672" s="79"/>
      <c r="F672" s="79">
        <f t="shared" si="21"/>
        <v>0</v>
      </c>
      <c r="G672" s="80">
        <f t="shared" si="20"/>
        <v>0</v>
      </c>
      <c r="H672" s="81">
        <v>1.0417000000000001</v>
      </c>
      <c r="I672" s="2619" t="s">
        <v>1146</v>
      </c>
    </row>
    <row r="673" spans="1:9" ht="16.5">
      <c r="A673" s="85" t="s">
        <v>5056</v>
      </c>
      <c r="B673" s="2362" t="s">
        <v>8280</v>
      </c>
      <c r="C673" s="9" t="s">
        <v>3451</v>
      </c>
      <c r="D673" s="79"/>
      <c r="E673" s="79"/>
      <c r="F673" s="79">
        <f t="shared" si="21"/>
        <v>0</v>
      </c>
      <c r="G673" s="80">
        <f t="shared" si="20"/>
        <v>0</v>
      </c>
      <c r="H673" s="81">
        <v>0.41239999999999999</v>
      </c>
      <c r="I673" s="2619" t="s">
        <v>1146</v>
      </c>
    </row>
    <row r="674" spans="1:9" ht="16.5">
      <c r="A674" s="85" t="s">
        <v>3429</v>
      </c>
      <c r="B674" s="2362" t="s">
        <v>5057</v>
      </c>
      <c r="C674" s="9" t="s">
        <v>3451</v>
      </c>
      <c r="D674" s="79"/>
      <c r="E674" s="79"/>
      <c r="F674" s="79">
        <f t="shared" si="21"/>
        <v>0</v>
      </c>
      <c r="G674" s="80">
        <f t="shared" si="20"/>
        <v>0</v>
      </c>
      <c r="H674" s="81">
        <v>1.4220999999999999</v>
      </c>
      <c r="I674" s="2629" t="s">
        <v>1146</v>
      </c>
    </row>
    <row r="675" spans="1:9" ht="16.5">
      <c r="A675" s="85" t="s">
        <v>3430</v>
      </c>
      <c r="B675" s="2362" t="s">
        <v>8281</v>
      </c>
      <c r="C675" s="9" t="s">
        <v>3451</v>
      </c>
      <c r="D675" s="79"/>
      <c r="E675" s="79"/>
      <c r="F675" s="79">
        <f t="shared" si="21"/>
        <v>0</v>
      </c>
      <c r="G675" s="80">
        <f t="shared" si="20"/>
        <v>0</v>
      </c>
      <c r="H675" s="81">
        <v>0.50129999999999997</v>
      </c>
      <c r="I675" s="2629" t="s">
        <v>1146</v>
      </c>
    </row>
    <row r="676" spans="1:9" ht="16.5">
      <c r="A676" s="85" t="s">
        <v>3257</v>
      </c>
      <c r="B676" s="2362" t="s">
        <v>8282</v>
      </c>
      <c r="C676" s="9" t="s">
        <v>3451</v>
      </c>
      <c r="D676" s="79"/>
      <c r="E676" s="79"/>
      <c r="F676" s="79">
        <f t="shared" si="21"/>
        <v>0</v>
      </c>
      <c r="G676" s="80">
        <f t="shared" si="20"/>
        <v>0</v>
      </c>
      <c r="H676" s="81">
        <v>1.3575999999999999</v>
      </c>
      <c r="I676" s="2629" t="s">
        <v>1146</v>
      </c>
    </row>
    <row r="677" spans="1:9" ht="16.5">
      <c r="A677" s="85" t="s">
        <v>3258</v>
      </c>
      <c r="B677" s="2362" t="s">
        <v>8283</v>
      </c>
      <c r="C677" s="9" t="s">
        <v>3451</v>
      </c>
      <c r="D677" s="79"/>
      <c r="E677" s="79"/>
      <c r="F677" s="79">
        <f t="shared" si="21"/>
        <v>0</v>
      </c>
      <c r="G677" s="80">
        <f t="shared" si="20"/>
        <v>0</v>
      </c>
      <c r="H677" s="81">
        <v>1.5024999999999999</v>
      </c>
      <c r="I677" s="2629" t="s">
        <v>1146</v>
      </c>
    </row>
    <row r="678" spans="1:9" ht="16.5">
      <c r="A678" s="85" t="s">
        <v>3431</v>
      </c>
      <c r="B678" s="2362" t="s">
        <v>8284</v>
      </c>
      <c r="C678" s="9" t="s">
        <v>3451</v>
      </c>
      <c r="D678" s="79"/>
      <c r="E678" s="79"/>
      <c r="F678" s="79">
        <f t="shared" si="21"/>
        <v>0</v>
      </c>
      <c r="G678" s="80">
        <f t="shared" si="20"/>
        <v>0</v>
      </c>
      <c r="H678" s="81">
        <v>0.82150000000000001</v>
      </c>
      <c r="I678" s="2629" t="s">
        <v>1146</v>
      </c>
    </row>
    <row r="679" spans="1:9" ht="16.5">
      <c r="A679" s="85" t="s">
        <v>3259</v>
      </c>
      <c r="B679" s="2362" t="s">
        <v>8285</v>
      </c>
      <c r="C679" s="9" t="s">
        <v>3451</v>
      </c>
      <c r="D679" s="79"/>
      <c r="E679" s="79"/>
      <c r="F679" s="79">
        <f t="shared" si="21"/>
        <v>0</v>
      </c>
      <c r="G679" s="80">
        <f t="shared" si="20"/>
        <v>0</v>
      </c>
      <c r="H679" s="81">
        <v>0.29709999999999998</v>
      </c>
      <c r="I679" s="2629" t="s">
        <v>1146</v>
      </c>
    </row>
    <row r="680" spans="1:9" ht="16.5">
      <c r="A680" s="85" t="s">
        <v>5058</v>
      </c>
      <c r="B680" s="2362" t="s">
        <v>8286</v>
      </c>
      <c r="C680" s="9" t="s">
        <v>3451</v>
      </c>
      <c r="D680" s="79"/>
      <c r="E680" s="79"/>
      <c r="F680" s="79">
        <f t="shared" si="21"/>
        <v>0</v>
      </c>
      <c r="G680" s="80">
        <f t="shared" si="20"/>
        <v>0</v>
      </c>
      <c r="H680" s="81">
        <v>0.93720000000000003</v>
      </c>
      <c r="I680" s="2629" t="s">
        <v>1146</v>
      </c>
    </row>
    <row r="681" spans="1:9" ht="16.5">
      <c r="A681" s="85" t="s">
        <v>3432</v>
      </c>
      <c r="B681" s="2362" t="s">
        <v>8287</v>
      </c>
      <c r="C681" s="9" t="s">
        <v>3451</v>
      </c>
      <c r="D681" s="79"/>
      <c r="E681" s="79"/>
      <c r="F681" s="79">
        <f t="shared" si="21"/>
        <v>0</v>
      </c>
      <c r="G681" s="80">
        <f t="shared" si="20"/>
        <v>0</v>
      </c>
      <c r="H681" s="81">
        <v>0.52429999999999999</v>
      </c>
      <c r="I681" s="2629" t="s">
        <v>1146</v>
      </c>
    </row>
    <row r="682" spans="1:9" ht="16.5">
      <c r="A682" s="85" t="s">
        <v>3433</v>
      </c>
      <c r="B682" s="2362" t="s">
        <v>8288</v>
      </c>
      <c r="C682" s="9" t="s">
        <v>3451</v>
      </c>
      <c r="D682" s="79"/>
      <c r="E682" s="79"/>
      <c r="F682" s="79">
        <f t="shared" si="21"/>
        <v>0</v>
      </c>
      <c r="G682" s="80">
        <f t="shared" si="20"/>
        <v>0</v>
      </c>
      <c r="H682" s="81">
        <v>1.5471999999999999</v>
      </c>
      <c r="I682" s="2629" t="s">
        <v>1146</v>
      </c>
    </row>
    <row r="683" spans="1:9" ht="16.5">
      <c r="A683" s="85" t="s">
        <v>5059</v>
      </c>
      <c r="B683" s="2362" t="s">
        <v>8289</v>
      </c>
      <c r="C683" s="9" t="s">
        <v>3451</v>
      </c>
      <c r="D683" s="79"/>
      <c r="E683" s="79"/>
      <c r="F683" s="79">
        <f t="shared" si="21"/>
        <v>0</v>
      </c>
      <c r="G683" s="80">
        <f t="shared" si="20"/>
        <v>0</v>
      </c>
      <c r="H683" s="81">
        <v>0.84299999999999997</v>
      </c>
      <c r="I683" s="2629" t="s">
        <v>1146</v>
      </c>
    </row>
    <row r="684" spans="1:9" ht="16.5">
      <c r="A684" s="85" t="s">
        <v>3260</v>
      </c>
      <c r="B684" s="2362" t="s">
        <v>8290</v>
      </c>
      <c r="C684" s="9" t="s">
        <v>3451</v>
      </c>
      <c r="D684" s="79"/>
      <c r="E684" s="79"/>
      <c r="F684" s="79">
        <f t="shared" si="21"/>
        <v>0</v>
      </c>
      <c r="G684" s="80">
        <f t="shared" si="20"/>
        <v>0</v>
      </c>
      <c r="H684" s="81">
        <v>0.24360000000000001</v>
      </c>
      <c r="I684" s="2629" t="s">
        <v>1146</v>
      </c>
    </row>
    <row r="685" spans="1:9" ht="16.5">
      <c r="A685" s="85" t="s">
        <v>5060</v>
      </c>
      <c r="B685" s="2362" t="s">
        <v>8291</v>
      </c>
      <c r="C685" s="9" t="s">
        <v>3451</v>
      </c>
      <c r="D685" s="79"/>
      <c r="E685" s="79"/>
      <c r="F685" s="79">
        <f t="shared" si="21"/>
        <v>0</v>
      </c>
      <c r="G685" s="80">
        <f t="shared" si="20"/>
        <v>0</v>
      </c>
      <c r="H685" s="81">
        <v>0.32519999999999999</v>
      </c>
      <c r="I685" s="2629" t="s">
        <v>1146</v>
      </c>
    </row>
    <row r="686" spans="1:9" ht="16.5">
      <c r="A686" s="85" t="s">
        <v>5061</v>
      </c>
      <c r="B686" s="2362" t="s">
        <v>8292</v>
      </c>
      <c r="C686" s="9" t="s">
        <v>3451</v>
      </c>
      <c r="D686" s="79"/>
      <c r="E686" s="79"/>
      <c r="F686" s="79">
        <f t="shared" si="21"/>
        <v>0</v>
      </c>
      <c r="G686" s="80">
        <f t="shared" si="20"/>
        <v>0</v>
      </c>
      <c r="H686" s="81">
        <v>1.6474</v>
      </c>
      <c r="I686" s="2629" t="s">
        <v>1146</v>
      </c>
    </row>
    <row r="687" spans="1:9" ht="16.5">
      <c r="A687" s="85" t="s">
        <v>5723</v>
      </c>
      <c r="B687" s="2362" t="s">
        <v>8293</v>
      </c>
      <c r="C687" s="9" t="s">
        <v>3451</v>
      </c>
      <c r="D687" s="79"/>
      <c r="E687" s="79"/>
      <c r="F687" s="79">
        <f t="shared" si="21"/>
        <v>0</v>
      </c>
      <c r="G687" s="80">
        <f t="shared" si="20"/>
        <v>0</v>
      </c>
      <c r="H687" s="81">
        <v>1</v>
      </c>
      <c r="I687" s="2629" t="s">
        <v>7649</v>
      </c>
    </row>
    <row r="688" spans="1:9" ht="16.5">
      <c r="A688" s="85" t="s">
        <v>5062</v>
      </c>
      <c r="B688" s="2362" t="s">
        <v>8294</v>
      </c>
      <c r="C688" s="9" t="s">
        <v>3451</v>
      </c>
      <c r="D688" s="79"/>
      <c r="E688" s="79"/>
      <c r="F688" s="79">
        <f t="shared" si="21"/>
        <v>0</v>
      </c>
      <c r="G688" s="80">
        <f t="shared" si="20"/>
        <v>0</v>
      </c>
      <c r="H688" s="81">
        <v>0.72940000000000005</v>
      </c>
      <c r="I688" s="2629" t="s">
        <v>1146</v>
      </c>
    </row>
    <row r="689" spans="1:9" ht="16.5">
      <c r="A689" s="85" t="s">
        <v>5063</v>
      </c>
      <c r="B689" s="2362" t="s">
        <v>8295</v>
      </c>
      <c r="C689" s="9" t="s">
        <v>3451</v>
      </c>
      <c r="D689" s="79"/>
      <c r="E689" s="79"/>
      <c r="F689" s="79">
        <f t="shared" si="21"/>
        <v>0</v>
      </c>
      <c r="G689" s="80">
        <f t="shared" si="20"/>
        <v>0</v>
      </c>
      <c r="H689" s="81">
        <v>0.78910000000000002</v>
      </c>
      <c r="I689" s="2629" t="s">
        <v>1146</v>
      </c>
    </row>
    <row r="690" spans="1:9" ht="16.5">
      <c r="A690" s="85" t="s">
        <v>5724</v>
      </c>
      <c r="B690" s="2362" t="s">
        <v>8296</v>
      </c>
      <c r="C690" s="9" t="s">
        <v>3451</v>
      </c>
      <c r="D690" s="79"/>
      <c r="E690" s="79"/>
      <c r="F690" s="79">
        <f t="shared" si="21"/>
        <v>0</v>
      </c>
      <c r="G690" s="80">
        <f t="shared" si="20"/>
        <v>0</v>
      </c>
      <c r="H690" s="81">
        <v>1</v>
      </c>
      <c r="I690" s="2629" t="s">
        <v>7649</v>
      </c>
    </row>
    <row r="691" spans="1:9" ht="16.5">
      <c r="A691" s="85" t="s">
        <v>5725</v>
      </c>
      <c r="B691" s="2362" t="s">
        <v>8297</v>
      </c>
      <c r="C691" s="9" t="s">
        <v>3451</v>
      </c>
      <c r="D691" s="79"/>
      <c r="E691" s="79"/>
      <c r="F691" s="79">
        <f t="shared" si="21"/>
        <v>0</v>
      </c>
      <c r="G691" s="80">
        <f t="shared" si="20"/>
        <v>0</v>
      </c>
      <c r="H691" s="81">
        <v>1</v>
      </c>
      <c r="I691" s="2629" t="s">
        <v>7649</v>
      </c>
    </row>
    <row r="692" spans="1:9" ht="16.5">
      <c r="A692" s="85" t="s">
        <v>5064</v>
      </c>
      <c r="B692" s="9" t="s">
        <v>8298</v>
      </c>
      <c r="C692" s="9" t="s">
        <v>3451</v>
      </c>
      <c r="D692" s="79"/>
      <c r="E692" s="79"/>
      <c r="F692" s="79">
        <f t="shared" si="21"/>
        <v>0</v>
      </c>
      <c r="G692" s="80">
        <f t="shared" si="20"/>
        <v>0</v>
      </c>
      <c r="H692" s="81">
        <v>0.93140000000000001</v>
      </c>
      <c r="I692" s="2629" t="s">
        <v>1146</v>
      </c>
    </row>
    <row r="693" spans="1:9" ht="16.5">
      <c r="A693" s="85" t="s">
        <v>5726</v>
      </c>
      <c r="B693" s="9" t="s">
        <v>8299</v>
      </c>
      <c r="C693" s="9" t="s">
        <v>3451</v>
      </c>
      <c r="D693" s="79"/>
      <c r="E693" s="79"/>
      <c r="F693" s="79">
        <f t="shared" si="21"/>
        <v>0</v>
      </c>
      <c r="G693" s="80">
        <f t="shared" si="20"/>
        <v>0</v>
      </c>
      <c r="H693" s="81">
        <v>1</v>
      </c>
      <c r="I693" s="2629" t="s">
        <v>7649</v>
      </c>
    </row>
    <row r="694" spans="1:9" ht="16.5">
      <c r="A694" s="85" t="s">
        <v>5065</v>
      </c>
      <c r="B694" s="9" t="s">
        <v>8300</v>
      </c>
      <c r="C694" s="9" t="s">
        <v>3451</v>
      </c>
      <c r="D694" s="79"/>
      <c r="E694" s="79"/>
      <c r="F694" s="79">
        <f t="shared" si="21"/>
        <v>0</v>
      </c>
      <c r="G694" s="80">
        <f t="shared" si="20"/>
        <v>0</v>
      </c>
      <c r="H694" s="81">
        <v>0.35520000000000002</v>
      </c>
      <c r="I694" s="2629" t="s">
        <v>1146</v>
      </c>
    </row>
    <row r="695" spans="1:9" ht="16.5">
      <c r="A695" s="85" t="s">
        <v>5727</v>
      </c>
      <c r="B695" s="9" t="s">
        <v>8301</v>
      </c>
      <c r="C695" s="9" t="s">
        <v>3451</v>
      </c>
      <c r="D695" s="79"/>
      <c r="E695" s="79"/>
      <c r="F695" s="79">
        <f t="shared" si="21"/>
        <v>0</v>
      </c>
      <c r="G695" s="80">
        <f t="shared" si="20"/>
        <v>0</v>
      </c>
      <c r="H695" s="81">
        <v>1</v>
      </c>
      <c r="I695" s="2629" t="s">
        <v>7649</v>
      </c>
    </row>
    <row r="696" spans="1:9" ht="16.5">
      <c r="A696" s="85" t="s">
        <v>5066</v>
      </c>
      <c r="B696" s="9" t="s">
        <v>8302</v>
      </c>
      <c r="C696" s="9" t="s">
        <v>3451</v>
      </c>
      <c r="D696" s="79"/>
      <c r="E696" s="79"/>
      <c r="F696" s="79">
        <f t="shared" si="21"/>
        <v>0</v>
      </c>
      <c r="G696" s="80">
        <f t="shared" si="20"/>
        <v>0</v>
      </c>
      <c r="H696" s="81">
        <v>0.73580000000000001</v>
      </c>
      <c r="I696" s="2629" t="s">
        <v>1146</v>
      </c>
    </row>
    <row r="697" spans="1:9" ht="16.5">
      <c r="A697" s="85" t="s">
        <v>5728</v>
      </c>
      <c r="B697" s="9" t="s">
        <v>8303</v>
      </c>
      <c r="C697" s="9" t="s">
        <v>3451</v>
      </c>
      <c r="D697" s="79"/>
      <c r="E697" s="79"/>
      <c r="F697" s="79">
        <f t="shared" si="21"/>
        <v>0</v>
      </c>
      <c r="G697" s="80">
        <f t="shared" si="20"/>
        <v>0</v>
      </c>
      <c r="H697" s="81">
        <v>1</v>
      </c>
      <c r="I697" s="2629" t="s">
        <v>7649</v>
      </c>
    </row>
    <row r="698" spans="1:9" ht="16.5">
      <c r="A698" s="85" t="s">
        <v>5729</v>
      </c>
      <c r="B698" s="9" t="s">
        <v>8304</v>
      </c>
      <c r="C698" s="9" t="s">
        <v>3451</v>
      </c>
      <c r="D698" s="79"/>
      <c r="E698" s="79"/>
      <c r="F698" s="79">
        <f t="shared" si="21"/>
        <v>0</v>
      </c>
      <c r="G698" s="80">
        <f t="shared" si="20"/>
        <v>0</v>
      </c>
      <c r="H698" s="81">
        <v>1</v>
      </c>
      <c r="I698" s="2629" t="s">
        <v>7649</v>
      </c>
    </row>
    <row r="699" spans="1:9" ht="16.5">
      <c r="A699" s="85" t="s">
        <v>5067</v>
      </c>
      <c r="B699" s="9" t="s">
        <v>8305</v>
      </c>
      <c r="C699" s="9" t="s">
        <v>3451</v>
      </c>
      <c r="D699" s="79"/>
      <c r="E699" s="79"/>
      <c r="F699" s="79">
        <f t="shared" si="21"/>
        <v>0</v>
      </c>
      <c r="G699" s="80">
        <f t="shared" si="20"/>
        <v>0</v>
      </c>
      <c r="H699" s="81">
        <v>1.0444</v>
      </c>
      <c r="I699" s="2629" t="s">
        <v>1146</v>
      </c>
    </row>
    <row r="700" spans="1:9" ht="16.5">
      <c r="A700" s="85" t="s">
        <v>5730</v>
      </c>
      <c r="B700" s="9" t="s">
        <v>8306</v>
      </c>
      <c r="C700" s="9" t="s">
        <v>3451</v>
      </c>
      <c r="D700" s="79"/>
      <c r="E700" s="79"/>
      <c r="F700" s="79">
        <f t="shared" si="21"/>
        <v>0</v>
      </c>
      <c r="G700" s="80">
        <f t="shared" si="20"/>
        <v>0</v>
      </c>
      <c r="H700" s="81">
        <v>1</v>
      </c>
      <c r="I700" s="2629" t="s">
        <v>7649</v>
      </c>
    </row>
    <row r="701" spans="1:9" ht="16.5">
      <c r="A701" s="85" t="s">
        <v>5731</v>
      </c>
      <c r="B701" s="9" t="s">
        <v>8307</v>
      </c>
      <c r="C701" s="9" t="s">
        <v>3451</v>
      </c>
      <c r="D701" s="79"/>
      <c r="E701" s="79"/>
      <c r="F701" s="79">
        <f t="shared" si="21"/>
        <v>0</v>
      </c>
      <c r="G701" s="80">
        <f t="shared" si="20"/>
        <v>0</v>
      </c>
      <c r="H701" s="81">
        <v>1</v>
      </c>
      <c r="I701" s="2619" t="s">
        <v>7649</v>
      </c>
    </row>
    <row r="702" spans="1:9" ht="16.5">
      <c r="A702" s="85" t="s">
        <v>5732</v>
      </c>
      <c r="B702" s="9" t="s">
        <v>8308</v>
      </c>
      <c r="C702" s="9" t="s">
        <v>3451</v>
      </c>
      <c r="D702" s="79"/>
      <c r="E702" s="79"/>
      <c r="F702" s="79">
        <f t="shared" si="21"/>
        <v>0</v>
      </c>
      <c r="G702" s="80">
        <f t="shared" si="20"/>
        <v>0</v>
      </c>
      <c r="H702" s="81">
        <v>1</v>
      </c>
      <c r="I702" s="2629" t="s">
        <v>7649</v>
      </c>
    </row>
    <row r="703" spans="1:9" ht="16.5">
      <c r="A703" s="85" t="s">
        <v>5733</v>
      </c>
      <c r="B703" s="9" t="s">
        <v>8309</v>
      </c>
      <c r="C703" s="9" t="s">
        <v>3451</v>
      </c>
      <c r="D703" s="79"/>
      <c r="E703" s="79"/>
      <c r="F703" s="79">
        <f t="shared" si="21"/>
        <v>0</v>
      </c>
      <c r="G703" s="80">
        <f t="shared" si="20"/>
        <v>0</v>
      </c>
      <c r="H703" s="81">
        <v>1</v>
      </c>
      <c r="I703" s="2629" t="s">
        <v>7649</v>
      </c>
    </row>
    <row r="704" spans="1:9" ht="16.5">
      <c r="A704" s="85" t="s">
        <v>5734</v>
      </c>
      <c r="B704" s="9" t="s">
        <v>8310</v>
      </c>
      <c r="C704" s="9" t="s">
        <v>3451</v>
      </c>
      <c r="D704" s="79"/>
      <c r="E704" s="79"/>
      <c r="F704" s="79">
        <f t="shared" si="21"/>
        <v>0</v>
      </c>
      <c r="G704" s="80">
        <f t="shared" si="20"/>
        <v>0</v>
      </c>
      <c r="H704" s="81">
        <v>1</v>
      </c>
      <c r="I704" s="2629" t="s">
        <v>7649</v>
      </c>
    </row>
    <row r="705" spans="1:9" ht="16.5">
      <c r="A705" s="85" t="s">
        <v>3261</v>
      </c>
      <c r="B705" s="9" t="s">
        <v>8311</v>
      </c>
      <c r="C705" s="9" t="s">
        <v>3451</v>
      </c>
      <c r="D705" s="79"/>
      <c r="E705" s="79"/>
      <c r="F705" s="79">
        <f t="shared" si="21"/>
        <v>0</v>
      </c>
      <c r="G705" s="80">
        <f t="shared" si="20"/>
        <v>0</v>
      </c>
      <c r="H705" s="81">
        <v>0.84909999999999997</v>
      </c>
      <c r="I705" s="2629" t="s">
        <v>1146</v>
      </c>
    </row>
    <row r="706" spans="1:9" ht="16.5">
      <c r="A706" s="85" t="s">
        <v>3262</v>
      </c>
      <c r="B706" s="9" t="s">
        <v>8312</v>
      </c>
      <c r="C706" s="9" t="s">
        <v>3451</v>
      </c>
      <c r="D706" s="79"/>
      <c r="E706" s="79"/>
      <c r="F706" s="79">
        <f t="shared" si="21"/>
        <v>0</v>
      </c>
      <c r="G706" s="80">
        <f t="shared" si="20"/>
        <v>0</v>
      </c>
      <c r="H706" s="81">
        <v>0.4415</v>
      </c>
      <c r="I706" s="2629" t="s">
        <v>1146</v>
      </c>
    </row>
    <row r="707" spans="1:9" ht="16.5">
      <c r="A707" s="85" t="s">
        <v>3263</v>
      </c>
      <c r="B707" s="9" t="s">
        <v>8313</v>
      </c>
      <c r="C707" s="9" t="s">
        <v>3451</v>
      </c>
      <c r="D707" s="79"/>
      <c r="E707" s="79"/>
      <c r="F707" s="79">
        <f t="shared" si="21"/>
        <v>0</v>
      </c>
      <c r="G707" s="80">
        <f t="shared" si="20"/>
        <v>0</v>
      </c>
      <c r="H707" s="81">
        <v>1.0569999999999999</v>
      </c>
      <c r="I707" s="2629" t="s">
        <v>1146</v>
      </c>
    </row>
    <row r="708" spans="1:9" ht="16.5">
      <c r="A708" s="85" t="s">
        <v>3264</v>
      </c>
      <c r="B708" s="9" t="s">
        <v>8314</v>
      </c>
      <c r="C708" s="9" t="s">
        <v>3451</v>
      </c>
      <c r="D708" s="79"/>
      <c r="E708" s="79"/>
      <c r="F708" s="79">
        <f t="shared" si="21"/>
        <v>0</v>
      </c>
      <c r="G708" s="80">
        <f t="shared" ref="G708:G771" si="22">IF($F$836=0,0,F708/$F$836)</f>
        <v>0</v>
      </c>
      <c r="H708" s="81">
        <v>0.99299999999999999</v>
      </c>
      <c r="I708" s="2629" t="s">
        <v>1146</v>
      </c>
    </row>
    <row r="709" spans="1:9" ht="16.5">
      <c r="A709" s="85" t="s">
        <v>3265</v>
      </c>
      <c r="B709" s="9" t="s">
        <v>8315</v>
      </c>
      <c r="C709" s="9" t="s">
        <v>3451</v>
      </c>
      <c r="D709" s="79"/>
      <c r="E709" s="79"/>
      <c r="F709" s="79">
        <f t="shared" ref="F709:F772" si="23">D709*E709</f>
        <v>0</v>
      </c>
      <c r="G709" s="80">
        <f t="shared" si="22"/>
        <v>0</v>
      </c>
      <c r="H709" s="81">
        <v>0.38950000000000001</v>
      </c>
      <c r="I709" s="2629" t="s">
        <v>1146</v>
      </c>
    </row>
    <row r="710" spans="1:9" ht="16.5">
      <c r="A710" s="85" t="s">
        <v>3266</v>
      </c>
      <c r="B710" s="9" t="s">
        <v>8316</v>
      </c>
      <c r="C710" s="9" t="s">
        <v>3451</v>
      </c>
      <c r="D710" s="79"/>
      <c r="E710" s="79"/>
      <c r="F710" s="79">
        <f t="shared" si="23"/>
        <v>0</v>
      </c>
      <c r="G710" s="80">
        <f t="shared" si="22"/>
        <v>0</v>
      </c>
      <c r="H710" s="81">
        <v>0.98609999999999998</v>
      </c>
      <c r="I710" s="2629" t="s">
        <v>1146</v>
      </c>
    </row>
    <row r="711" spans="1:9" ht="16.5">
      <c r="A711" s="85" t="s">
        <v>3267</v>
      </c>
      <c r="B711" s="9" t="s">
        <v>8317</v>
      </c>
      <c r="C711" s="9" t="s">
        <v>3451</v>
      </c>
      <c r="D711" s="79"/>
      <c r="E711" s="79"/>
      <c r="F711" s="79">
        <f t="shared" si="23"/>
        <v>0</v>
      </c>
      <c r="G711" s="80">
        <f t="shared" si="22"/>
        <v>0</v>
      </c>
      <c r="H711" s="81">
        <v>1.0137</v>
      </c>
      <c r="I711" s="2629" t="s">
        <v>1146</v>
      </c>
    </row>
    <row r="712" spans="1:9" ht="16.5">
      <c r="A712" s="85" t="s">
        <v>3268</v>
      </c>
      <c r="B712" s="9" t="s">
        <v>8318</v>
      </c>
      <c r="C712" s="9" t="s">
        <v>3451</v>
      </c>
      <c r="D712" s="79"/>
      <c r="E712" s="79"/>
      <c r="F712" s="79">
        <f t="shared" si="23"/>
        <v>0</v>
      </c>
      <c r="G712" s="80">
        <f t="shared" si="22"/>
        <v>0</v>
      </c>
      <c r="H712" s="81">
        <v>1.3248</v>
      </c>
      <c r="I712" s="2629" t="s">
        <v>1146</v>
      </c>
    </row>
    <row r="713" spans="1:9" ht="16.5">
      <c r="A713" s="85" t="s">
        <v>3269</v>
      </c>
      <c r="B713" s="9" t="s">
        <v>8319</v>
      </c>
      <c r="C713" s="9" t="s">
        <v>3451</v>
      </c>
      <c r="D713" s="79"/>
      <c r="E713" s="79"/>
      <c r="F713" s="79">
        <f t="shared" si="23"/>
        <v>0</v>
      </c>
      <c r="G713" s="80">
        <f t="shared" si="22"/>
        <v>0</v>
      </c>
      <c r="H713" s="81">
        <v>0.22359999999999999</v>
      </c>
      <c r="I713" s="2629" t="s">
        <v>1146</v>
      </c>
    </row>
    <row r="714" spans="1:9" ht="16.5">
      <c r="A714" s="85" t="s">
        <v>3270</v>
      </c>
      <c r="B714" s="9" t="s">
        <v>8320</v>
      </c>
      <c r="C714" s="9" t="s">
        <v>3451</v>
      </c>
      <c r="D714" s="79"/>
      <c r="E714" s="79"/>
      <c r="F714" s="79">
        <f t="shared" si="23"/>
        <v>0</v>
      </c>
      <c r="G714" s="80">
        <f t="shared" si="22"/>
        <v>0</v>
      </c>
      <c r="H714" s="81">
        <v>0.79010000000000002</v>
      </c>
      <c r="I714" s="2629" t="s">
        <v>1146</v>
      </c>
    </row>
    <row r="715" spans="1:9" ht="16.5">
      <c r="A715" s="85" t="s">
        <v>3271</v>
      </c>
      <c r="B715" s="9" t="s">
        <v>8321</v>
      </c>
      <c r="C715" s="9" t="s">
        <v>3451</v>
      </c>
      <c r="D715" s="79"/>
      <c r="E715" s="79"/>
      <c r="F715" s="79">
        <f t="shared" si="23"/>
        <v>0</v>
      </c>
      <c r="G715" s="80">
        <f t="shared" si="22"/>
        <v>0</v>
      </c>
      <c r="H715" s="81">
        <v>0.97789999999999999</v>
      </c>
      <c r="I715" s="2629" t="s">
        <v>1146</v>
      </c>
    </row>
    <row r="716" spans="1:9" ht="16.5">
      <c r="A716" s="85" t="s">
        <v>3272</v>
      </c>
      <c r="B716" s="9" t="s">
        <v>8322</v>
      </c>
      <c r="C716" s="9" t="s">
        <v>3451</v>
      </c>
      <c r="D716" s="79"/>
      <c r="E716" s="79"/>
      <c r="F716" s="79">
        <f t="shared" si="23"/>
        <v>0</v>
      </c>
      <c r="G716" s="80">
        <f t="shared" si="22"/>
        <v>0</v>
      </c>
      <c r="H716" s="81">
        <v>0.1202</v>
      </c>
      <c r="I716" s="2629" t="s">
        <v>1146</v>
      </c>
    </row>
    <row r="717" spans="1:9" ht="16.5">
      <c r="A717" s="85" t="s">
        <v>3273</v>
      </c>
      <c r="B717" s="9" t="s">
        <v>8323</v>
      </c>
      <c r="C717" s="9" t="s">
        <v>3451</v>
      </c>
      <c r="D717" s="79"/>
      <c r="E717" s="79"/>
      <c r="F717" s="79">
        <f t="shared" si="23"/>
        <v>0</v>
      </c>
      <c r="G717" s="80">
        <f t="shared" si="22"/>
        <v>0</v>
      </c>
      <c r="H717" s="81">
        <v>1.1455</v>
      </c>
      <c r="I717" s="2629" t="s">
        <v>1146</v>
      </c>
    </row>
    <row r="718" spans="1:9" ht="16.5">
      <c r="A718" s="85" t="s">
        <v>3274</v>
      </c>
      <c r="B718" s="9" t="s">
        <v>8324</v>
      </c>
      <c r="C718" s="9" t="s">
        <v>3451</v>
      </c>
      <c r="D718" s="79"/>
      <c r="E718" s="79"/>
      <c r="F718" s="79">
        <f t="shared" si="23"/>
        <v>0</v>
      </c>
      <c r="G718" s="80">
        <f t="shared" si="22"/>
        <v>0</v>
      </c>
      <c r="H718" s="81">
        <v>0.62190000000000001</v>
      </c>
      <c r="I718" s="2629" t="s">
        <v>1146</v>
      </c>
    </row>
    <row r="719" spans="1:9" ht="16.5">
      <c r="A719" s="85" t="s">
        <v>3275</v>
      </c>
      <c r="B719" s="9" t="s">
        <v>8325</v>
      </c>
      <c r="C719" s="9" t="s">
        <v>3451</v>
      </c>
      <c r="D719" s="79"/>
      <c r="E719" s="79"/>
      <c r="F719" s="79">
        <f t="shared" si="23"/>
        <v>0</v>
      </c>
      <c r="G719" s="80">
        <f t="shared" si="22"/>
        <v>0</v>
      </c>
      <c r="H719" s="81">
        <v>1.2776000000000001</v>
      </c>
      <c r="I719" s="2629" t="s">
        <v>1146</v>
      </c>
    </row>
    <row r="720" spans="1:9" ht="16.5">
      <c r="A720" s="85" t="s">
        <v>3276</v>
      </c>
      <c r="B720" s="9" t="s">
        <v>8326</v>
      </c>
      <c r="C720" s="9" t="s">
        <v>3451</v>
      </c>
      <c r="D720" s="79"/>
      <c r="E720" s="79"/>
      <c r="F720" s="79">
        <f t="shared" si="23"/>
        <v>0</v>
      </c>
      <c r="G720" s="80">
        <f t="shared" si="22"/>
        <v>0</v>
      </c>
      <c r="H720" s="81">
        <v>1.3956</v>
      </c>
      <c r="I720" s="2629" t="s">
        <v>1146</v>
      </c>
    </row>
    <row r="721" spans="1:9" ht="16.5">
      <c r="A721" s="85" t="s">
        <v>3277</v>
      </c>
      <c r="B721" s="9" t="s">
        <v>8327</v>
      </c>
      <c r="C721" s="9" t="s">
        <v>3451</v>
      </c>
      <c r="D721" s="79"/>
      <c r="E721" s="79"/>
      <c r="F721" s="79">
        <f t="shared" si="23"/>
        <v>0</v>
      </c>
      <c r="G721" s="80">
        <f t="shared" si="22"/>
        <v>0</v>
      </c>
      <c r="H721" s="81">
        <v>0.82420000000000004</v>
      </c>
      <c r="I721" s="2629" t="s">
        <v>1146</v>
      </c>
    </row>
    <row r="722" spans="1:9" ht="16.5">
      <c r="A722" s="85" t="s">
        <v>3278</v>
      </c>
      <c r="B722" s="9" t="s">
        <v>8328</v>
      </c>
      <c r="C722" s="9" t="s">
        <v>3451</v>
      </c>
      <c r="D722" s="79"/>
      <c r="E722" s="79"/>
      <c r="F722" s="79">
        <f t="shared" si="23"/>
        <v>0</v>
      </c>
      <c r="G722" s="80">
        <f t="shared" si="22"/>
        <v>0</v>
      </c>
      <c r="H722" s="81">
        <v>0.67910000000000004</v>
      </c>
      <c r="I722" s="2629" t="s">
        <v>1146</v>
      </c>
    </row>
    <row r="723" spans="1:9" ht="16.5">
      <c r="A723" s="85" t="s">
        <v>3279</v>
      </c>
      <c r="B723" s="9" t="s">
        <v>8329</v>
      </c>
      <c r="C723" s="9" t="s">
        <v>3451</v>
      </c>
      <c r="D723" s="79"/>
      <c r="E723" s="79"/>
      <c r="F723" s="79">
        <f t="shared" si="23"/>
        <v>0</v>
      </c>
      <c r="G723" s="80">
        <f t="shared" si="22"/>
        <v>0</v>
      </c>
      <c r="H723" s="81">
        <v>9.9699999999999997E-2</v>
      </c>
      <c r="I723" s="2619" t="s">
        <v>1146</v>
      </c>
    </row>
    <row r="724" spans="1:9" ht="16.5">
      <c r="A724" s="85" t="s">
        <v>3280</v>
      </c>
      <c r="B724" s="9" t="s">
        <v>8330</v>
      </c>
      <c r="C724" s="9" t="s">
        <v>3451</v>
      </c>
      <c r="D724" s="79"/>
      <c r="E724" s="79"/>
      <c r="F724" s="79">
        <f t="shared" si="23"/>
        <v>0</v>
      </c>
      <c r="G724" s="80">
        <f t="shared" si="22"/>
        <v>0</v>
      </c>
      <c r="H724" s="81">
        <v>0.2616</v>
      </c>
      <c r="I724" s="2629" t="s">
        <v>1146</v>
      </c>
    </row>
    <row r="725" spans="1:9" ht="16.5">
      <c r="A725" s="85" t="s">
        <v>3281</v>
      </c>
      <c r="B725" s="9" t="s">
        <v>8331</v>
      </c>
      <c r="C725" s="9" t="s">
        <v>3451</v>
      </c>
      <c r="D725" s="79"/>
      <c r="E725" s="79"/>
      <c r="F725" s="79">
        <f t="shared" si="23"/>
        <v>0</v>
      </c>
      <c r="G725" s="80">
        <f t="shared" si="22"/>
        <v>0</v>
      </c>
      <c r="H725" s="81">
        <v>0.98850000000000005</v>
      </c>
      <c r="I725" s="2629" t="s">
        <v>1146</v>
      </c>
    </row>
    <row r="726" spans="1:9" ht="16.5">
      <c r="A726" s="85" t="s">
        <v>3282</v>
      </c>
      <c r="B726" s="9" t="s">
        <v>8332</v>
      </c>
      <c r="C726" s="9" t="s">
        <v>3451</v>
      </c>
      <c r="D726" s="79"/>
      <c r="E726" s="79"/>
      <c r="F726" s="79">
        <f t="shared" si="23"/>
        <v>0</v>
      </c>
      <c r="G726" s="80">
        <f t="shared" si="22"/>
        <v>0</v>
      </c>
      <c r="H726" s="81">
        <v>1.3251999999999999</v>
      </c>
      <c r="I726" s="2629" t="s">
        <v>1146</v>
      </c>
    </row>
    <row r="727" spans="1:9" ht="16.5">
      <c r="A727" s="85" t="s">
        <v>3283</v>
      </c>
      <c r="B727" s="9" t="s">
        <v>8333</v>
      </c>
      <c r="C727" s="9" t="s">
        <v>3451</v>
      </c>
      <c r="D727" s="79"/>
      <c r="E727" s="79"/>
      <c r="F727" s="79">
        <f t="shared" si="23"/>
        <v>0</v>
      </c>
      <c r="G727" s="80">
        <f t="shared" si="22"/>
        <v>0</v>
      </c>
      <c r="H727" s="81">
        <v>0.45279999999999998</v>
      </c>
      <c r="I727" s="2629" t="s">
        <v>1146</v>
      </c>
    </row>
    <row r="728" spans="1:9" ht="16.5">
      <c r="A728" s="85" t="s">
        <v>3284</v>
      </c>
      <c r="B728" s="9" t="s">
        <v>8334</v>
      </c>
      <c r="C728" s="9" t="s">
        <v>3451</v>
      </c>
      <c r="D728" s="79"/>
      <c r="E728" s="79"/>
      <c r="F728" s="79">
        <f t="shared" si="23"/>
        <v>0</v>
      </c>
      <c r="G728" s="80">
        <f t="shared" si="22"/>
        <v>0</v>
      </c>
      <c r="H728" s="81">
        <v>0.2631</v>
      </c>
      <c r="I728" s="2629" t="s">
        <v>1146</v>
      </c>
    </row>
    <row r="729" spans="1:9" ht="16.5">
      <c r="A729" s="85" t="s">
        <v>3285</v>
      </c>
      <c r="B729" s="9" t="s">
        <v>8335</v>
      </c>
      <c r="C729" s="9" t="s">
        <v>3451</v>
      </c>
      <c r="D729" s="79"/>
      <c r="E729" s="79"/>
      <c r="F729" s="79">
        <f t="shared" si="23"/>
        <v>0</v>
      </c>
      <c r="G729" s="80">
        <f t="shared" si="22"/>
        <v>0</v>
      </c>
      <c r="H729" s="81">
        <v>0.87529999999999997</v>
      </c>
      <c r="I729" s="2629" t="s">
        <v>1146</v>
      </c>
    </row>
    <row r="730" spans="1:9" ht="16.5">
      <c r="A730" s="85" t="s">
        <v>3286</v>
      </c>
      <c r="B730" s="9" t="s">
        <v>8336</v>
      </c>
      <c r="C730" s="9" t="s">
        <v>3451</v>
      </c>
      <c r="D730" s="79"/>
      <c r="E730" s="79"/>
      <c r="F730" s="79">
        <f t="shared" si="23"/>
        <v>0</v>
      </c>
      <c r="G730" s="80">
        <f t="shared" si="22"/>
        <v>0</v>
      </c>
      <c r="H730" s="81">
        <v>0.46189999999999998</v>
      </c>
      <c r="I730" s="2629" t="s">
        <v>1146</v>
      </c>
    </row>
    <row r="731" spans="1:9" ht="16.5">
      <c r="A731" s="85" t="s">
        <v>3287</v>
      </c>
      <c r="B731" s="9" t="s">
        <v>8337</v>
      </c>
      <c r="C731" s="9" t="s">
        <v>3451</v>
      </c>
      <c r="D731" s="79"/>
      <c r="E731" s="79"/>
      <c r="F731" s="79">
        <f t="shared" si="23"/>
        <v>0</v>
      </c>
      <c r="G731" s="80">
        <f t="shared" si="22"/>
        <v>0</v>
      </c>
      <c r="H731" s="81">
        <v>0.39050000000000001</v>
      </c>
      <c r="I731" s="2629" t="s">
        <v>1146</v>
      </c>
    </row>
    <row r="732" spans="1:9" ht="16.5">
      <c r="A732" s="85" t="s">
        <v>3288</v>
      </c>
      <c r="B732" s="9" t="s">
        <v>8338</v>
      </c>
      <c r="C732" s="9" t="s">
        <v>3451</v>
      </c>
      <c r="D732" s="79"/>
      <c r="E732" s="79"/>
      <c r="F732" s="79">
        <f t="shared" si="23"/>
        <v>0</v>
      </c>
      <c r="G732" s="80">
        <f t="shared" si="22"/>
        <v>0</v>
      </c>
      <c r="H732" s="81">
        <v>0.18529999999999999</v>
      </c>
      <c r="I732" s="2629" t="s">
        <v>1146</v>
      </c>
    </row>
    <row r="733" spans="1:9" ht="16.5">
      <c r="A733" s="85" t="s">
        <v>3289</v>
      </c>
      <c r="B733" s="9" t="s">
        <v>8339</v>
      </c>
      <c r="C733" s="9" t="s">
        <v>3451</v>
      </c>
      <c r="D733" s="79"/>
      <c r="E733" s="79"/>
      <c r="F733" s="79">
        <f t="shared" si="23"/>
        <v>0</v>
      </c>
      <c r="G733" s="80">
        <f t="shared" si="22"/>
        <v>0</v>
      </c>
      <c r="H733" s="81">
        <v>1.1496</v>
      </c>
      <c r="I733" s="2629" t="s">
        <v>1146</v>
      </c>
    </row>
    <row r="734" spans="1:9" ht="16.5">
      <c r="A734" s="85" t="s">
        <v>3290</v>
      </c>
      <c r="B734" s="9" t="s">
        <v>8340</v>
      </c>
      <c r="C734" s="9" t="s">
        <v>3451</v>
      </c>
      <c r="D734" s="79"/>
      <c r="E734" s="79"/>
      <c r="F734" s="79">
        <f t="shared" si="23"/>
        <v>0</v>
      </c>
      <c r="G734" s="80">
        <f t="shared" si="22"/>
        <v>0</v>
      </c>
      <c r="H734" s="81">
        <v>0.501</v>
      </c>
      <c r="I734" s="2629" t="s">
        <v>1146</v>
      </c>
    </row>
    <row r="735" spans="1:9" ht="16.5">
      <c r="A735" s="85" t="s">
        <v>3291</v>
      </c>
      <c r="B735" s="9" t="s">
        <v>8341</v>
      </c>
      <c r="C735" s="9" t="s">
        <v>3451</v>
      </c>
      <c r="D735" s="79"/>
      <c r="E735" s="79"/>
      <c r="F735" s="79">
        <f t="shared" si="23"/>
        <v>0</v>
      </c>
      <c r="G735" s="80">
        <f t="shared" si="22"/>
        <v>0</v>
      </c>
      <c r="H735" s="81">
        <v>1.3947000000000001</v>
      </c>
      <c r="I735" s="2629" t="s">
        <v>1146</v>
      </c>
    </row>
    <row r="736" spans="1:9" ht="16.5">
      <c r="A736" s="85" t="s">
        <v>3292</v>
      </c>
      <c r="B736" s="9" t="s">
        <v>8342</v>
      </c>
      <c r="C736" s="9" t="s">
        <v>3451</v>
      </c>
      <c r="D736" s="79"/>
      <c r="E736" s="79"/>
      <c r="F736" s="79">
        <f t="shared" si="23"/>
        <v>0</v>
      </c>
      <c r="G736" s="80">
        <f t="shared" si="22"/>
        <v>0</v>
      </c>
      <c r="H736" s="81">
        <v>0.77690000000000003</v>
      </c>
      <c r="I736" s="2629" t="s">
        <v>1146</v>
      </c>
    </row>
    <row r="737" spans="1:9" ht="16.5">
      <c r="A737" s="85" t="s">
        <v>3293</v>
      </c>
      <c r="B737" s="9" t="s">
        <v>8343</v>
      </c>
      <c r="C737" s="9" t="s">
        <v>3451</v>
      </c>
      <c r="D737" s="79"/>
      <c r="E737" s="79"/>
      <c r="F737" s="79">
        <f t="shared" si="23"/>
        <v>0</v>
      </c>
      <c r="G737" s="80">
        <f t="shared" si="22"/>
        <v>0</v>
      </c>
      <c r="H737" s="81">
        <v>1.4406000000000001</v>
      </c>
      <c r="I737" s="2629" t="s">
        <v>1146</v>
      </c>
    </row>
    <row r="738" spans="1:9" ht="16.5">
      <c r="A738" s="85" t="s">
        <v>3294</v>
      </c>
      <c r="B738" s="9" t="s">
        <v>8344</v>
      </c>
      <c r="C738" s="9" t="s">
        <v>3451</v>
      </c>
      <c r="D738" s="79"/>
      <c r="E738" s="79"/>
      <c r="F738" s="79">
        <f t="shared" si="23"/>
        <v>0</v>
      </c>
      <c r="G738" s="80">
        <f t="shared" si="22"/>
        <v>0</v>
      </c>
      <c r="H738" s="81">
        <v>0.62050000000000005</v>
      </c>
      <c r="I738" s="2629" t="s">
        <v>1146</v>
      </c>
    </row>
    <row r="739" spans="1:9" ht="16.5">
      <c r="A739" s="85" t="s">
        <v>3295</v>
      </c>
      <c r="B739" s="9" t="s">
        <v>8345</v>
      </c>
      <c r="C739" s="9" t="s">
        <v>3451</v>
      </c>
      <c r="D739" s="79"/>
      <c r="E739" s="79"/>
      <c r="F739" s="79">
        <f t="shared" si="23"/>
        <v>0</v>
      </c>
      <c r="G739" s="80">
        <f t="shared" si="22"/>
        <v>0</v>
      </c>
      <c r="H739" s="81">
        <v>1.0556000000000001</v>
      </c>
      <c r="I739" s="2629" t="s">
        <v>1146</v>
      </c>
    </row>
    <row r="740" spans="1:9" ht="16.5">
      <c r="A740" s="85" t="s">
        <v>3296</v>
      </c>
      <c r="B740" s="9" t="s">
        <v>8346</v>
      </c>
      <c r="C740" s="9" t="s">
        <v>3451</v>
      </c>
      <c r="D740" s="79"/>
      <c r="E740" s="79"/>
      <c r="F740" s="79">
        <f t="shared" si="23"/>
        <v>0</v>
      </c>
      <c r="G740" s="80">
        <f t="shared" si="22"/>
        <v>0</v>
      </c>
      <c r="H740" s="81">
        <v>0.32390000000000002</v>
      </c>
      <c r="I740" s="2629" t="s">
        <v>1146</v>
      </c>
    </row>
    <row r="741" spans="1:9" ht="16.5">
      <c r="A741" s="85" t="s">
        <v>3297</v>
      </c>
      <c r="B741" s="9" t="s">
        <v>8347</v>
      </c>
      <c r="C741" s="9" t="s">
        <v>3451</v>
      </c>
      <c r="D741" s="79"/>
      <c r="E741" s="79"/>
      <c r="F741" s="79">
        <f t="shared" si="23"/>
        <v>0</v>
      </c>
      <c r="G741" s="80">
        <f t="shared" si="22"/>
        <v>0</v>
      </c>
      <c r="H741" s="81">
        <v>0.86419999999999997</v>
      </c>
      <c r="I741" s="2629" t="s">
        <v>1146</v>
      </c>
    </row>
    <row r="742" spans="1:9" ht="16.5">
      <c r="A742" s="85" t="s">
        <v>3298</v>
      </c>
      <c r="B742" s="9" t="s">
        <v>8348</v>
      </c>
      <c r="C742" s="9" t="s">
        <v>3451</v>
      </c>
      <c r="D742" s="79"/>
      <c r="E742" s="79"/>
      <c r="F742" s="79">
        <f t="shared" si="23"/>
        <v>0</v>
      </c>
      <c r="G742" s="80">
        <f t="shared" si="22"/>
        <v>0</v>
      </c>
      <c r="H742" s="81">
        <v>0.61680000000000001</v>
      </c>
      <c r="I742" s="2629" t="s">
        <v>1146</v>
      </c>
    </row>
    <row r="743" spans="1:9" ht="16.5">
      <c r="A743" s="85" t="s">
        <v>3299</v>
      </c>
      <c r="B743" s="9" t="s">
        <v>8349</v>
      </c>
      <c r="C743" s="9" t="s">
        <v>3451</v>
      </c>
      <c r="D743" s="79"/>
      <c r="E743" s="79"/>
      <c r="F743" s="79">
        <f t="shared" si="23"/>
        <v>0</v>
      </c>
      <c r="G743" s="80">
        <f t="shared" si="22"/>
        <v>0</v>
      </c>
      <c r="H743" s="81">
        <v>0.38779999999999998</v>
      </c>
      <c r="I743" s="2629" t="s">
        <v>1146</v>
      </c>
    </row>
    <row r="744" spans="1:9" ht="16.5">
      <c r="A744" s="85" t="s">
        <v>3300</v>
      </c>
      <c r="B744" s="9" t="s">
        <v>8350</v>
      </c>
      <c r="C744" s="9" t="s">
        <v>3451</v>
      </c>
      <c r="D744" s="79"/>
      <c r="E744" s="79"/>
      <c r="F744" s="79">
        <f t="shared" si="23"/>
        <v>0</v>
      </c>
      <c r="G744" s="80">
        <f t="shared" si="22"/>
        <v>0</v>
      </c>
      <c r="H744" s="81">
        <v>0.90200000000000002</v>
      </c>
      <c r="I744" s="2629" t="s">
        <v>1146</v>
      </c>
    </row>
    <row r="745" spans="1:9" ht="16.5">
      <c r="A745" s="85" t="s">
        <v>3301</v>
      </c>
      <c r="B745" s="9" t="s">
        <v>8351</v>
      </c>
      <c r="C745" s="9" t="s">
        <v>3451</v>
      </c>
      <c r="D745" s="79"/>
      <c r="E745" s="79"/>
      <c r="F745" s="79">
        <f t="shared" si="23"/>
        <v>0</v>
      </c>
      <c r="G745" s="80">
        <f t="shared" si="22"/>
        <v>0</v>
      </c>
      <c r="H745" s="81">
        <v>0.31950000000000001</v>
      </c>
      <c r="I745" s="2629" t="s">
        <v>1146</v>
      </c>
    </row>
    <row r="746" spans="1:9" ht="16.5">
      <c r="A746" s="85" t="s">
        <v>3302</v>
      </c>
      <c r="B746" s="9" t="s">
        <v>8352</v>
      </c>
      <c r="C746" s="9" t="s">
        <v>3451</v>
      </c>
      <c r="D746" s="79"/>
      <c r="E746" s="79"/>
      <c r="F746" s="79">
        <f t="shared" si="23"/>
        <v>0</v>
      </c>
      <c r="G746" s="80">
        <f t="shared" si="22"/>
        <v>0</v>
      </c>
      <c r="H746" s="81">
        <v>0.71419999999999995</v>
      </c>
      <c r="I746" s="2629" t="s">
        <v>1146</v>
      </c>
    </row>
    <row r="747" spans="1:9" ht="16.5">
      <c r="A747" s="85" t="s">
        <v>3303</v>
      </c>
      <c r="B747" s="9" t="s">
        <v>8353</v>
      </c>
      <c r="C747" s="9" t="s">
        <v>3451</v>
      </c>
      <c r="D747" s="79"/>
      <c r="E747" s="79"/>
      <c r="F747" s="79">
        <f t="shared" si="23"/>
        <v>0</v>
      </c>
      <c r="G747" s="80">
        <f t="shared" si="22"/>
        <v>0</v>
      </c>
      <c r="H747" s="81">
        <v>0.86870000000000003</v>
      </c>
      <c r="I747" s="2629" t="s">
        <v>1146</v>
      </c>
    </row>
    <row r="748" spans="1:9" ht="16.5">
      <c r="A748" s="85" t="s">
        <v>3304</v>
      </c>
      <c r="B748" s="9" t="s">
        <v>8354</v>
      </c>
      <c r="C748" s="9" t="s">
        <v>3451</v>
      </c>
      <c r="D748" s="79"/>
      <c r="E748" s="79"/>
      <c r="F748" s="79">
        <f t="shared" si="23"/>
        <v>0</v>
      </c>
      <c r="G748" s="80">
        <f t="shared" si="22"/>
        <v>0</v>
      </c>
      <c r="H748" s="81">
        <v>0.80920000000000003</v>
      </c>
      <c r="I748" s="2629" t="s">
        <v>1146</v>
      </c>
    </row>
    <row r="749" spans="1:9" ht="16.5">
      <c r="A749" s="85" t="s">
        <v>3305</v>
      </c>
      <c r="B749" s="9" t="s">
        <v>8355</v>
      </c>
      <c r="C749" s="9" t="s">
        <v>3451</v>
      </c>
      <c r="D749" s="79"/>
      <c r="E749" s="79"/>
      <c r="F749" s="79">
        <f t="shared" si="23"/>
        <v>0</v>
      </c>
      <c r="G749" s="80">
        <f t="shared" si="22"/>
        <v>0</v>
      </c>
      <c r="H749" s="81">
        <v>0.75080000000000002</v>
      </c>
      <c r="I749" s="2629" t="s">
        <v>1146</v>
      </c>
    </row>
    <row r="750" spans="1:9" ht="16.5">
      <c r="A750" s="85" t="s">
        <v>3306</v>
      </c>
      <c r="B750" s="9" t="s">
        <v>8356</v>
      </c>
      <c r="C750" s="9" t="s">
        <v>3451</v>
      </c>
      <c r="D750" s="79"/>
      <c r="E750" s="79"/>
      <c r="F750" s="79">
        <f t="shared" si="23"/>
        <v>0</v>
      </c>
      <c r="G750" s="80">
        <f t="shared" si="22"/>
        <v>0</v>
      </c>
      <c r="H750" s="81">
        <v>1.6918</v>
      </c>
      <c r="I750" s="2629" t="s">
        <v>1146</v>
      </c>
    </row>
    <row r="751" spans="1:9" ht="16.5">
      <c r="A751" s="85" t="s">
        <v>3307</v>
      </c>
      <c r="B751" s="9" t="s">
        <v>8357</v>
      </c>
      <c r="C751" s="9" t="s">
        <v>3451</v>
      </c>
      <c r="D751" s="79"/>
      <c r="E751" s="79"/>
      <c r="F751" s="79">
        <f t="shared" si="23"/>
        <v>0</v>
      </c>
      <c r="G751" s="80">
        <f t="shared" si="22"/>
        <v>0</v>
      </c>
      <c r="H751" s="81">
        <v>1.2887</v>
      </c>
      <c r="I751" s="2629" t="s">
        <v>1146</v>
      </c>
    </row>
    <row r="752" spans="1:9" ht="16.5">
      <c r="A752" s="85" t="s">
        <v>3308</v>
      </c>
      <c r="B752" s="9" t="s">
        <v>8358</v>
      </c>
      <c r="C752" s="9" t="s">
        <v>3451</v>
      </c>
      <c r="D752" s="79"/>
      <c r="E752" s="79"/>
      <c r="F752" s="79">
        <f t="shared" si="23"/>
        <v>0</v>
      </c>
      <c r="G752" s="80">
        <f t="shared" si="22"/>
        <v>0</v>
      </c>
      <c r="H752" s="81">
        <v>0.51359999999999995</v>
      </c>
      <c r="I752" s="2629" t="s">
        <v>1146</v>
      </c>
    </row>
    <row r="753" spans="1:9" ht="16.5">
      <c r="A753" s="85" t="s">
        <v>3309</v>
      </c>
      <c r="B753" s="9" t="s">
        <v>8359</v>
      </c>
      <c r="C753" s="9" t="s">
        <v>3451</v>
      </c>
      <c r="D753" s="79"/>
      <c r="E753" s="79"/>
      <c r="F753" s="79">
        <f t="shared" si="23"/>
        <v>0</v>
      </c>
      <c r="G753" s="80">
        <f t="shared" si="22"/>
        <v>0</v>
      </c>
      <c r="H753" s="81">
        <v>0.30520000000000003</v>
      </c>
      <c r="I753" s="2629" t="s">
        <v>1146</v>
      </c>
    </row>
    <row r="754" spans="1:9" ht="16.5">
      <c r="A754" s="85" t="s">
        <v>3310</v>
      </c>
      <c r="B754" s="9" t="s">
        <v>8360</v>
      </c>
      <c r="C754" s="9" t="s">
        <v>3451</v>
      </c>
      <c r="D754" s="79"/>
      <c r="E754" s="79"/>
      <c r="F754" s="79">
        <f t="shared" si="23"/>
        <v>0</v>
      </c>
      <c r="G754" s="80">
        <f t="shared" si="22"/>
        <v>0</v>
      </c>
      <c r="H754" s="81">
        <v>0.98070000000000002</v>
      </c>
      <c r="I754" s="2629" t="s">
        <v>1146</v>
      </c>
    </row>
    <row r="755" spans="1:9" ht="16.5">
      <c r="A755" s="85" t="s">
        <v>5068</v>
      </c>
      <c r="B755" s="9" t="s">
        <v>8361</v>
      </c>
      <c r="C755" s="9" t="s">
        <v>3451</v>
      </c>
      <c r="D755" s="79"/>
      <c r="E755" s="79"/>
      <c r="F755" s="79">
        <f t="shared" si="23"/>
        <v>0</v>
      </c>
      <c r="G755" s="80">
        <f t="shared" si="22"/>
        <v>0</v>
      </c>
      <c r="H755" s="81">
        <v>2.1663999999999999</v>
      </c>
      <c r="I755" s="2629" t="s">
        <v>1146</v>
      </c>
    </row>
    <row r="756" spans="1:9" ht="16.5">
      <c r="A756" s="85" t="s">
        <v>3311</v>
      </c>
      <c r="B756" s="9" t="s">
        <v>8362</v>
      </c>
      <c r="C756" s="9" t="s">
        <v>3451</v>
      </c>
      <c r="D756" s="79"/>
      <c r="E756" s="79"/>
      <c r="F756" s="79">
        <f t="shared" si="23"/>
        <v>0</v>
      </c>
      <c r="G756" s="80">
        <f t="shared" si="22"/>
        <v>0</v>
      </c>
      <c r="H756" s="81">
        <v>1.2741</v>
      </c>
      <c r="I756" s="2629" t="s">
        <v>1146</v>
      </c>
    </row>
    <row r="757" spans="1:9" ht="16.5">
      <c r="A757" s="85" t="s">
        <v>3312</v>
      </c>
      <c r="B757" s="9" t="s">
        <v>8363</v>
      </c>
      <c r="C757" s="9" t="s">
        <v>3451</v>
      </c>
      <c r="D757" s="79"/>
      <c r="E757" s="79"/>
      <c r="F757" s="79">
        <f t="shared" si="23"/>
        <v>0</v>
      </c>
      <c r="G757" s="80">
        <f t="shared" si="22"/>
        <v>0</v>
      </c>
      <c r="H757" s="81">
        <v>0.73319999999999996</v>
      </c>
      <c r="I757" s="2629" t="s">
        <v>1146</v>
      </c>
    </row>
    <row r="758" spans="1:9" ht="16.5">
      <c r="A758" s="85" t="s">
        <v>3313</v>
      </c>
      <c r="B758" s="9" t="s">
        <v>8364</v>
      </c>
      <c r="C758" s="9" t="s">
        <v>3451</v>
      </c>
      <c r="D758" s="79"/>
      <c r="E758" s="79"/>
      <c r="F758" s="79">
        <f t="shared" si="23"/>
        <v>0</v>
      </c>
      <c r="G758" s="80">
        <f t="shared" si="22"/>
        <v>0</v>
      </c>
      <c r="H758" s="81">
        <v>1.2121999999999999</v>
      </c>
      <c r="I758" s="2629" t="s">
        <v>1146</v>
      </c>
    </row>
    <row r="759" spans="1:9" ht="16.5">
      <c r="A759" s="85" t="s">
        <v>3314</v>
      </c>
      <c r="B759" s="9" t="s">
        <v>8365</v>
      </c>
      <c r="C759" s="9" t="s">
        <v>3451</v>
      </c>
      <c r="D759" s="79"/>
      <c r="E759" s="79"/>
      <c r="F759" s="79">
        <f t="shared" si="23"/>
        <v>0</v>
      </c>
      <c r="G759" s="80">
        <f t="shared" si="22"/>
        <v>0</v>
      </c>
      <c r="H759" s="81">
        <v>1.2223999999999999</v>
      </c>
      <c r="I759" s="2629" t="s">
        <v>1146</v>
      </c>
    </row>
    <row r="760" spans="1:9" ht="16.5">
      <c r="A760" s="85" t="s">
        <v>3315</v>
      </c>
      <c r="B760" s="9" t="s">
        <v>8366</v>
      </c>
      <c r="C760" s="9" t="s">
        <v>3451</v>
      </c>
      <c r="D760" s="79"/>
      <c r="E760" s="79"/>
      <c r="F760" s="79">
        <f t="shared" si="23"/>
        <v>0</v>
      </c>
      <c r="G760" s="80">
        <f t="shared" si="22"/>
        <v>0</v>
      </c>
      <c r="H760" s="81">
        <v>0.39129999999999998</v>
      </c>
      <c r="I760" s="2629" t="s">
        <v>1146</v>
      </c>
    </row>
    <row r="761" spans="1:9" ht="16.5">
      <c r="A761" s="85" t="s">
        <v>3316</v>
      </c>
      <c r="B761" s="9" t="s">
        <v>8367</v>
      </c>
      <c r="C761" s="9" t="s">
        <v>3451</v>
      </c>
      <c r="D761" s="79"/>
      <c r="E761" s="79"/>
      <c r="F761" s="79">
        <f t="shared" si="23"/>
        <v>0</v>
      </c>
      <c r="G761" s="80">
        <f t="shared" si="22"/>
        <v>0</v>
      </c>
      <c r="H761" s="81">
        <v>0.55920000000000003</v>
      </c>
      <c r="I761" s="2629" t="s">
        <v>1146</v>
      </c>
    </row>
    <row r="762" spans="1:9" ht="16.5">
      <c r="A762" s="85" t="s">
        <v>3317</v>
      </c>
      <c r="B762" s="9" t="s">
        <v>8368</v>
      </c>
      <c r="C762" s="9" t="s">
        <v>3451</v>
      </c>
      <c r="D762" s="79"/>
      <c r="E762" s="79"/>
      <c r="F762" s="79">
        <f t="shared" si="23"/>
        <v>0</v>
      </c>
      <c r="G762" s="80">
        <f t="shared" si="22"/>
        <v>0</v>
      </c>
      <c r="H762" s="81">
        <v>1.2833000000000001</v>
      </c>
      <c r="I762" s="2629" t="s">
        <v>1146</v>
      </c>
    </row>
    <row r="763" spans="1:9" ht="16.5">
      <c r="A763" s="85" t="s">
        <v>3318</v>
      </c>
      <c r="B763" s="9" t="s">
        <v>8369</v>
      </c>
      <c r="C763" s="9" t="s">
        <v>3451</v>
      </c>
      <c r="D763" s="79"/>
      <c r="E763" s="79"/>
      <c r="F763" s="79">
        <f t="shared" si="23"/>
        <v>0</v>
      </c>
      <c r="G763" s="80">
        <f t="shared" si="22"/>
        <v>0</v>
      </c>
      <c r="H763" s="81">
        <v>0.13519999999999999</v>
      </c>
      <c r="I763" s="2629" t="s">
        <v>1146</v>
      </c>
    </row>
    <row r="764" spans="1:9" ht="16.5">
      <c r="A764" s="85" t="s">
        <v>3319</v>
      </c>
      <c r="B764" s="9" t="s">
        <v>8370</v>
      </c>
      <c r="C764" s="9" t="s">
        <v>3451</v>
      </c>
      <c r="D764" s="79"/>
      <c r="E764" s="79"/>
      <c r="F764" s="79">
        <f t="shared" si="23"/>
        <v>0</v>
      </c>
      <c r="G764" s="80">
        <f t="shared" si="22"/>
        <v>0</v>
      </c>
      <c r="H764" s="81">
        <v>1.1141000000000001</v>
      </c>
      <c r="I764" s="2629" t="s">
        <v>1146</v>
      </c>
    </row>
    <row r="765" spans="1:9" ht="16.5">
      <c r="A765" s="85" t="s">
        <v>3320</v>
      </c>
      <c r="B765" s="9" t="s">
        <v>8371</v>
      </c>
      <c r="C765" s="9" t="s">
        <v>3451</v>
      </c>
      <c r="D765" s="79"/>
      <c r="E765" s="79"/>
      <c r="F765" s="79">
        <f t="shared" si="23"/>
        <v>0</v>
      </c>
      <c r="G765" s="80">
        <f t="shared" si="22"/>
        <v>0</v>
      </c>
      <c r="H765" s="81">
        <v>0.15240000000000001</v>
      </c>
      <c r="I765" s="2629" t="s">
        <v>1146</v>
      </c>
    </row>
    <row r="766" spans="1:9" ht="16.5">
      <c r="A766" s="85" t="s">
        <v>3321</v>
      </c>
      <c r="B766" s="9" t="s">
        <v>8372</v>
      </c>
      <c r="C766" s="9" t="s">
        <v>3451</v>
      </c>
      <c r="D766" s="79"/>
      <c r="E766" s="79"/>
      <c r="F766" s="79">
        <f t="shared" si="23"/>
        <v>0</v>
      </c>
      <c r="G766" s="80">
        <f t="shared" si="22"/>
        <v>0</v>
      </c>
      <c r="H766" s="81">
        <v>0.86240000000000006</v>
      </c>
      <c r="I766" s="2629" t="s">
        <v>1146</v>
      </c>
    </row>
    <row r="767" spans="1:9" ht="16.5">
      <c r="A767" s="85" t="s">
        <v>3322</v>
      </c>
      <c r="B767" s="9" t="s">
        <v>8373</v>
      </c>
      <c r="C767" s="9" t="s">
        <v>3451</v>
      </c>
      <c r="D767" s="79"/>
      <c r="E767" s="79"/>
      <c r="F767" s="79">
        <f t="shared" si="23"/>
        <v>0</v>
      </c>
      <c r="G767" s="80">
        <f t="shared" si="22"/>
        <v>0</v>
      </c>
      <c r="H767" s="81">
        <v>4.4200000000000003E-2</v>
      </c>
      <c r="I767" s="2629" t="s">
        <v>1146</v>
      </c>
    </row>
    <row r="768" spans="1:9" ht="16.5">
      <c r="A768" s="85" t="s">
        <v>3323</v>
      </c>
      <c r="B768" s="9" t="s">
        <v>8374</v>
      </c>
      <c r="C768" s="9" t="s">
        <v>3451</v>
      </c>
      <c r="D768" s="79"/>
      <c r="E768" s="79"/>
      <c r="F768" s="79">
        <f t="shared" si="23"/>
        <v>0</v>
      </c>
      <c r="G768" s="80">
        <f t="shared" si="22"/>
        <v>0</v>
      </c>
      <c r="H768" s="81">
        <v>1.6149</v>
      </c>
      <c r="I768" s="2629" t="s">
        <v>1146</v>
      </c>
    </row>
    <row r="769" spans="1:9" ht="16.5">
      <c r="A769" s="85" t="s">
        <v>3324</v>
      </c>
      <c r="B769" s="9" t="s">
        <v>8375</v>
      </c>
      <c r="C769" s="9" t="s">
        <v>3451</v>
      </c>
      <c r="D769" s="79"/>
      <c r="E769" s="79"/>
      <c r="F769" s="79">
        <f t="shared" si="23"/>
        <v>0</v>
      </c>
      <c r="G769" s="80">
        <f t="shared" si="22"/>
        <v>0</v>
      </c>
      <c r="H769" s="81">
        <v>0.41220000000000001</v>
      </c>
      <c r="I769" s="2629" t="s">
        <v>1146</v>
      </c>
    </row>
    <row r="770" spans="1:9" ht="16.5">
      <c r="A770" s="85" t="s">
        <v>3325</v>
      </c>
      <c r="B770" s="9" t="s">
        <v>8376</v>
      </c>
      <c r="C770" s="9" t="s">
        <v>3451</v>
      </c>
      <c r="D770" s="79"/>
      <c r="E770" s="79"/>
      <c r="F770" s="79">
        <f t="shared" si="23"/>
        <v>0</v>
      </c>
      <c r="G770" s="80">
        <f t="shared" si="22"/>
        <v>0</v>
      </c>
      <c r="H770" s="81">
        <v>0.13239999999999999</v>
      </c>
      <c r="I770" s="2629" t="s">
        <v>1146</v>
      </c>
    </row>
    <row r="771" spans="1:9" ht="16.5">
      <c r="A771" s="85" t="s">
        <v>3326</v>
      </c>
      <c r="B771" s="9" t="s">
        <v>8377</v>
      </c>
      <c r="C771" s="9" t="s">
        <v>3451</v>
      </c>
      <c r="D771" s="79"/>
      <c r="E771" s="79"/>
      <c r="F771" s="79">
        <f t="shared" si="23"/>
        <v>0</v>
      </c>
      <c r="G771" s="80">
        <f t="shared" si="22"/>
        <v>0</v>
      </c>
      <c r="H771" s="81">
        <v>0.35310000000000002</v>
      </c>
      <c r="I771" s="2629" t="s">
        <v>1146</v>
      </c>
    </row>
    <row r="772" spans="1:9" ht="16.5">
      <c r="A772" s="85" t="s">
        <v>3327</v>
      </c>
      <c r="B772" s="9" t="s">
        <v>8378</v>
      </c>
      <c r="C772" s="9" t="s">
        <v>3451</v>
      </c>
      <c r="D772" s="79"/>
      <c r="E772" s="79"/>
      <c r="F772" s="79">
        <f t="shared" si="23"/>
        <v>0</v>
      </c>
      <c r="G772" s="80">
        <f t="shared" ref="G772:G818" si="24">IF($F$836=0,0,F772/$F$836)</f>
        <v>0</v>
      </c>
      <c r="H772" s="81">
        <v>0.81369999999999998</v>
      </c>
      <c r="I772" s="2629" t="s">
        <v>1146</v>
      </c>
    </row>
    <row r="773" spans="1:9" ht="16.5">
      <c r="A773" s="85" t="s">
        <v>3328</v>
      </c>
      <c r="B773" s="9" t="s">
        <v>8379</v>
      </c>
      <c r="C773" s="9" t="s">
        <v>3451</v>
      </c>
      <c r="D773" s="79"/>
      <c r="E773" s="79"/>
      <c r="F773" s="79">
        <f t="shared" ref="F773:F818" si="25">D773*E773</f>
        <v>0</v>
      </c>
      <c r="G773" s="80">
        <f t="shared" si="24"/>
        <v>0</v>
      </c>
      <c r="H773" s="81">
        <v>1.0589999999999999</v>
      </c>
      <c r="I773" s="2629" t="s">
        <v>1146</v>
      </c>
    </row>
    <row r="774" spans="1:9" ht="16.5">
      <c r="A774" s="85" t="s">
        <v>3329</v>
      </c>
      <c r="B774" s="9" t="s">
        <v>8380</v>
      </c>
      <c r="C774" s="9" t="s">
        <v>3451</v>
      </c>
      <c r="D774" s="79"/>
      <c r="E774" s="79"/>
      <c r="F774" s="79">
        <f t="shared" si="25"/>
        <v>0</v>
      </c>
      <c r="G774" s="80">
        <f t="shared" si="24"/>
        <v>0</v>
      </c>
      <c r="H774" s="81">
        <v>0.65190000000000003</v>
      </c>
      <c r="I774" s="2629" t="s">
        <v>1146</v>
      </c>
    </row>
    <row r="775" spans="1:9" ht="16.5">
      <c r="A775" s="85" t="s">
        <v>3330</v>
      </c>
      <c r="B775" s="9" t="s">
        <v>8381</v>
      </c>
      <c r="C775" s="9" t="s">
        <v>3451</v>
      </c>
      <c r="D775" s="79"/>
      <c r="E775" s="79"/>
      <c r="F775" s="79">
        <f t="shared" si="25"/>
        <v>0</v>
      </c>
      <c r="G775" s="80">
        <f t="shared" si="24"/>
        <v>0</v>
      </c>
      <c r="H775" s="81">
        <v>0.25509999999999999</v>
      </c>
      <c r="I775" s="2629" t="s">
        <v>1146</v>
      </c>
    </row>
    <row r="776" spans="1:9" ht="16.5">
      <c r="A776" s="85" t="s">
        <v>3331</v>
      </c>
      <c r="B776" s="9" t="s">
        <v>8382</v>
      </c>
      <c r="C776" s="9" t="s">
        <v>3451</v>
      </c>
      <c r="D776" s="79"/>
      <c r="E776" s="79"/>
      <c r="F776" s="79">
        <f t="shared" si="25"/>
        <v>0</v>
      </c>
      <c r="G776" s="80">
        <f t="shared" si="24"/>
        <v>0</v>
      </c>
      <c r="H776" s="81">
        <v>0.54279999999999995</v>
      </c>
      <c r="I776" s="2629" t="s">
        <v>1146</v>
      </c>
    </row>
    <row r="777" spans="1:9" ht="16.5">
      <c r="A777" s="85" t="s">
        <v>3332</v>
      </c>
      <c r="B777" s="9" t="s">
        <v>8383</v>
      </c>
      <c r="C777" s="9" t="s">
        <v>3451</v>
      </c>
      <c r="D777" s="79"/>
      <c r="E777" s="79"/>
      <c r="F777" s="79">
        <f t="shared" si="25"/>
        <v>0</v>
      </c>
      <c r="G777" s="80">
        <f t="shared" si="24"/>
        <v>0</v>
      </c>
      <c r="H777" s="81">
        <v>0.1157</v>
      </c>
      <c r="I777" s="2629" t="s">
        <v>1146</v>
      </c>
    </row>
    <row r="778" spans="1:9" ht="16.5">
      <c r="A778" s="85" t="s">
        <v>3333</v>
      </c>
      <c r="B778" s="9" t="s">
        <v>8384</v>
      </c>
      <c r="C778" s="9" t="s">
        <v>3451</v>
      </c>
      <c r="D778" s="79"/>
      <c r="E778" s="79"/>
      <c r="F778" s="79">
        <f t="shared" si="25"/>
        <v>0</v>
      </c>
      <c r="G778" s="80">
        <f t="shared" si="24"/>
        <v>0</v>
      </c>
      <c r="H778" s="81">
        <v>0.77890000000000004</v>
      </c>
      <c r="I778" s="2629" t="s">
        <v>1146</v>
      </c>
    </row>
    <row r="779" spans="1:9" ht="16.5">
      <c r="A779" s="85" t="s">
        <v>3334</v>
      </c>
      <c r="B779" s="9" t="s">
        <v>8385</v>
      </c>
      <c r="C779" s="9" t="s">
        <v>3451</v>
      </c>
      <c r="D779" s="79"/>
      <c r="E779" s="79"/>
      <c r="F779" s="79">
        <f t="shared" si="25"/>
        <v>0</v>
      </c>
      <c r="G779" s="80">
        <f t="shared" si="24"/>
        <v>0</v>
      </c>
      <c r="H779" s="81">
        <v>0.72099999999999997</v>
      </c>
      <c r="I779" s="2629" t="s">
        <v>1146</v>
      </c>
    </row>
    <row r="780" spans="1:9" ht="16.5">
      <c r="A780" s="85" t="s">
        <v>3335</v>
      </c>
      <c r="B780" s="9" t="s">
        <v>8386</v>
      </c>
      <c r="C780" s="9" t="s">
        <v>3451</v>
      </c>
      <c r="D780" s="79"/>
      <c r="E780" s="79"/>
      <c r="F780" s="79">
        <f t="shared" si="25"/>
        <v>0</v>
      </c>
      <c r="G780" s="80">
        <f t="shared" si="24"/>
        <v>0</v>
      </c>
      <c r="H780" s="81">
        <v>4.7100000000000003E-2</v>
      </c>
      <c r="I780" s="2629" t="s">
        <v>1146</v>
      </c>
    </row>
    <row r="781" spans="1:9" ht="16.5">
      <c r="A781" s="85" t="s">
        <v>3336</v>
      </c>
      <c r="B781" s="9" t="s">
        <v>8387</v>
      </c>
      <c r="C781" s="9" t="s">
        <v>3451</v>
      </c>
      <c r="D781" s="79"/>
      <c r="E781" s="79"/>
      <c r="F781" s="79">
        <f t="shared" si="25"/>
        <v>0</v>
      </c>
      <c r="G781" s="80">
        <f t="shared" si="24"/>
        <v>0</v>
      </c>
      <c r="H781" s="81">
        <v>7.2499999999999995E-2</v>
      </c>
      <c r="I781" s="2629" t="s">
        <v>1146</v>
      </c>
    </row>
    <row r="782" spans="1:9" ht="16.5">
      <c r="A782" s="85" t="s">
        <v>3337</v>
      </c>
      <c r="B782" s="9" t="s">
        <v>8388</v>
      </c>
      <c r="C782" s="9" t="s">
        <v>3451</v>
      </c>
      <c r="D782" s="79"/>
      <c r="E782" s="79"/>
      <c r="F782" s="79">
        <f t="shared" si="25"/>
        <v>0</v>
      </c>
      <c r="G782" s="80">
        <f t="shared" si="24"/>
        <v>0</v>
      </c>
      <c r="H782" s="81">
        <v>0.95220000000000005</v>
      </c>
      <c r="I782" s="2629" t="s">
        <v>1146</v>
      </c>
    </row>
    <row r="783" spans="1:9" ht="16.5">
      <c r="A783" s="85" t="s">
        <v>3338</v>
      </c>
      <c r="B783" s="9" t="s">
        <v>8389</v>
      </c>
      <c r="C783" s="9" t="s">
        <v>3451</v>
      </c>
      <c r="D783" s="86"/>
      <c r="E783" s="86"/>
      <c r="F783" s="79">
        <f t="shared" si="25"/>
        <v>0</v>
      </c>
      <c r="G783" s="80">
        <f t="shared" si="24"/>
        <v>0</v>
      </c>
      <c r="H783" s="81">
        <v>0.45450000000000002</v>
      </c>
      <c r="I783" s="2629" t="s">
        <v>1146</v>
      </c>
    </row>
    <row r="784" spans="1:9" ht="16.5">
      <c r="A784" s="85" t="s">
        <v>3339</v>
      </c>
      <c r="B784" s="9" t="s">
        <v>8390</v>
      </c>
      <c r="C784" s="9" t="s">
        <v>3451</v>
      </c>
      <c r="D784" s="86"/>
      <c r="E784" s="86"/>
      <c r="F784" s="79">
        <f t="shared" si="25"/>
        <v>0</v>
      </c>
      <c r="G784" s="80">
        <f t="shared" si="24"/>
        <v>0</v>
      </c>
      <c r="H784" s="81">
        <v>0.3911</v>
      </c>
      <c r="I784" s="2629" t="s">
        <v>1146</v>
      </c>
    </row>
    <row r="785" spans="1:9" ht="16.5">
      <c r="A785" s="85" t="s">
        <v>3340</v>
      </c>
      <c r="B785" s="9" t="s">
        <v>8391</v>
      </c>
      <c r="C785" s="9" t="s">
        <v>3451</v>
      </c>
      <c r="D785" s="86"/>
      <c r="E785" s="86"/>
      <c r="F785" s="79">
        <f t="shared" si="25"/>
        <v>0</v>
      </c>
      <c r="G785" s="80">
        <f t="shared" si="24"/>
        <v>0</v>
      </c>
      <c r="H785" s="81">
        <v>1.3</v>
      </c>
      <c r="I785" s="2629" t="s">
        <v>1146</v>
      </c>
    </row>
    <row r="786" spans="1:9" ht="16.5">
      <c r="A786" s="85" t="s">
        <v>3341</v>
      </c>
      <c r="B786" s="9" t="s">
        <v>8392</v>
      </c>
      <c r="C786" s="9" t="s">
        <v>3451</v>
      </c>
      <c r="D786" s="86"/>
      <c r="E786" s="86"/>
      <c r="F786" s="79">
        <f t="shared" si="25"/>
        <v>0</v>
      </c>
      <c r="G786" s="80">
        <f t="shared" si="24"/>
        <v>0</v>
      </c>
      <c r="H786" s="81">
        <v>0.1366</v>
      </c>
      <c r="I786" s="2629" t="s">
        <v>1146</v>
      </c>
    </row>
    <row r="787" spans="1:9" ht="16.5">
      <c r="A787" s="85" t="s">
        <v>3342</v>
      </c>
      <c r="B787" s="9" t="s">
        <v>8393</v>
      </c>
      <c r="C787" s="9" t="s">
        <v>3451</v>
      </c>
      <c r="D787" s="86"/>
      <c r="E787" s="86"/>
      <c r="F787" s="79">
        <f t="shared" si="25"/>
        <v>0</v>
      </c>
      <c r="G787" s="80">
        <f t="shared" si="24"/>
        <v>0</v>
      </c>
      <c r="H787" s="81">
        <v>1.0860000000000001</v>
      </c>
      <c r="I787" s="2630" t="s">
        <v>1146</v>
      </c>
    </row>
    <row r="788" spans="1:9" ht="17.649999999999999" customHeight="1">
      <c r="A788" s="85" t="s">
        <v>3343</v>
      </c>
      <c r="B788" s="9" t="s">
        <v>8394</v>
      </c>
      <c r="C788" s="9" t="s">
        <v>3451</v>
      </c>
      <c r="D788" s="86"/>
      <c r="E788" s="86"/>
      <c r="F788" s="79">
        <f t="shared" si="25"/>
        <v>0</v>
      </c>
      <c r="G788" s="80">
        <f t="shared" si="24"/>
        <v>0</v>
      </c>
      <c r="H788" s="81">
        <v>0.29430000000000001</v>
      </c>
      <c r="I788" s="2630" t="s">
        <v>1146</v>
      </c>
    </row>
    <row r="789" spans="1:9" ht="16.5">
      <c r="A789" s="85" t="s">
        <v>3344</v>
      </c>
      <c r="B789" s="87" t="s">
        <v>8395</v>
      </c>
      <c r="C789" s="9" t="s">
        <v>3451</v>
      </c>
      <c r="D789" s="86"/>
      <c r="E789" s="86"/>
      <c r="F789" s="79">
        <f t="shared" si="25"/>
        <v>0</v>
      </c>
      <c r="G789" s="80">
        <f t="shared" si="24"/>
        <v>0</v>
      </c>
      <c r="H789" s="88">
        <v>0.83089999999999997</v>
      </c>
      <c r="I789" s="2631" t="s">
        <v>1146</v>
      </c>
    </row>
    <row r="790" spans="1:9" ht="16.5">
      <c r="A790" s="85" t="s">
        <v>3345</v>
      </c>
      <c r="B790" s="87" t="s">
        <v>8396</v>
      </c>
      <c r="C790" s="9" t="s">
        <v>3451</v>
      </c>
      <c r="D790" s="86"/>
      <c r="E790" s="86"/>
      <c r="F790" s="79">
        <f t="shared" si="25"/>
        <v>0</v>
      </c>
      <c r="G790" s="80">
        <f t="shared" si="24"/>
        <v>0</v>
      </c>
      <c r="H790" s="88">
        <v>0.1341</v>
      </c>
      <c r="I790" s="2631" t="s">
        <v>1146</v>
      </c>
    </row>
    <row r="791" spans="1:9" ht="16.5">
      <c r="A791" s="85" t="s">
        <v>3346</v>
      </c>
      <c r="B791" s="87" t="s">
        <v>8397</v>
      </c>
      <c r="C791" s="9" t="s">
        <v>3451</v>
      </c>
      <c r="D791" s="86"/>
      <c r="E791" s="86"/>
      <c r="F791" s="79">
        <f t="shared" si="25"/>
        <v>0</v>
      </c>
      <c r="G791" s="80">
        <f t="shared" si="24"/>
        <v>0</v>
      </c>
      <c r="H791" s="88">
        <v>0.66190000000000004</v>
      </c>
      <c r="I791" s="2631" t="s">
        <v>1146</v>
      </c>
    </row>
    <row r="792" spans="1:9" ht="16.5">
      <c r="A792" s="85" t="s">
        <v>3347</v>
      </c>
      <c r="B792" s="87" t="s">
        <v>8398</v>
      </c>
      <c r="C792" s="9" t="s">
        <v>3451</v>
      </c>
      <c r="D792" s="86"/>
      <c r="E792" s="86"/>
      <c r="F792" s="79">
        <f t="shared" si="25"/>
        <v>0</v>
      </c>
      <c r="G792" s="80">
        <f t="shared" si="24"/>
        <v>0</v>
      </c>
      <c r="H792" s="88">
        <v>0.34770000000000001</v>
      </c>
      <c r="I792" s="2631" t="s">
        <v>1146</v>
      </c>
    </row>
    <row r="793" spans="1:9" ht="16.5">
      <c r="A793" s="85" t="s">
        <v>3348</v>
      </c>
      <c r="B793" s="87" t="s">
        <v>8399</v>
      </c>
      <c r="C793" s="9" t="s">
        <v>3451</v>
      </c>
      <c r="D793" s="86"/>
      <c r="E793" s="86"/>
      <c r="F793" s="79">
        <f t="shared" si="25"/>
        <v>0</v>
      </c>
      <c r="G793" s="80">
        <f t="shared" si="24"/>
        <v>0</v>
      </c>
      <c r="H793" s="88">
        <v>-8.5000000000000006E-3</v>
      </c>
      <c r="I793" s="2631" t="s">
        <v>1146</v>
      </c>
    </row>
    <row r="794" spans="1:9" ht="16.5">
      <c r="A794" s="85" t="s">
        <v>3349</v>
      </c>
      <c r="B794" s="87" t="s">
        <v>8400</v>
      </c>
      <c r="C794" s="9" t="s">
        <v>3451</v>
      </c>
      <c r="D794" s="86"/>
      <c r="E794" s="86"/>
      <c r="F794" s="79">
        <f t="shared" si="25"/>
        <v>0</v>
      </c>
      <c r="G794" s="80">
        <f t="shared" si="24"/>
        <v>0</v>
      </c>
      <c r="H794" s="88">
        <v>0.17069999999999999</v>
      </c>
      <c r="I794" s="2631" t="s">
        <v>1146</v>
      </c>
    </row>
    <row r="795" spans="1:9" ht="16.5">
      <c r="A795" s="85" t="s">
        <v>3351</v>
      </c>
      <c r="B795" s="87" t="s">
        <v>8401</v>
      </c>
      <c r="C795" s="9" t="s">
        <v>3451</v>
      </c>
      <c r="D795" s="86"/>
      <c r="E795" s="86"/>
      <c r="F795" s="79">
        <f t="shared" si="25"/>
        <v>0</v>
      </c>
      <c r="G795" s="80">
        <f t="shared" si="24"/>
        <v>0</v>
      </c>
      <c r="H795" s="88">
        <v>0.16869999999999999</v>
      </c>
      <c r="I795" s="2631" t="s">
        <v>1146</v>
      </c>
    </row>
    <row r="796" spans="1:9" ht="16.5">
      <c r="A796" s="85" t="s">
        <v>3352</v>
      </c>
      <c r="B796" s="87" t="s">
        <v>8402</v>
      </c>
      <c r="C796" s="9" t="s">
        <v>3451</v>
      </c>
      <c r="D796" s="86"/>
      <c r="E796" s="86"/>
      <c r="F796" s="79">
        <f t="shared" si="25"/>
        <v>0</v>
      </c>
      <c r="G796" s="80">
        <f t="shared" si="24"/>
        <v>0</v>
      </c>
      <c r="H796" s="88">
        <v>0.49869999999999998</v>
      </c>
      <c r="I796" s="2631" t="s">
        <v>1146</v>
      </c>
    </row>
    <row r="797" spans="1:9" ht="16.5">
      <c r="A797" s="85" t="s">
        <v>3353</v>
      </c>
      <c r="B797" s="87" t="s">
        <v>8403</v>
      </c>
      <c r="C797" s="9" t="s">
        <v>3451</v>
      </c>
      <c r="D797" s="86"/>
      <c r="E797" s="86"/>
      <c r="F797" s="79">
        <f t="shared" si="25"/>
        <v>0</v>
      </c>
      <c r="G797" s="80">
        <f t="shared" si="24"/>
        <v>0</v>
      </c>
      <c r="H797" s="88">
        <v>0.23880000000000001</v>
      </c>
      <c r="I797" s="2631" t="s">
        <v>1146</v>
      </c>
    </row>
    <row r="798" spans="1:9" ht="16.5">
      <c r="A798" s="85" t="s">
        <v>3354</v>
      </c>
      <c r="B798" s="87" t="s">
        <v>8404</v>
      </c>
      <c r="C798" s="9" t="s">
        <v>3451</v>
      </c>
      <c r="D798" s="86"/>
      <c r="E798" s="86"/>
      <c r="F798" s="79">
        <f t="shared" si="25"/>
        <v>0</v>
      </c>
      <c r="G798" s="80">
        <f t="shared" si="24"/>
        <v>0</v>
      </c>
      <c r="H798" s="88">
        <v>9.5100000000000004E-2</v>
      </c>
      <c r="I798" s="2631" t="s">
        <v>1146</v>
      </c>
    </row>
    <row r="799" spans="1:9" ht="16.5">
      <c r="A799" s="85" t="s">
        <v>3355</v>
      </c>
      <c r="B799" s="87" t="s">
        <v>8405</v>
      </c>
      <c r="C799" s="9" t="s">
        <v>3451</v>
      </c>
      <c r="D799" s="86"/>
      <c r="E799" s="86"/>
      <c r="F799" s="79">
        <f t="shared" si="25"/>
        <v>0</v>
      </c>
      <c r="G799" s="80">
        <f t="shared" si="24"/>
        <v>0</v>
      </c>
      <c r="H799" s="88">
        <v>0.16900000000000001</v>
      </c>
      <c r="I799" s="2631" t="s">
        <v>1146</v>
      </c>
    </row>
    <row r="800" spans="1:9" ht="16.5">
      <c r="A800" s="85" t="s">
        <v>3356</v>
      </c>
      <c r="B800" s="87" t="s">
        <v>8406</v>
      </c>
      <c r="C800" s="9" t="s">
        <v>3451</v>
      </c>
      <c r="D800" s="86"/>
      <c r="E800" s="86"/>
      <c r="F800" s="79">
        <f t="shared" si="25"/>
        <v>0</v>
      </c>
      <c r="G800" s="80">
        <f t="shared" si="24"/>
        <v>0</v>
      </c>
      <c r="H800" s="88">
        <v>0.3478</v>
      </c>
      <c r="I800" s="2631" t="s">
        <v>1146</v>
      </c>
    </row>
    <row r="801" spans="1:9" ht="16.5">
      <c r="A801" s="85" t="s">
        <v>3357</v>
      </c>
      <c r="B801" s="87" t="s">
        <v>8407</v>
      </c>
      <c r="C801" s="9" t="s">
        <v>3451</v>
      </c>
      <c r="D801" s="86"/>
      <c r="E801" s="86"/>
      <c r="F801" s="79">
        <f t="shared" si="25"/>
        <v>0</v>
      </c>
      <c r="G801" s="80">
        <f t="shared" si="24"/>
        <v>0</v>
      </c>
      <c r="H801" s="88">
        <v>0.1376</v>
      </c>
      <c r="I801" s="2631" t="s">
        <v>1146</v>
      </c>
    </row>
    <row r="802" spans="1:9" ht="16.5">
      <c r="A802" s="85" t="s">
        <v>3358</v>
      </c>
      <c r="B802" s="87" t="s">
        <v>8408</v>
      </c>
      <c r="C802" s="9" t="s">
        <v>3451</v>
      </c>
      <c r="D802" s="86"/>
      <c r="E802" s="86"/>
      <c r="F802" s="79">
        <f t="shared" si="25"/>
        <v>0</v>
      </c>
      <c r="G802" s="80">
        <f t="shared" si="24"/>
        <v>0</v>
      </c>
      <c r="H802" s="88">
        <v>3.3000000000000002E-2</v>
      </c>
      <c r="I802" s="2631" t="s">
        <v>1146</v>
      </c>
    </row>
    <row r="803" spans="1:9" ht="16.5">
      <c r="A803" s="85" t="s">
        <v>3359</v>
      </c>
      <c r="B803" s="87" t="s">
        <v>8409</v>
      </c>
      <c r="C803" s="9" t="s">
        <v>3451</v>
      </c>
      <c r="D803" s="86"/>
      <c r="E803" s="86"/>
      <c r="F803" s="79">
        <f t="shared" si="25"/>
        <v>0</v>
      </c>
      <c r="G803" s="80">
        <f t="shared" si="24"/>
        <v>0</v>
      </c>
      <c r="H803" s="88">
        <v>0.13539999999999999</v>
      </c>
      <c r="I803" s="2631" t="s">
        <v>1146</v>
      </c>
    </row>
    <row r="804" spans="1:9" ht="16.5">
      <c r="A804" s="85" t="s">
        <v>3360</v>
      </c>
      <c r="B804" s="87" t="s">
        <v>8410</v>
      </c>
      <c r="C804" s="9" t="s">
        <v>3451</v>
      </c>
      <c r="D804" s="86"/>
      <c r="E804" s="86"/>
      <c r="F804" s="79">
        <f t="shared" si="25"/>
        <v>0</v>
      </c>
      <c r="G804" s="80">
        <f t="shared" si="24"/>
        <v>0</v>
      </c>
      <c r="H804" s="88">
        <v>0.45479999999999998</v>
      </c>
      <c r="I804" s="2631" t="s">
        <v>1146</v>
      </c>
    </row>
    <row r="805" spans="1:9" ht="16.5">
      <c r="A805" s="85" t="s">
        <v>3361</v>
      </c>
      <c r="B805" s="87" t="s">
        <v>8411</v>
      </c>
      <c r="C805" s="9" t="s">
        <v>3451</v>
      </c>
      <c r="D805" s="86"/>
      <c r="E805" s="86"/>
      <c r="F805" s="79">
        <f t="shared" si="25"/>
        <v>0</v>
      </c>
      <c r="G805" s="80">
        <f t="shared" si="24"/>
        <v>0</v>
      </c>
      <c r="H805" s="88">
        <v>0.47160000000000002</v>
      </c>
      <c r="I805" s="2631" t="s">
        <v>1146</v>
      </c>
    </row>
    <row r="806" spans="1:9" ht="16.5">
      <c r="A806" s="85" t="s">
        <v>3362</v>
      </c>
      <c r="B806" s="87" t="s">
        <v>8412</v>
      </c>
      <c r="C806" s="9" t="s">
        <v>3451</v>
      </c>
      <c r="D806" s="86"/>
      <c r="E806" s="86"/>
      <c r="F806" s="79">
        <f t="shared" si="25"/>
        <v>0</v>
      </c>
      <c r="G806" s="80">
        <f t="shared" si="24"/>
        <v>0</v>
      </c>
      <c r="H806" s="88">
        <v>0.59730000000000005</v>
      </c>
      <c r="I806" s="2631" t="s">
        <v>1146</v>
      </c>
    </row>
    <row r="807" spans="1:9" ht="16.5">
      <c r="A807" s="85" t="s">
        <v>3363</v>
      </c>
      <c r="B807" s="87" t="s">
        <v>8413</v>
      </c>
      <c r="C807" s="9" t="s">
        <v>3451</v>
      </c>
      <c r="D807" s="86"/>
      <c r="E807" s="86"/>
      <c r="F807" s="79">
        <f t="shared" si="25"/>
        <v>0</v>
      </c>
      <c r="G807" s="80">
        <f t="shared" si="24"/>
        <v>0</v>
      </c>
      <c r="H807" s="88">
        <v>0.1613</v>
      </c>
      <c r="I807" s="2631" t="s">
        <v>1146</v>
      </c>
    </row>
    <row r="808" spans="1:9" ht="16.5">
      <c r="A808" s="85" t="s">
        <v>3364</v>
      </c>
      <c r="B808" s="87" t="s">
        <v>8414</v>
      </c>
      <c r="C808" s="9" t="s">
        <v>3451</v>
      </c>
      <c r="D808" s="86"/>
      <c r="E808" s="86"/>
      <c r="F808" s="79">
        <f t="shared" si="25"/>
        <v>0</v>
      </c>
      <c r="G808" s="80">
        <f t="shared" si="24"/>
        <v>0</v>
      </c>
      <c r="H808" s="88">
        <v>0.44879999999999998</v>
      </c>
      <c r="I808" s="2631" t="s">
        <v>1146</v>
      </c>
    </row>
    <row r="809" spans="1:9" ht="16.5">
      <c r="A809" s="85" t="s">
        <v>3365</v>
      </c>
      <c r="B809" s="87" t="s">
        <v>8415</v>
      </c>
      <c r="C809" s="9" t="s">
        <v>3451</v>
      </c>
      <c r="D809" s="86"/>
      <c r="E809" s="86"/>
      <c r="F809" s="79">
        <f t="shared" si="25"/>
        <v>0</v>
      </c>
      <c r="G809" s="80">
        <f t="shared" si="24"/>
        <v>0</v>
      </c>
      <c r="H809" s="88">
        <v>0.98950000000000005</v>
      </c>
      <c r="I809" s="2631" t="s">
        <v>1146</v>
      </c>
    </row>
    <row r="810" spans="1:9" ht="16.5">
      <c r="A810" s="85" t="s">
        <v>3366</v>
      </c>
      <c r="B810" s="87" t="s">
        <v>8416</v>
      </c>
      <c r="C810" s="9" t="s">
        <v>3451</v>
      </c>
      <c r="D810" s="86"/>
      <c r="E810" s="86"/>
      <c r="F810" s="79">
        <f t="shared" si="25"/>
        <v>0</v>
      </c>
      <c r="G810" s="80">
        <f t="shared" si="24"/>
        <v>0</v>
      </c>
      <c r="H810" s="88">
        <v>0.43030000000000002</v>
      </c>
      <c r="I810" s="2631" t="s">
        <v>1146</v>
      </c>
    </row>
    <row r="811" spans="1:9" ht="16.5">
      <c r="A811" s="85" t="s">
        <v>3367</v>
      </c>
      <c r="B811" s="87" t="s">
        <v>8417</v>
      </c>
      <c r="C811" s="9" t="s">
        <v>3451</v>
      </c>
      <c r="D811" s="86"/>
      <c r="E811" s="86"/>
      <c r="F811" s="79">
        <f t="shared" si="25"/>
        <v>0</v>
      </c>
      <c r="G811" s="80">
        <f t="shared" si="24"/>
        <v>0</v>
      </c>
      <c r="H811" s="88">
        <v>0.5958</v>
      </c>
      <c r="I811" s="2631" t="s">
        <v>1146</v>
      </c>
    </row>
    <row r="812" spans="1:9" ht="16.5">
      <c r="A812" s="85" t="s">
        <v>3368</v>
      </c>
      <c r="B812" s="87" t="s">
        <v>8418</v>
      </c>
      <c r="C812" s="9" t="s">
        <v>3451</v>
      </c>
      <c r="D812" s="86"/>
      <c r="E812" s="86"/>
      <c r="F812" s="79">
        <f t="shared" si="25"/>
        <v>0</v>
      </c>
      <c r="G812" s="80">
        <f t="shared" si="24"/>
        <v>0</v>
      </c>
      <c r="H812" s="88">
        <v>7.85E-2</v>
      </c>
      <c r="I812" s="2631" t="s">
        <v>1146</v>
      </c>
    </row>
    <row r="813" spans="1:9" ht="16.5">
      <c r="A813" s="85" t="s">
        <v>3369</v>
      </c>
      <c r="B813" s="87" t="s">
        <v>8419</v>
      </c>
      <c r="C813" s="9" t="s">
        <v>3451</v>
      </c>
      <c r="D813" s="86"/>
      <c r="E813" s="86"/>
      <c r="F813" s="79">
        <f t="shared" si="25"/>
        <v>0</v>
      </c>
      <c r="G813" s="80">
        <f t="shared" si="24"/>
        <v>0</v>
      </c>
      <c r="H813" s="88">
        <v>1.282</v>
      </c>
      <c r="I813" s="2631" t="s">
        <v>1146</v>
      </c>
    </row>
    <row r="814" spans="1:9" ht="16.5">
      <c r="A814" s="85" t="s">
        <v>3370</v>
      </c>
      <c r="B814" s="87" t="s">
        <v>8420</v>
      </c>
      <c r="C814" s="9" t="s">
        <v>3451</v>
      </c>
      <c r="D814" s="86"/>
      <c r="E814" s="86"/>
      <c r="F814" s="79">
        <f t="shared" si="25"/>
        <v>0</v>
      </c>
      <c r="G814" s="80">
        <f t="shared" si="24"/>
        <v>0</v>
      </c>
      <c r="H814" s="88">
        <v>0.42980000000000002</v>
      </c>
      <c r="I814" s="2631" t="s">
        <v>1146</v>
      </c>
    </row>
    <row r="815" spans="1:9" ht="16.5">
      <c r="A815" s="85" t="s">
        <v>3371</v>
      </c>
      <c r="B815" s="87" t="s">
        <v>8421</v>
      </c>
      <c r="C815" s="9" t="s">
        <v>3451</v>
      </c>
      <c r="D815" s="86"/>
      <c r="E815" s="86"/>
      <c r="F815" s="79">
        <f t="shared" si="25"/>
        <v>0</v>
      </c>
      <c r="G815" s="80">
        <f t="shared" si="24"/>
        <v>0</v>
      </c>
      <c r="H815" s="88">
        <v>0.52259999999999995</v>
      </c>
      <c r="I815" s="2631" t="s">
        <v>1146</v>
      </c>
    </row>
    <row r="816" spans="1:9" ht="16.5">
      <c r="A816" s="85" t="s">
        <v>3372</v>
      </c>
      <c r="B816" s="87" t="s">
        <v>8422</v>
      </c>
      <c r="C816" s="9" t="s">
        <v>3451</v>
      </c>
      <c r="D816" s="86"/>
      <c r="E816" s="86"/>
      <c r="F816" s="79">
        <f t="shared" si="25"/>
        <v>0</v>
      </c>
      <c r="G816" s="80">
        <f t="shared" si="24"/>
        <v>0</v>
      </c>
      <c r="H816" s="88">
        <v>6.6699999999999995E-2</v>
      </c>
      <c r="I816" s="2631" t="s">
        <v>1146</v>
      </c>
    </row>
    <row r="817" spans="1:9" ht="16.5">
      <c r="A817" s="85" t="s">
        <v>3373</v>
      </c>
      <c r="B817" s="87" t="s">
        <v>8423</v>
      </c>
      <c r="C817" s="9" t="s">
        <v>3451</v>
      </c>
      <c r="D817" s="86"/>
      <c r="E817" s="86"/>
      <c r="F817" s="79">
        <f t="shared" si="25"/>
        <v>0</v>
      </c>
      <c r="G817" s="80">
        <f t="shared" si="24"/>
        <v>0</v>
      </c>
      <c r="H817" s="88">
        <v>0.32779999999999998</v>
      </c>
      <c r="I817" s="2631" t="s">
        <v>1146</v>
      </c>
    </row>
    <row r="818" spans="1:9" ht="16.5">
      <c r="A818" s="85" t="s">
        <v>3374</v>
      </c>
      <c r="B818" s="87" t="s">
        <v>8424</v>
      </c>
      <c r="C818" s="9" t="s">
        <v>3451</v>
      </c>
      <c r="D818" s="86"/>
      <c r="E818" s="86"/>
      <c r="F818" s="79">
        <f t="shared" si="25"/>
        <v>0</v>
      </c>
      <c r="G818" s="80">
        <f t="shared" si="24"/>
        <v>0</v>
      </c>
      <c r="H818" s="88">
        <v>-1.66E-2</v>
      </c>
      <c r="I818" s="2631" t="s">
        <v>1146</v>
      </c>
    </row>
    <row r="819" spans="1:9" ht="16.5">
      <c r="A819" s="85" t="s">
        <v>3375</v>
      </c>
      <c r="B819" s="87" t="s">
        <v>8425</v>
      </c>
      <c r="C819" s="9" t="s">
        <v>3451</v>
      </c>
      <c r="D819" s="86"/>
      <c r="E819" s="86"/>
      <c r="F819" s="79">
        <f t="shared" ref="F819:F828" si="26">D819*E819</f>
        <v>0</v>
      </c>
      <c r="G819" s="80">
        <f t="shared" ref="G819:G828" si="27">IF($F$836=0,0,F819/$F$836)</f>
        <v>0</v>
      </c>
      <c r="H819" s="88">
        <v>1.1738</v>
      </c>
      <c r="I819" s="2631" t="s">
        <v>1146</v>
      </c>
    </row>
    <row r="820" spans="1:9" ht="16.5">
      <c r="A820" s="85" t="s">
        <v>3376</v>
      </c>
      <c r="B820" s="87" t="s">
        <v>8426</v>
      </c>
      <c r="C820" s="9" t="s">
        <v>3451</v>
      </c>
      <c r="D820" s="86"/>
      <c r="E820" s="86"/>
      <c r="F820" s="79">
        <f t="shared" si="26"/>
        <v>0</v>
      </c>
      <c r="G820" s="80">
        <f t="shared" si="27"/>
        <v>0</v>
      </c>
      <c r="H820" s="88">
        <v>0.58689999999999998</v>
      </c>
      <c r="I820" s="2631" t="s">
        <v>1146</v>
      </c>
    </row>
    <row r="821" spans="1:9" ht="16.5">
      <c r="A821" s="85" t="s">
        <v>3377</v>
      </c>
      <c r="B821" s="87" t="s">
        <v>8427</v>
      </c>
      <c r="C821" s="9" t="s">
        <v>3451</v>
      </c>
      <c r="D821" s="86"/>
      <c r="E821" s="86"/>
      <c r="F821" s="79">
        <f t="shared" si="26"/>
        <v>0</v>
      </c>
      <c r="G821" s="80">
        <f t="shared" si="27"/>
        <v>0</v>
      </c>
      <c r="H821" s="88">
        <v>0.24060000000000001</v>
      </c>
      <c r="I821" s="2631" t="s">
        <v>1146</v>
      </c>
    </row>
    <row r="822" spans="1:9" ht="16.5">
      <c r="A822" s="85" t="s">
        <v>3378</v>
      </c>
      <c r="B822" s="87" t="s">
        <v>8428</v>
      </c>
      <c r="C822" s="9" t="s">
        <v>3451</v>
      </c>
      <c r="D822" s="86"/>
      <c r="E822" s="86"/>
      <c r="F822" s="79">
        <f t="shared" si="26"/>
        <v>0</v>
      </c>
      <c r="G822" s="80">
        <f t="shared" si="27"/>
        <v>0</v>
      </c>
      <c r="H822" s="88">
        <v>0.64449999999999996</v>
      </c>
      <c r="I822" s="2631" t="s">
        <v>1146</v>
      </c>
    </row>
    <row r="823" spans="1:9" ht="16.5">
      <c r="A823" s="85" t="s">
        <v>2516</v>
      </c>
      <c r="B823" s="87" t="s">
        <v>8429</v>
      </c>
      <c r="C823" s="9" t="s">
        <v>8430</v>
      </c>
      <c r="D823" s="86"/>
      <c r="E823" s="86"/>
      <c r="F823" s="79">
        <f t="shared" si="26"/>
        <v>0</v>
      </c>
      <c r="G823" s="80">
        <f t="shared" si="27"/>
        <v>0</v>
      </c>
      <c r="H823" s="88">
        <v>0.93669999999999998</v>
      </c>
      <c r="I823" s="2631" t="s">
        <v>1146</v>
      </c>
    </row>
    <row r="824" spans="1:9" ht="16.5">
      <c r="A824" s="85" t="s">
        <v>2517</v>
      </c>
      <c r="B824" s="87" t="s">
        <v>8431</v>
      </c>
      <c r="C824" s="9" t="s">
        <v>8430</v>
      </c>
      <c r="D824" s="86"/>
      <c r="E824" s="86"/>
      <c r="F824" s="79">
        <f t="shared" si="26"/>
        <v>0</v>
      </c>
      <c r="G824" s="80">
        <f t="shared" si="27"/>
        <v>0</v>
      </c>
      <c r="H824" s="88">
        <v>1.3069</v>
      </c>
      <c r="I824" s="2631" t="s">
        <v>1146</v>
      </c>
    </row>
    <row r="825" spans="1:9" ht="16.5">
      <c r="A825" s="85" t="s">
        <v>2518</v>
      </c>
      <c r="B825" s="87" t="s">
        <v>8432</v>
      </c>
      <c r="C825" s="9" t="s">
        <v>8430</v>
      </c>
      <c r="D825" s="86"/>
      <c r="E825" s="86"/>
      <c r="F825" s="79">
        <f t="shared" si="26"/>
        <v>0</v>
      </c>
      <c r="G825" s="80">
        <f t="shared" si="27"/>
        <v>0</v>
      </c>
      <c r="H825" s="88">
        <v>1.3819999999999999</v>
      </c>
      <c r="I825" s="2631" t="s">
        <v>1146</v>
      </c>
    </row>
    <row r="826" spans="1:9" ht="16.5">
      <c r="A826" s="85" t="s">
        <v>2519</v>
      </c>
      <c r="B826" s="87" t="s">
        <v>8433</v>
      </c>
      <c r="C826" s="9" t="s">
        <v>8430</v>
      </c>
      <c r="D826" s="86"/>
      <c r="E826" s="86"/>
      <c r="F826" s="79">
        <f t="shared" si="26"/>
        <v>0</v>
      </c>
      <c r="G826" s="80">
        <f t="shared" si="27"/>
        <v>0</v>
      </c>
      <c r="H826" s="88">
        <v>1.3447</v>
      </c>
      <c r="I826" s="2631" t="s">
        <v>1146</v>
      </c>
    </row>
    <row r="827" spans="1:9" ht="16.5">
      <c r="A827" s="85" t="s">
        <v>3434</v>
      </c>
      <c r="B827" s="87" t="s">
        <v>8434</v>
      </c>
      <c r="C827" s="9" t="s">
        <v>8430</v>
      </c>
      <c r="D827" s="86"/>
      <c r="E827" s="86"/>
      <c r="F827" s="79">
        <f t="shared" si="26"/>
        <v>0</v>
      </c>
      <c r="G827" s="80">
        <f t="shared" si="27"/>
        <v>0</v>
      </c>
      <c r="H827" s="88">
        <v>1.2496</v>
      </c>
      <c r="I827" s="2631" t="s">
        <v>1146</v>
      </c>
    </row>
    <row r="828" spans="1:9" ht="16.5">
      <c r="A828" s="85" t="s">
        <v>2520</v>
      </c>
      <c r="B828" s="87" t="s">
        <v>8435</v>
      </c>
      <c r="C828" s="9" t="s">
        <v>8430</v>
      </c>
      <c r="D828" s="86"/>
      <c r="E828" s="86"/>
      <c r="F828" s="79">
        <f t="shared" si="26"/>
        <v>0</v>
      </c>
      <c r="G828" s="80">
        <f t="shared" si="27"/>
        <v>0</v>
      </c>
      <c r="H828" s="88">
        <v>1.2497</v>
      </c>
      <c r="I828" s="2631" t="s">
        <v>1146</v>
      </c>
    </row>
    <row r="829" spans="1:9" ht="16.5">
      <c r="A829" s="85"/>
      <c r="B829" s="87"/>
      <c r="C829" s="9"/>
      <c r="D829" s="86"/>
      <c r="E829" s="86"/>
      <c r="F829" s="79"/>
      <c r="G829" s="80"/>
      <c r="H829" s="88"/>
      <c r="I829" s="11"/>
    </row>
    <row r="830" spans="1:9" ht="16.5">
      <c r="A830" s="85"/>
      <c r="B830" s="87"/>
      <c r="C830" s="9"/>
      <c r="D830" s="86"/>
      <c r="E830" s="86"/>
      <c r="F830" s="79"/>
      <c r="G830" s="80"/>
      <c r="H830" s="88"/>
      <c r="I830" s="11"/>
    </row>
    <row r="831" spans="1:9" ht="16.5">
      <c r="A831" s="85"/>
      <c r="B831" s="87"/>
      <c r="C831" s="9"/>
      <c r="D831" s="86"/>
      <c r="E831" s="86"/>
      <c r="F831" s="79"/>
      <c r="G831" s="80"/>
      <c r="H831" s="88"/>
      <c r="I831" s="11"/>
    </row>
    <row r="832" spans="1:9" ht="16.5">
      <c r="A832" s="85"/>
      <c r="B832" s="87"/>
      <c r="C832" s="9"/>
      <c r="D832" s="86"/>
      <c r="E832" s="86"/>
      <c r="F832" s="79"/>
      <c r="G832" s="80"/>
      <c r="H832" s="88"/>
      <c r="I832" s="2360"/>
    </row>
    <row r="833" spans="1:9" ht="16.5">
      <c r="A833" s="85"/>
      <c r="B833" s="87"/>
      <c r="C833" s="9"/>
      <c r="D833" s="86"/>
      <c r="E833" s="86"/>
      <c r="F833" s="79"/>
      <c r="G833" s="80"/>
      <c r="H833" s="81"/>
      <c r="I833" s="83"/>
    </row>
    <row r="834" spans="1:9" ht="16.5">
      <c r="A834" s="85"/>
      <c r="B834" s="87"/>
      <c r="C834" s="9"/>
      <c r="D834" s="86"/>
      <c r="E834" s="86"/>
      <c r="F834" s="79"/>
      <c r="G834" s="80"/>
      <c r="H834" s="81"/>
      <c r="I834" s="10"/>
    </row>
    <row r="835" spans="1:9" ht="16.5" thickBot="1">
      <c r="A835" s="89"/>
      <c r="B835" s="90"/>
      <c r="C835" s="91"/>
      <c r="D835" s="92"/>
      <c r="E835" s="92"/>
      <c r="F835" s="92"/>
      <c r="G835" s="93"/>
      <c r="H835" s="94"/>
      <c r="I835" s="95"/>
    </row>
    <row r="836" spans="1:9" ht="16.899999999999999" customHeight="1" thickTop="1" thickBot="1">
      <c r="A836" s="3530" t="s">
        <v>3452</v>
      </c>
      <c r="B836" s="3531"/>
      <c r="C836" s="3531"/>
      <c r="D836" s="3531"/>
      <c r="E836" s="3532"/>
      <c r="F836" s="96">
        <f>SUM(F4:F835)</f>
        <v>0</v>
      </c>
      <c r="G836" s="97">
        <f t="shared" ref="G836" si="28">IF($F$836=0,0,F836/$F$836)</f>
        <v>0</v>
      </c>
      <c r="H836" s="98"/>
      <c r="I836" s="99"/>
    </row>
    <row r="838" spans="1:9" ht="16.5">
      <c r="A838" s="100" t="s">
        <v>3453</v>
      </c>
    </row>
  </sheetData>
  <mergeCells count="1">
    <mergeCell ref="A836:E836"/>
  </mergeCells>
  <phoneticPr fontId="30"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workbookViewId="0">
      <selection activeCell="G9" sqref="G9"/>
    </sheetView>
  </sheetViews>
  <sheetFormatPr defaultColWidth="24.625" defaultRowHeight="15.75"/>
  <cols>
    <col min="1" max="5" width="15.625" style="1844" customWidth="1"/>
    <col min="6" max="6" width="1.625" style="1844" customWidth="1"/>
    <col min="7" max="7" width="30.625" style="1844" customWidth="1"/>
    <col min="8" max="11" width="15.625" style="1844" customWidth="1"/>
    <col min="12" max="256" width="24.625" style="1844"/>
    <col min="257" max="261" width="15.625" style="1844" customWidth="1"/>
    <col min="262" max="262" width="1.625" style="1844" customWidth="1"/>
    <col min="263" max="263" width="30.625" style="1844" customWidth="1"/>
    <col min="264" max="267" width="15.625" style="1844" customWidth="1"/>
    <col min="268" max="512" width="24.625" style="1844"/>
    <col min="513" max="517" width="15.625" style="1844" customWidth="1"/>
    <col min="518" max="518" width="1.625" style="1844" customWidth="1"/>
    <col min="519" max="519" width="30.625" style="1844" customWidth="1"/>
    <col min="520" max="523" width="15.625" style="1844" customWidth="1"/>
    <col min="524" max="768" width="24.625" style="1844"/>
    <col min="769" max="773" width="15.625" style="1844" customWidth="1"/>
    <col min="774" max="774" width="1.625" style="1844" customWidth="1"/>
    <col min="775" max="775" width="30.625" style="1844" customWidth="1"/>
    <col min="776" max="779" width="15.625" style="1844" customWidth="1"/>
    <col min="780" max="1024" width="24.625" style="1844"/>
    <col min="1025" max="1029" width="15.625" style="1844" customWidth="1"/>
    <col min="1030" max="1030" width="1.625" style="1844" customWidth="1"/>
    <col min="1031" max="1031" width="30.625" style="1844" customWidth="1"/>
    <col min="1032" max="1035" width="15.625" style="1844" customWidth="1"/>
    <col min="1036" max="1280" width="24.625" style="1844"/>
    <col min="1281" max="1285" width="15.625" style="1844" customWidth="1"/>
    <col min="1286" max="1286" width="1.625" style="1844" customWidth="1"/>
    <col min="1287" max="1287" width="30.625" style="1844" customWidth="1"/>
    <col min="1288" max="1291" width="15.625" style="1844" customWidth="1"/>
    <col min="1292" max="1536" width="24.625" style="1844"/>
    <col min="1537" max="1541" width="15.625" style="1844" customWidth="1"/>
    <col min="1542" max="1542" width="1.625" style="1844" customWidth="1"/>
    <col min="1543" max="1543" width="30.625" style="1844" customWidth="1"/>
    <col min="1544" max="1547" width="15.625" style="1844" customWidth="1"/>
    <col min="1548" max="1792" width="24.625" style="1844"/>
    <col min="1793" max="1797" width="15.625" style="1844" customWidth="1"/>
    <col min="1798" max="1798" width="1.625" style="1844" customWidth="1"/>
    <col min="1799" max="1799" width="30.625" style="1844" customWidth="1"/>
    <col min="1800" max="1803" width="15.625" style="1844" customWidth="1"/>
    <col min="1804" max="2048" width="24.625" style="1844"/>
    <col min="2049" max="2053" width="15.625" style="1844" customWidth="1"/>
    <col min="2054" max="2054" width="1.625" style="1844" customWidth="1"/>
    <col min="2055" max="2055" width="30.625" style="1844" customWidth="1"/>
    <col min="2056" max="2059" width="15.625" style="1844" customWidth="1"/>
    <col min="2060" max="2304" width="24.625" style="1844"/>
    <col min="2305" max="2309" width="15.625" style="1844" customWidth="1"/>
    <col min="2310" max="2310" width="1.625" style="1844" customWidth="1"/>
    <col min="2311" max="2311" width="30.625" style="1844" customWidth="1"/>
    <col min="2312" max="2315" width="15.625" style="1844" customWidth="1"/>
    <col min="2316" max="2560" width="24.625" style="1844"/>
    <col min="2561" max="2565" width="15.625" style="1844" customWidth="1"/>
    <col min="2566" max="2566" width="1.625" style="1844" customWidth="1"/>
    <col min="2567" max="2567" width="30.625" style="1844" customWidth="1"/>
    <col min="2568" max="2571" width="15.625" style="1844" customWidth="1"/>
    <col min="2572" max="2816" width="24.625" style="1844"/>
    <col min="2817" max="2821" width="15.625" style="1844" customWidth="1"/>
    <col min="2822" max="2822" width="1.625" style="1844" customWidth="1"/>
    <col min="2823" max="2823" width="30.625" style="1844" customWidth="1"/>
    <col min="2824" max="2827" width="15.625" style="1844" customWidth="1"/>
    <col min="2828" max="3072" width="24.625" style="1844"/>
    <col min="3073" max="3077" width="15.625" style="1844" customWidth="1"/>
    <col min="3078" max="3078" width="1.625" style="1844" customWidth="1"/>
    <col min="3079" max="3079" width="30.625" style="1844" customWidth="1"/>
    <col min="3080" max="3083" width="15.625" style="1844" customWidth="1"/>
    <col min="3084" max="3328" width="24.625" style="1844"/>
    <col min="3329" max="3333" width="15.625" style="1844" customWidth="1"/>
    <col min="3334" max="3334" width="1.625" style="1844" customWidth="1"/>
    <col min="3335" max="3335" width="30.625" style="1844" customWidth="1"/>
    <col min="3336" max="3339" width="15.625" style="1844" customWidth="1"/>
    <col min="3340" max="3584" width="24.625" style="1844"/>
    <col min="3585" max="3589" width="15.625" style="1844" customWidth="1"/>
    <col min="3590" max="3590" width="1.625" style="1844" customWidth="1"/>
    <col min="3591" max="3591" width="30.625" style="1844" customWidth="1"/>
    <col min="3592" max="3595" width="15.625" style="1844" customWidth="1"/>
    <col min="3596" max="3840" width="24.625" style="1844"/>
    <col min="3841" max="3845" width="15.625" style="1844" customWidth="1"/>
    <col min="3846" max="3846" width="1.625" style="1844" customWidth="1"/>
    <col min="3847" max="3847" width="30.625" style="1844" customWidth="1"/>
    <col min="3848" max="3851" width="15.625" style="1844" customWidth="1"/>
    <col min="3852" max="4096" width="24.625" style="1844"/>
    <col min="4097" max="4101" width="15.625" style="1844" customWidth="1"/>
    <col min="4102" max="4102" width="1.625" style="1844" customWidth="1"/>
    <col min="4103" max="4103" width="30.625" style="1844" customWidth="1"/>
    <col min="4104" max="4107" width="15.625" style="1844" customWidth="1"/>
    <col min="4108" max="4352" width="24.625" style="1844"/>
    <col min="4353" max="4357" width="15.625" style="1844" customWidth="1"/>
    <col min="4358" max="4358" width="1.625" style="1844" customWidth="1"/>
    <col min="4359" max="4359" width="30.625" style="1844" customWidth="1"/>
    <col min="4360" max="4363" width="15.625" style="1844" customWidth="1"/>
    <col min="4364" max="4608" width="24.625" style="1844"/>
    <col min="4609" max="4613" width="15.625" style="1844" customWidth="1"/>
    <col min="4614" max="4614" width="1.625" style="1844" customWidth="1"/>
    <col min="4615" max="4615" width="30.625" style="1844" customWidth="1"/>
    <col min="4616" max="4619" width="15.625" style="1844" customWidth="1"/>
    <col min="4620" max="4864" width="24.625" style="1844"/>
    <col min="4865" max="4869" width="15.625" style="1844" customWidth="1"/>
    <col min="4870" max="4870" width="1.625" style="1844" customWidth="1"/>
    <col min="4871" max="4871" width="30.625" style="1844" customWidth="1"/>
    <col min="4872" max="4875" width="15.625" style="1844" customWidth="1"/>
    <col min="4876" max="5120" width="24.625" style="1844"/>
    <col min="5121" max="5125" width="15.625" style="1844" customWidth="1"/>
    <col min="5126" max="5126" width="1.625" style="1844" customWidth="1"/>
    <col min="5127" max="5127" width="30.625" style="1844" customWidth="1"/>
    <col min="5128" max="5131" width="15.625" style="1844" customWidth="1"/>
    <col min="5132" max="5376" width="24.625" style="1844"/>
    <col min="5377" max="5381" width="15.625" style="1844" customWidth="1"/>
    <col min="5382" max="5382" width="1.625" style="1844" customWidth="1"/>
    <col min="5383" max="5383" width="30.625" style="1844" customWidth="1"/>
    <col min="5384" max="5387" width="15.625" style="1844" customWidth="1"/>
    <col min="5388" max="5632" width="24.625" style="1844"/>
    <col min="5633" max="5637" width="15.625" style="1844" customWidth="1"/>
    <col min="5638" max="5638" width="1.625" style="1844" customWidth="1"/>
    <col min="5639" max="5639" width="30.625" style="1844" customWidth="1"/>
    <col min="5640" max="5643" width="15.625" style="1844" customWidth="1"/>
    <col min="5644" max="5888" width="24.625" style="1844"/>
    <col min="5889" max="5893" width="15.625" style="1844" customWidth="1"/>
    <col min="5894" max="5894" width="1.625" style="1844" customWidth="1"/>
    <col min="5895" max="5895" width="30.625" style="1844" customWidth="1"/>
    <col min="5896" max="5899" width="15.625" style="1844" customWidth="1"/>
    <col min="5900" max="6144" width="24.625" style="1844"/>
    <col min="6145" max="6149" width="15.625" style="1844" customWidth="1"/>
    <col min="6150" max="6150" width="1.625" style="1844" customWidth="1"/>
    <col min="6151" max="6151" width="30.625" style="1844" customWidth="1"/>
    <col min="6152" max="6155" width="15.625" style="1844" customWidth="1"/>
    <col min="6156" max="6400" width="24.625" style="1844"/>
    <col min="6401" max="6405" width="15.625" style="1844" customWidth="1"/>
    <col min="6406" max="6406" width="1.625" style="1844" customWidth="1"/>
    <col min="6407" max="6407" width="30.625" style="1844" customWidth="1"/>
    <col min="6408" max="6411" width="15.625" style="1844" customWidth="1"/>
    <col min="6412" max="6656" width="24.625" style="1844"/>
    <col min="6657" max="6661" width="15.625" style="1844" customWidth="1"/>
    <col min="6662" max="6662" width="1.625" style="1844" customWidth="1"/>
    <col min="6663" max="6663" width="30.625" style="1844" customWidth="1"/>
    <col min="6664" max="6667" width="15.625" style="1844" customWidth="1"/>
    <col min="6668" max="6912" width="24.625" style="1844"/>
    <col min="6913" max="6917" width="15.625" style="1844" customWidth="1"/>
    <col min="6918" max="6918" width="1.625" style="1844" customWidth="1"/>
    <col min="6919" max="6919" width="30.625" style="1844" customWidth="1"/>
    <col min="6920" max="6923" width="15.625" style="1844" customWidth="1"/>
    <col min="6924" max="7168" width="24.625" style="1844"/>
    <col min="7169" max="7173" width="15.625" style="1844" customWidth="1"/>
    <col min="7174" max="7174" width="1.625" style="1844" customWidth="1"/>
    <col min="7175" max="7175" width="30.625" style="1844" customWidth="1"/>
    <col min="7176" max="7179" width="15.625" style="1844" customWidth="1"/>
    <col min="7180" max="7424" width="24.625" style="1844"/>
    <col min="7425" max="7429" width="15.625" style="1844" customWidth="1"/>
    <col min="7430" max="7430" width="1.625" style="1844" customWidth="1"/>
    <col min="7431" max="7431" width="30.625" style="1844" customWidth="1"/>
    <col min="7432" max="7435" width="15.625" style="1844" customWidth="1"/>
    <col min="7436" max="7680" width="24.625" style="1844"/>
    <col min="7681" max="7685" width="15.625" style="1844" customWidth="1"/>
    <col min="7686" max="7686" width="1.625" style="1844" customWidth="1"/>
    <col min="7687" max="7687" width="30.625" style="1844" customWidth="1"/>
    <col min="7688" max="7691" width="15.625" style="1844" customWidth="1"/>
    <col min="7692" max="7936" width="24.625" style="1844"/>
    <col min="7937" max="7941" width="15.625" style="1844" customWidth="1"/>
    <col min="7942" max="7942" width="1.625" style="1844" customWidth="1"/>
    <col min="7943" max="7943" width="30.625" style="1844" customWidth="1"/>
    <col min="7944" max="7947" width="15.625" style="1844" customWidth="1"/>
    <col min="7948" max="8192" width="24.625" style="1844"/>
    <col min="8193" max="8197" width="15.625" style="1844" customWidth="1"/>
    <col min="8198" max="8198" width="1.625" style="1844" customWidth="1"/>
    <col min="8199" max="8199" width="30.625" style="1844" customWidth="1"/>
    <col min="8200" max="8203" width="15.625" style="1844" customWidth="1"/>
    <col min="8204" max="8448" width="24.625" style="1844"/>
    <col min="8449" max="8453" width="15.625" style="1844" customWidth="1"/>
    <col min="8454" max="8454" width="1.625" style="1844" customWidth="1"/>
    <col min="8455" max="8455" width="30.625" style="1844" customWidth="1"/>
    <col min="8456" max="8459" width="15.625" style="1844" customWidth="1"/>
    <col min="8460" max="8704" width="24.625" style="1844"/>
    <col min="8705" max="8709" width="15.625" style="1844" customWidth="1"/>
    <col min="8710" max="8710" width="1.625" style="1844" customWidth="1"/>
    <col min="8711" max="8711" width="30.625" style="1844" customWidth="1"/>
    <col min="8712" max="8715" width="15.625" style="1844" customWidth="1"/>
    <col min="8716" max="8960" width="24.625" style="1844"/>
    <col min="8961" max="8965" width="15.625" style="1844" customWidth="1"/>
    <col min="8966" max="8966" width="1.625" style="1844" customWidth="1"/>
    <col min="8967" max="8967" width="30.625" style="1844" customWidth="1"/>
    <col min="8968" max="8971" width="15.625" style="1844" customWidth="1"/>
    <col min="8972" max="9216" width="24.625" style="1844"/>
    <col min="9217" max="9221" width="15.625" style="1844" customWidth="1"/>
    <col min="9222" max="9222" width="1.625" style="1844" customWidth="1"/>
    <col min="9223" max="9223" width="30.625" style="1844" customWidth="1"/>
    <col min="9224" max="9227" width="15.625" style="1844" customWidth="1"/>
    <col min="9228" max="9472" width="24.625" style="1844"/>
    <col min="9473" max="9477" width="15.625" style="1844" customWidth="1"/>
    <col min="9478" max="9478" width="1.625" style="1844" customWidth="1"/>
    <col min="9479" max="9479" width="30.625" style="1844" customWidth="1"/>
    <col min="9480" max="9483" width="15.625" style="1844" customWidth="1"/>
    <col min="9484" max="9728" width="24.625" style="1844"/>
    <col min="9729" max="9733" width="15.625" style="1844" customWidth="1"/>
    <col min="9734" max="9734" width="1.625" style="1844" customWidth="1"/>
    <col min="9735" max="9735" width="30.625" style="1844" customWidth="1"/>
    <col min="9736" max="9739" width="15.625" style="1844" customWidth="1"/>
    <col min="9740" max="9984" width="24.625" style="1844"/>
    <col min="9985" max="9989" width="15.625" style="1844" customWidth="1"/>
    <col min="9990" max="9990" width="1.625" style="1844" customWidth="1"/>
    <col min="9991" max="9991" width="30.625" style="1844" customWidth="1"/>
    <col min="9992" max="9995" width="15.625" style="1844" customWidth="1"/>
    <col min="9996" max="10240" width="24.625" style="1844"/>
    <col min="10241" max="10245" width="15.625" style="1844" customWidth="1"/>
    <col min="10246" max="10246" width="1.625" style="1844" customWidth="1"/>
    <col min="10247" max="10247" width="30.625" style="1844" customWidth="1"/>
    <col min="10248" max="10251" width="15.625" style="1844" customWidth="1"/>
    <col min="10252" max="10496" width="24.625" style="1844"/>
    <col min="10497" max="10501" width="15.625" style="1844" customWidth="1"/>
    <col min="10502" max="10502" width="1.625" style="1844" customWidth="1"/>
    <col min="10503" max="10503" width="30.625" style="1844" customWidth="1"/>
    <col min="10504" max="10507" width="15.625" style="1844" customWidth="1"/>
    <col min="10508" max="10752" width="24.625" style="1844"/>
    <col min="10753" max="10757" width="15.625" style="1844" customWidth="1"/>
    <col min="10758" max="10758" width="1.625" style="1844" customWidth="1"/>
    <col min="10759" max="10759" width="30.625" style="1844" customWidth="1"/>
    <col min="10760" max="10763" width="15.625" style="1844" customWidth="1"/>
    <col min="10764" max="11008" width="24.625" style="1844"/>
    <col min="11009" max="11013" width="15.625" style="1844" customWidth="1"/>
    <col min="11014" max="11014" width="1.625" style="1844" customWidth="1"/>
    <col min="11015" max="11015" width="30.625" style="1844" customWidth="1"/>
    <col min="11016" max="11019" width="15.625" style="1844" customWidth="1"/>
    <col min="11020" max="11264" width="24.625" style="1844"/>
    <col min="11265" max="11269" width="15.625" style="1844" customWidth="1"/>
    <col min="11270" max="11270" width="1.625" style="1844" customWidth="1"/>
    <col min="11271" max="11271" width="30.625" style="1844" customWidth="1"/>
    <col min="11272" max="11275" width="15.625" style="1844" customWidth="1"/>
    <col min="11276" max="11520" width="24.625" style="1844"/>
    <col min="11521" max="11525" width="15.625" style="1844" customWidth="1"/>
    <col min="11526" max="11526" width="1.625" style="1844" customWidth="1"/>
    <col min="11527" max="11527" width="30.625" style="1844" customWidth="1"/>
    <col min="11528" max="11531" width="15.625" style="1844" customWidth="1"/>
    <col min="11532" max="11776" width="24.625" style="1844"/>
    <col min="11777" max="11781" width="15.625" style="1844" customWidth="1"/>
    <col min="11782" max="11782" width="1.625" style="1844" customWidth="1"/>
    <col min="11783" max="11783" width="30.625" style="1844" customWidth="1"/>
    <col min="11784" max="11787" width="15.625" style="1844" customWidth="1"/>
    <col min="11788" max="12032" width="24.625" style="1844"/>
    <col min="12033" max="12037" width="15.625" style="1844" customWidth="1"/>
    <col min="12038" max="12038" width="1.625" style="1844" customWidth="1"/>
    <col min="12039" max="12039" width="30.625" style="1844" customWidth="1"/>
    <col min="12040" max="12043" width="15.625" style="1844" customWidth="1"/>
    <col min="12044" max="12288" width="24.625" style="1844"/>
    <col min="12289" max="12293" width="15.625" style="1844" customWidth="1"/>
    <col min="12294" max="12294" width="1.625" style="1844" customWidth="1"/>
    <col min="12295" max="12295" width="30.625" style="1844" customWidth="1"/>
    <col min="12296" max="12299" width="15.625" style="1844" customWidth="1"/>
    <col min="12300" max="12544" width="24.625" style="1844"/>
    <col min="12545" max="12549" width="15.625" style="1844" customWidth="1"/>
    <col min="12550" max="12550" width="1.625" style="1844" customWidth="1"/>
    <col min="12551" max="12551" width="30.625" style="1844" customWidth="1"/>
    <col min="12552" max="12555" width="15.625" style="1844" customWidth="1"/>
    <col min="12556" max="12800" width="24.625" style="1844"/>
    <col min="12801" max="12805" width="15.625" style="1844" customWidth="1"/>
    <col min="12806" max="12806" width="1.625" style="1844" customWidth="1"/>
    <col min="12807" max="12807" width="30.625" style="1844" customWidth="1"/>
    <col min="12808" max="12811" width="15.625" style="1844" customWidth="1"/>
    <col min="12812" max="13056" width="24.625" style="1844"/>
    <col min="13057" max="13061" width="15.625" style="1844" customWidth="1"/>
    <col min="13062" max="13062" width="1.625" style="1844" customWidth="1"/>
    <col min="13063" max="13063" width="30.625" style="1844" customWidth="1"/>
    <col min="13064" max="13067" width="15.625" style="1844" customWidth="1"/>
    <col min="13068" max="13312" width="24.625" style="1844"/>
    <col min="13313" max="13317" width="15.625" style="1844" customWidth="1"/>
    <col min="13318" max="13318" width="1.625" style="1844" customWidth="1"/>
    <col min="13319" max="13319" width="30.625" style="1844" customWidth="1"/>
    <col min="13320" max="13323" width="15.625" style="1844" customWidth="1"/>
    <col min="13324" max="13568" width="24.625" style="1844"/>
    <col min="13569" max="13573" width="15.625" style="1844" customWidth="1"/>
    <col min="13574" max="13574" width="1.625" style="1844" customWidth="1"/>
    <col min="13575" max="13575" width="30.625" style="1844" customWidth="1"/>
    <col min="13576" max="13579" width="15.625" style="1844" customWidth="1"/>
    <col min="13580" max="13824" width="24.625" style="1844"/>
    <col min="13825" max="13829" width="15.625" style="1844" customWidth="1"/>
    <col min="13830" max="13830" width="1.625" style="1844" customWidth="1"/>
    <col min="13831" max="13831" width="30.625" style="1844" customWidth="1"/>
    <col min="13832" max="13835" width="15.625" style="1844" customWidth="1"/>
    <col min="13836" max="14080" width="24.625" style="1844"/>
    <col min="14081" max="14085" width="15.625" style="1844" customWidth="1"/>
    <col min="14086" max="14086" width="1.625" style="1844" customWidth="1"/>
    <col min="14087" max="14087" width="30.625" style="1844" customWidth="1"/>
    <col min="14088" max="14091" width="15.625" style="1844" customWidth="1"/>
    <col min="14092" max="14336" width="24.625" style="1844"/>
    <col min="14337" max="14341" width="15.625" style="1844" customWidth="1"/>
    <col min="14342" max="14342" width="1.625" style="1844" customWidth="1"/>
    <col min="14343" max="14343" width="30.625" style="1844" customWidth="1"/>
    <col min="14344" max="14347" width="15.625" style="1844" customWidth="1"/>
    <col min="14348" max="14592" width="24.625" style="1844"/>
    <col min="14593" max="14597" width="15.625" style="1844" customWidth="1"/>
    <col min="14598" max="14598" width="1.625" style="1844" customWidth="1"/>
    <col min="14599" max="14599" width="30.625" style="1844" customWidth="1"/>
    <col min="14600" max="14603" width="15.625" style="1844" customWidth="1"/>
    <col min="14604" max="14848" width="24.625" style="1844"/>
    <col min="14849" max="14853" width="15.625" style="1844" customWidth="1"/>
    <col min="14854" max="14854" width="1.625" style="1844" customWidth="1"/>
    <col min="14855" max="14855" width="30.625" style="1844" customWidth="1"/>
    <col min="14856" max="14859" width="15.625" style="1844" customWidth="1"/>
    <col min="14860" max="15104" width="24.625" style="1844"/>
    <col min="15105" max="15109" width="15.625" style="1844" customWidth="1"/>
    <col min="15110" max="15110" width="1.625" style="1844" customWidth="1"/>
    <col min="15111" max="15111" width="30.625" style="1844" customWidth="1"/>
    <col min="15112" max="15115" width="15.625" style="1844" customWidth="1"/>
    <col min="15116" max="15360" width="24.625" style="1844"/>
    <col min="15361" max="15365" width="15.625" style="1844" customWidth="1"/>
    <col min="15366" max="15366" width="1.625" style="1844" customWidth="1"/>
    <col min="15367" max="15367" width="30.625" style="1844" customWidth="1"/>
    <col min="15368" max="15371" width="15.625" style="1844" customWidth="1"/>
    <col min="15372" max="15616" width="24.625" style="1844"/>
    <col min="15617" max="15621" width="15.625" style="1844" customWidth="1"/>
    <col min="15622" max="15622" width="1.625" style="1844" customWidth="1"/>
    <col min="15623" max="15623" width="30.625" style="1844" customWidth="1"/>
    <col min="15624" max="15627" width="15.625" style="1844" customWidth="1"/>
    <col min="15628" max="15872" width="24.625" style="1844"/>
    <col min="15873" max="15877" width="15.625" style="1844" customWidth="1"/>
    <col min="15878" max="15878" width="1.625" style="1844" customWidth="1"/>
    <col min="15879" max="15879" width="30.625" style="1844" customWidth="1"/>
    <col min="15880" max="15883" width="15.625" style="1844" customWidth="1"/>
    <col min="15884" max="16128" width="24.625" style="1844"/>
    <col min="16129" max="16133" width="15.625" style="1844" customWidth="1"/>
    <col min="16134" max="16134" width="1.625" style="1844" customWidth="1"/>
    <col min="16135" max="16135" width="30.625" style="1844" customWidth="1"/>
    <col min="16136" max="16139" width="15.625" style="1844" customWidth="1"/>
    <col min="16140" max="16384" width="24.625" style="1844"/>
  </cols>
  <sheetData>
    <row r="1" spans="1:11" ht="16.5">
      <c r="A1" s="1844" t="str">
        <f>+封面!A3&amp;" "&amp;封面!A2</f>
        <v xml:space="preserve"> 中央再保險股份有限公司 年度檢查報表</v>
      </c>
      <c r="G1" s="1894" t="s">
        <v>5703</v>
      </c>
      <c r="H1" s="2796">
        <v>45471</v>
      </c>
    </row>
    <row r="2" spans="1:11" ht="16.5">
      <c r="A2" s="2802" t="s">
        <v>8575</v>
      </c>
      <c r="G2" s="1894" t="s">
        <v>5704</v>
      </c>
      <c r="H2" s="2348">
        <f>IF(MONTH(H1)=12,VALUE(CONCATENATE(YEAR(H1)-2,"/",1,"/",1)),
IF(MONTH(H1)=6,VALUE(CONCATENATE(YEAR(H1)-3,"/",7,"/",1)),))</f>
        <v>44378</v>
      </c>
      <c r="I2" s="2349"/>
    </row>
    <row r="3" spans="1:11" s="1897" customFormat="1" ht="63">
      <c r="A3" s="1855" t="s">
        <v>5705</v>
      </c>
      <c r="B3" s="1855" t="s">
        <v>5706</v>
      </c>
      <c r="C3" s="1855" t="s">
        <v>5707</v>
      </c>
      <c r="D3" s="1855" t="s">
        <v>1370</v>
      </c>
      <c r="E3" s="1855" t="s">
        <v>1371</v>
      </c>
      <c r="G3" s="1855" t="s">
        <v>5708</v>
      </c>
      <c r="H3" s="1855" t="s">
        <v>5706</v>
      </c>
      <c r="I3" s="1855" t="s">
        <v>5707</v>
      </c>
      <c r="J3" s="1855" t="s">
        <v>1370</v>
      </c>
      <c r="K3" s="1855" t="s">
        <v>1371</v>
      </c>
    </row>
    <row r="4" spans="1:11" s="2353" customFormat="1" ht="16.5">
      <c r="A4" s="2350" t="s">
        <v>5709</v>
      </c>
      <c r="B4" s="2350" t="s">
        <v>5710</v>
      </c>
      <c r="C4" s="2350" t="s">
        <v>5710</v>
      </c>
      <c r="D4" s="2350" t="s">
        <v>5710</v>
      </c>
      <c r="E4" s="2350" t="s">
        <v>5710</v>
      </c>
      <c r="G4" s="2350" t="s">
        <v>5711</v>
      </c>
      <c r="H4" s="2354">
        <f t="array" aca="1" ref="H4" ca="1">VLOOKUP(MAX((OFFSET($A$5,,,9999,)&lt;=$H$1)*OFFSET($A$5,,,9999,)*(OFFSET(B$5,,,9999,)&lt;&gt;"")),OFFSET($A$5,,,9999,5),2,FALSE)</f>
        <v>50048.9</v>
      </c>
      <c r="I4" s="2354">
        <f t="array" aca="1" ref="I4" ca="1">VLOOKUP(MAX((OFFSET($A$5,,,9999,)&lt;=$H$1)*OFFSET($A$5,,,9999,)*(OFFSET(C$5,,,9999,)&lt;&gt;"")),OFFSET($A$5,,,9999,5),3,FALSE)</f>
        <v>477.12</v>
      </c>
      <c r="J4" s="2354">
        <f t="array" aca="1" ref="J4" ca="1">VLOOKUP(MAX((OFFSET($A$5,,,9999,)&lt;=$H$1)*OFFSET($A$5,,,9999,)*(OFFSET(D$5,,,9999,)&lt;&gt;"")),OFFSET($A$5,,,9999,5),4,FALSE)</f>
        <v>16309.89</v>
      </c>
      <c r="K4" s="2354">
        <f t="array" aca="1" ref="K4" ca="1">VLOOKUP(MAX((OFFSET($A$5,,,9999,)&lt;=$H$1)*OFFSET($A$5,,,9999,)*(OFFSET(E$5,,,9999,)&lt;&gt;"")),OFFSET($A$5,,,9999,5),5,FALSE)</f>
        <v>2843.53</v>
      </c>
    </row>
    <row r="5" spans="1:11" ht="18.75">
      <c r="A5" s="2797">
        <v>45473</v>
      </c>
      <c r="B5" s="2798" t="s">
        <v>1146</v>
      </c>
      <c r="C5" s="2798" t="s">
        <v>1146</v>
      </c>
      <c r="D5" s="2799" t="s">
        <v>1146</v>
      </c>
      <c r="E5" s="2799" t="s">
        <v>1146</v>
      </c>
      <c r="G5" s="2350" t="s">
        <v>5712</v>
      </c>
      <c r="H5" s="2354">
        <f ca="1">AVERAGE(OFFSET(INDIRECT(ADDRESS(MATCH($H$1,OFFSET($A$5,,,9999,),0)+4,COLUMN(B5),1,1)),,,MATCH($H$2,OFFSET($A$5,,,9999,),0)-MATCH($H$1,OFFSET($A$5,,,9999,),0)+1,))</f>
        <v>34974.898219178089</v>
      </c>
      <c r="I5" s="2354">
        <f ca="1">AVERAGE(OFFSET(INDIRECT(ADDRESS(MATCH($H$1,OFFSET($A$5,,,9999,),0)+4,COLUMN(C5),1,1)),,,MATCH($H$2,OFFSET($A$5,,,9999,),0)-MATCH($H$1,OFFSET($A$5,,,9999,),0)+1,))</f>
        <v>357.34452054794519</v>
      </c>
      <c r="J5" s="2354">
        <f ca="1">AVERAGE(OFFSET(INDIRECT(ADDRESS(MATCH($H$1,OFFSET($A$5,,,9999,),0)+4,COLUMN(D5),1,1)),,,MATCH($H$2,OFFSET($A$5,,,9999,),0)-MATCH($H$1,OFFSET($A$5,,,9999,),0)+1,))</f>
        <v>13298.800780051171</v>
      </c>
      <c r="K5" s="2354">
        <f ca="1">AVERAGE(OFFSET(INDIRECT(ADDRESS(MATCH($H$1,OFFSET($A$5,,,9999,),0)+4,COLUMN(E5),1,1)),,,MATCH($H$2,OFFSET($A$5,,,9999,),0)-MATCH($H$1,OFFSET($A$5,,,9999,),0)+1,))</f>
        <v>2640.7346163682869</v>
      </c>
    </row>
    <row r="6" spans="1:11" ht="16.5">
      <c r="A6" s="2797">
        <v>45472</v>
      </c>
      <c r="B6" s="2798" t="s">
        <v>1146</v>
      </c>
      <c r="C6" s="2798" t="s">
        <v>1146</v>
      </c>
      <c r="D6" s="2799" t="s">
        <v>1146</v>
      </c>
      <c r="E6" s="2799" t="s">
        <v>1146</v>
      </c>
      <c r="G6" s="2350" t="s">
        <v>5713</v>
      </c>
      <c r="H6" s="2351">
        <f ca="1">ROUND(MIN(MAX(((H4-H5)/H5-8%)*0.5,-10%),10%)*0.85,4)</f>
        <v>8.5000000000000006E-2</v>
      </c>
      <c r="I6" s="2351">
        <f ca="1">ROUND(MIN(MAX(((I4-I5)/I5-8%)*0.5,-10%),10%)*0.85,4)</f>
        <v>8.5000000000000006E-2</v>
      </c>
      <c r="J6" s="2351">
        <f ca="1">ROUND(MIN(MAX(((J4-J5)/J5-8%)*0.5,-10%),10%)*0.85,4)</f>
        <v>6.2199999999999998E-2</v>
      </c>
      <c r="K6" s="2351">
        <f ca="1">ROUND(MIN(MAX(((K4-K5)/K5-8%)*0.5,-10%),10%)*0.85,4)</f>
        <v>-1.4E-3</v>
      </c>
    </row>
    <row r="7" spans="1:11">
      <c r="A7" s="2797">
        <v>45471</v>
      </c>
      <c r="B7" s="2799">
        <v>50048.9</v>
      </c>
      <c r="C7" s="2799">
        <v>477.12</v>
      </c>
      <c r="D7" s="2799">
        <v>16309.89</v>
      </c>
      <c r="E7" s="2799">
        <v>2843.53</v>
      </c>
      <c r="G7" s="2352"/>
      <c r="H7" s="2349"/>
      <c r="I7" s="2349"/>
      <c r="J7" s="2349"/>
      <c r="K7" s="2349"/>
    </row>
    <row r="8" spans="1:11">
      <c r="A8" s="2797">
        <v>45470</v>
      </c>
      <c r="B8" s="2799">
        <v>49769.18</v>
      </c>
      <c r="C8" s="2799">
        <v>470.09</v>
      </c>
      <c r="D8" s="2799">
        <v>16354.72</v>
      </c>
      <c r="E8" s="2799">
        <v>2831.74</v>
      </c>
      <c r="H8" s="2349"/>
      <c r="I8" s="2349"/>
      <c r="J8" s="2349"/>
      <c r="K8" s="2349"/>
    </row>
    <row r="9" spans="1:11">
      <c r="A9" s="2797">
        <v>45469</v>
      </c>
      <c r="B9" s="2799">
        <v>49896.81</v>
      </c>
      <c r="C9" s="2799">
        <v>472.75</v>
      </c>
      <c r="D9" s="2799">
        <v>16344.64</v>
      </c>
      <c r="E9" s="2799">
        <v>2840.14</v>
      </c>
      <c r="H9" s="2349"/>
      <c r="I9" s="2349"/>
      <c r="J9" s="2349"/>
      <c r="K9" s="2349"/>
    </row>
    <row r="10" spans="1:11">
      <c r="A10" s="2797">
        <v>45468</v>
      </c>
      <c r="B10" s="2799">
        <v>49650.53</v>
      </c>
      <c r="C10" s="2799">
        <v>467.53</v>
      </c>
      <c r="D10" s="2799">
        <v>16347.02</v>
      </c>
      <c r="E10" s="2799">
        <v>2837.37</v>
      </c>
      <c r="H10" s="2349"/>
      <c r="I10" s="2349"/>
      <c r="J10" s="2349"/>
      <c r="K10" s="2349"/>
    </row>
    <row r="11" spans="1:11">
      <c r="A11" s="2797">
        <v>45467</v>
      </c>
      <c r="B11" s="2799">
        <v>49505.93</v>
      </c>
      <c r="C11" s="2799">
        <v>466.19</v>
      </c>
      <c r="D11" s="2799">
        <v>16292.3</v>
      </c>
      <c r="E11" s="2799">
        <v>2834.46</v>
      </c>
      <c r="H11" s="2349"/>
      <c r="I11" s="2349"/>
      <c r="J11" s="2349"/>
      <c r="K11" s="2349"/>
    </row>
    <row r="12" spans="1:11">
      <c r="A12" s="2797">
        <v>45466</v>
      </c>
      <c r="B12" s="2799" t="s">
        <v>1146</v>
      </c>
      <c r="C12" s="2799" t="s">
        <v>1146</v>
      </c>
      <c r="D12" s="2799" t="s">
        <v>1146</v>
      </c>
      <c r="E12" s="2799" t="s">
        <v>1146</v>
      </c>
      <c r="H12" s="2355"/>
    </row>
    <row r="13" spans="1:11">
      <c r="A13" s="2797">
        <v>45465</v>
      </c>
      <c r="B13" s="2799" t="s">
        <v>1146</v>
      </c>
      <c r="C13" s="2799" t="s">
        <v>1146</v>
      </c>
      <c r="D13" s="2799" t="s">
        <v>1146</v>
      </c>
      <c r="E13" s="2799" t="s">
        <v>1146</v>
      </c>
      <c r="H13" s="2355"/>
      <c r="J13" s="2356"/>
      <c r="K13" s="2357"/>
    </row>
    <row r="14" spans="1:11">
      <c r="A14" s="2797">
        <v>45464</v>
      </c>
      <c r="B14" s="2799">
        <v>50445.25</v>
      </c>
      <c r="C14" s="2799">
        <v>471.65</v>
      </c>
      <c r="D14" s="2799">
        <v>16285.92</v>
      </c>
      <c r="E14" s="2799">
        <v>2841.14</v>
      </c>
      <c r="H14" s="2355"/>
    </row>
    <row r="15" spans="1:11">
      <c r="A15" s="2797">
        <v>45463</v>
      </c>
      <c r="B15" s="2799">
        <v>50772.22</v>
      </c>
      <c r="C15" s="2799">
        <v>473.13</v>
      </c>
      <c r="D15" s="2799">
        <v>16340.42</v>
      </c>
      <c r="E15" s="2799">
        <v>2863.8</v>
      </c>
      <c r="H15" s="2358"/>
    </row>
    <row r="16" spans="1:11">
      <c r="A16" s="2797">
        <v>45462</v>
      </c>
      <c r="B16" s="2799">
        <v>50321.38</v>
      </c>
      <c r="C16" s="2799">
        <v>467.65</v>
      </c>
      <c r="D16" s="2799">
        <v>16358.52</v>
      </c>
      <c r="E16" s="2799">
        <v>2862.16</v>
      </c>
      <c r="H16" s="2358"/>
    </row>
    <row r="17" spans="1:8">
      <c r="A17" s="2797">
        <v>45461</v>
      </c>
      <c r="B17" s="2799">
        <v>49339.22</v>
      </c>
      <c r="C17" s="2799">
        <v>468.3</v>
      </c>
      <c r="D17" s="2799">
        <v>16353.51</v>
      </c>
      <c r="E17" s="2799">
        <v>2826.69</v>
      </c>
      <c r="H17" s="2358"/>
    </row>
    <row r="18" spans="1:8">
      <c r="A18" s="2797">
        <v>45460</v>
      </c>
      <c r="B18" s="2799">
        <v>48750.2</v>
      </c>
      <c r="C18" s="2799">
        <v>465.8</v>
      </c>
      <c r="D18" s="2799">
        <v>16285.96</v>
      </c>
      <c r="E18" s="2799">
        <v>2806.19</v>
      </c>
      <c r="H18" s="2358"/>
    </row>
    <row r="19" spans="1:8">
      <c r="A19" s="2797">
        <v>45459</v>
      </c>
      <c r="B19" s="2799" t="s">
        <v>1146</v>
      </c>
      <c r="C19" s="2799" t="s">
        <v>1146</v>
      </c>
      <c r="D19" s="2799" t="s">
        <v>1146</v>
      </c>
      <c r="E19" s="2799" t="s">
        <v>1146</v>
      </c>
      <c r="H19" s="2358"/>
    </row>
    <row r="20" spans="1:8">
      <c r="A20" s="2797">
        <v>45458</v>
      </c>
      <c r="B20" s="2799" t="s">
        <v>1146</v>
      </c>
      <c r="C20" s="2799" t="s">
        <v>1146</v>
      </c>
      <c r="D20" s="2799" t="s">
        <v>1146</v>
      </c>
      <c r="E20" s="2799" t="s">
        <v>1146</v>
      </c>
      <c r="H20" s="2358"/>
    </row>
    <row r="21" spans="1:8">
      <c r="A21" s="2797">
        <v>45457</v>
      </c>
      <c r="B21" s="2799">
        <v>48767.02</v>
      </c>
      <c r="C21" s="2799">
        <v>464.44</v>
      </c>
      <c r="D21" s="2799">
        <v>16209.11</v>
      </c>
      <c r="E21" s="2799">
        <v>2813.05</v>
      </c>
      <c r="H21" s="2358"/>
    </row>
    <row r="22" spans="1:8">
      <c r="A22" s="2797">
        <v>45456</v>
      </c>
      <c r="B22" s="2799">
        <v>48348.58</v>
      </c>
      <c r="C22" s="2799">
        <v>463.09</v>
      </c>
      <c r="D22" s="2799">
        <v>16263.59</v>
      </c>
      <c r="E22" s="2799">
        <v>2809.12</v>
      </c>
      <c r="H22" s="2358"/>
    </row>
    <row r="23" spans="1:8">
      <c r="A23" s="2797">
        <v>45455</v>
      </c>
      <c r="B23" s="2799">
        <v>47711.37</v>
      </c>
      <c r="C23" s="2799">
        <v>459.43</v>
      </c>
      <c r="D23" s="2799">
        <v>16318.09</v>
      </c>
      <c r="E23" s="2799">
        <v>2789.71</v>
      </c>
      <c r="H23" s="2358"/>
    </row>
    <row r="24" spans="1:8">
      <c r="A24" s="2797">
        <v>45454</v>
      </c>
      <c r="B24" s="2799">
        <v>47151.88</v>
      </c>
      <c r="C24" s="2799">
        <v>454.58</v>
      </c>
      <c r="D24" s="2799">
        <v>16148.96</v>
      </c>
      <c r="E24" s="2799">
        <v>2779.88</v>
      </c>
      <c r="H24" s="2358"/>
    </row>
    <row r="25" spans="1:8">
      <c r="A25" s="2797">
        <v>45453</v>
      </c>
      <c r="B25" s="2799" t="s">
        <v>1146</v>
      </c>
      <c r="C25" s="2799" t="s">
        <v>1146</v>
      </c>
      <c r="D25" s="2799">
        <v>16159.44</v>
      </c>
      <c r="E25" s="2799">
        <v>2791.46</v>
      </c>
      <c r="H25" s="2358"/>
    </row>
    <row r="26" spans="1:8">
      <c r="A26" s="2797">
        <v>45452</v>
      </c>
      <c r="B26" s="2799" t="s">
        <v>1146</v>
      </c>
      <c r="C26" s="2799" t="s">
        <v>1146</v>
      </c>
      <c r="D26" s="2799" t="s">
        <v>1146</v>
      </c>
      <c r="E26" s="2799" t="s">
        <v>1146</v>
      </c>
      <c r="H26" s="2358"/>
    </row>
    <row r="27" spans="1:8">
      <c r="A27" s="2797">
        <v>45451</v>
      </c>
      <c r="B27" s="2799" t="s">
        <v>1146</v>
      </c>
      <c r="C27" s="2799" t="s">
        <v>1146</v>
      </c>
      <c r="D27" s="2799" t="s">
        <v>1146</v>
      </c>
      <c r="E27" s="2799" t="s">
        <v>1146</v>
      </c>
      <c r="H27" s="2358"/>
    </row>
    <row r="28" spans="1:8">
      <c r="A28" s="2797">
        <v>45450</v>
      </c>
      <c r="B28" s="2799">
        <v>47289.2</v>
      </c>
      <c r="C28" s="2799">
        <v>454.6</v>
      </c>
      <c r="D28" s="2799">
        <v>16141.58</v>
      </c>
      <c r="E28" s="2799">
        <v>2798.76</v>
      </c>
      <c r="H28" s="2358"/>
    </row>
    <row r="29" spans="1:8">
      <c r="A29" s="2797">
        <v>45449</v>
      </c>
      <c r="B29" s="2799">
        <v>47384.11</v>
      </c>
      <c r="C29" s="2799">
        <v>451.09</v>
      </c>
      <c r="D29" s="2799">
        <v>16191.27</v>
      </c>
      <c r="E29" s="2799">
        <v>2798.23</v>
      </c>
      <c r="H29" s="2358"/>
    </row>
    <row r="30" spans="1:8">
      <c r="A30" s="2797">
        <v>45448</v>
      </c>
      <c r="B30" s="2799">
        <v>46477.919999999998</v>
      </c>
      <c r="C30" s="2799">
        <v>451.08</v>
      </c>
      <c r="D30" s="2799">
        <v>16159.82</v>
      </c>
      <c r="E30" s="2799">
        <v>2770.81</v>
      </c>
      <c r="H30" s="2358"/>
    </row>
    <row r="31" spans="1:8">
      <c r="A31" s="2797">
        <v>45447</v>
      </c>
      <c r="B31" s="2799">
        <v>46196.03</v>
      </c>
      <c r="C31" s="2799">
        <v>450.63</v>
      </c>
      <c r="D31" s="2799">
        <v>16021.47</v>
      </c>
      <c r="E31" s="2799">
        <v>2742.22</v>
      </c>
      <c r="H31" s="2358"/>
    </row>
    <row r="32" spans="1:8">
      <c r="A32" s="2797">
        <v>45446</v>
      </c>
      <c r="B32" s="2799">
        <v>46583.96</v>
      </c>
      <c r="C32" s="2799">
        <v>452.8</v>
      </c>
      <c r="D32" s="2799">
        <v>16019.3</v>
      </c>
      <c r="E32" s="2799">
        <v>2787.22</v>
      </c>
      <c r="H32" s="2358"/>
    </row>
    <row r="33" spans="1:8">
      <c r="A33" s="2797">
        <v>45445</v>
      </c>
      <c r="B33" s="2799" t="s">
        <v>1146</v>
      </c>
      <c r="C33" s="2799" t="s">
        <v>1146</v>
      </c>
      <c r="D33" s="2799" t="s">
        <v>1146</v>
      </c>
      <c r="E33" s="2799" t="s">
        <v>1146</v>
      </c>
      <c r="H33" s="2358"/>
    </row>
    <row r="34" spans="1:8">
      <c r="A34" s="2797">
        <v>45444</v>
      </c>
      <c r="B34" s="2799" t="s">
        <v>1146</v>
      </c>
      <c r="C34" s="2799" t="s">
        <v>1146</v>
      </c>
      <c r="D34" s="2799" t="s">
        <v>1146</v>
      </c>
      <c r="E34" s="2799" t="s">
        <v>1146</v>
      </c>
      <c r="H34" s="2358"/>
    </row>
    <row r="35" spans="1:8">
      <c r="A35" s="2797">
        <v>45443</v>
      </c>
      <c r="B35" s="2799">
        <v>45797.29</v>
      </c>
      <c r="C35" s="2799">
        <v>448.25</v>
      </c>
      <c r="D35" s="2799">
        <v>15979.46</v>
      </c>
      <c r="E35" s="2799">
        <v>2733.96</v>
      </c>
      <c r="H35" s="2358"/>
    </row>
    <row r="36" spans="1:8">
      <c r="A36" s="2797">
        <v>45442</v>
      </c>
      <c r="B36" s="2799">
        <v>46207.63</v>
      </c>
      <c r="C36" s="2799">
        <v>448.38</v>
      </c>
      <c r="D36" s="2799">
        <v>15862.73</v>
      </c>
      <c r="E36" s="2799">
        <v>2757.01</v>
      </c>
      <c r="H36" s="2358"/>
    </row>
    <row r="37" spans="1:8">
      <c r="A37" s="2797">
        <v>45441</v>
      </c>
      <c r="B37" s="2799">
        <v>46850.42</v>
      </c>
      <c r="C37" s="2799">
        <v>451.57</v>
      </c>
      <c r="D37" s="2799">
        <v>15905.55</v>
      </c>
      <c r="E37" s="2799">
        <v>2793.17</v>
      </c>
      <c r="H37" s="2358"/>
    </row>
    <row r="38" spans="1:8">
      <c r="A38" s="2797">
        <v>45440</v>
      </c>
      <c r="B38" s="2799">
        <v>47273.9</v>
      </c>
      <c r="C38" s="2799">
        <v>450.85</v>
      </c>
      <c r="D38" s="2799">
        <v>16064.73</v>
      </c>
      <c r="E38" s="2799">
        <v>2834.5</v>
      </c>
      <c r="H38" s="2358"/>
    </row>
    <row r="39" spans="1:8">
      <c r="A39" s="2797">
        <v>45439</v>
      </c>
      <c r="B39" s="2799">
        <v>47155.74</v>
      </c>
      <c r="C39" s="2799">
        <v>446.47</v>
      </c>
      <c r="D39" s="2799">
        <v>16079.66</v>
      </c>
      <c r="E39" s="2799">
        <v>2840.27</v>
      </c>
      <c r="H39" s="2358"/>
    </row>
    <row r="40" spans="1:8">
      <c r="A40" s="2797">
        <v>45438</v>
      </c>
      <c r="B40" s="2799" t="s">
        <v>1146</v>
      </c>
      <c r="C40" s="2799" t="s">
        <v>1146</v>
      </c>
      <c r="D40" s="2799" t="s">
        <v>1146</v>
      </c>
      <c r="E40" s="2799" t="s">
        <v>1146</v>
      </c>
      <c r="H40" s="2358"/>
    </row>
    <row r="41" spans="1:8">
      <c r="A41" s="2797">
        <v>45437</v>
      </c>
      <c r="B41" s="2799" t="s">
        <v>1146</v>
      </c>
      <c r="C41" s="2799" t="s">
        <v>1146</v>
      </c>
      <c r="D41" s="2799" t="s">
        <v>1146</v>
      </c>
      <c r="E41" s="2799" t="s">
        <v>1146</v>
      </c>
      <c r="H41" s="2358"/>
    </row>
    <row r="42" spans="1:8">
      <c r="A42" s="2797">
        <v>45436</v>
      </c>
      <c r="B42" s="2799">
        <v>46639.97</v>
      </c>
      <c r="C42" s="2799">
        <v>442.59</v>
      </c>
      <c r="D42" s="2799">
        <v>16051.22</v>
      </c>
      <c r="E42" s="2799">
        <v>2821.1</v>
      </c>
      <c r="H42" s="2358"/>
    </row>
    <row r="43" spans="1:8">
      <c r="A43" s="2797">
        <v>45435</v>
      </c>
      <c r="B43" s="2799">
        <v>46731.01</v>
      </c>
      <c r="C43" s="2799">
        <v>437.97</v>
      </c>
      <c r="D43" s="2799">
        <v>15977.72</v>
      </c>
      <c r="E43" s="2799">
        <v>2842.49</v>
      </c>
      <c r="H43" s="2358"/>
    </row>
    <row r="44" spans="1:8">
      <c r="A44" s="2797">
        <v>45434</v>
      </c>
      <c r="B44" s="2799">
        <v>46610.76</v>
      </c>
      <c r="C44" s="2799">
        <v>441.1</v>
      </c>
      <c r="D44" s="2799">
        <v>16065.66</v>
      </c>
      <c r="E44" s="2799">
        <v>2852.41</v>
      </c>
      <c r="H44" s="2358"/>
    </row>
    <row r="45" spans="1:8">
      <c r="A45" s="2797">
        <v>45433</v>
      </c>
      <c r="B45" s="2799">
        <v>45929.33</v>
      </c>
      <c r="C45" s="2799">
        <v>436.57</v>
      </c>
      <c r="D45" s="2799">
        <v>16131.4</v>
      </c>
      <c r="E45" s="2799">
        <v>2847.02</v>
      </c>
      <c r="H45" s="2358"/>
    </row>
    <row r="46" spans="1:8">
      <c r="A46" s="2797">
        <v>45432</v>
      </c>
      <c r="B46" s="2799">
        <v>46004.77</v>
      </c>
      <c r="C46" s="2799">
        <v>436.34</v>
      </c>
      <c r="D46" s="2799">
        <v>16116.69</v>
      </c>
      <c r="E46" s="2799">
        <v>2869.02</v>
      </c>
      <c r="H46" s="2358"/>
    </row>
    <row r="47" spans="1:8">
      <c r="A47" s="2797">
        <v>45431</v>
      </c>
      <c r="B47" s="2799" t="s">
        <v>1146</v>
      </c>
      <c r="C47" s="2799" t="s">
        <v>1146</v>
      </c>
      <c r="D47" s="2799" t="s">
        <v>1146</v>
      </c>
      <c r="E47" s="2799" t="s">
        <v>1146</v>
      </c>
      <c r="H47" s="2358"/>
    </row>
    <row r="48" spans="1:8">
      <c r="A48" s="2797">
        <v>45430</v>
      </c>
      <c r="B48" s="2799" t="s">
        <v>1146</v>
      </c>
      <c r="C48" s="2799" t="s">
        <v>1146</v>
      </c>
      <c r="D48" s="2799" t="s">
        <v>1146</v>
      </c>
      <c r="E48" s="2799" t="s">
        <v>1146</v>
      </c>
      <c r="H48" s="2358"/>
    </row>
    <row r="49" spans="1:8">
      <c r="A49" s="2797">
        <v>45429</v>
      </c>
      <c r="B49" s="2799">
        <v>45976.31</v>
      </c>
      <c r="C49" s="2799">
        <v>436.65</v>
      </c>
      <c r="D49" s="2799">
        <v>16092.58</v>
      </c>
      <c r="E49" s="2799">
        <v>2863.4</v>
      </c>
      <c r="H49" s="2358"/>
    </row>
    <row r="50" spans="1:8">
      <c r="A50" s="2797">
        <v>45428</v>
      </c>
      <c r="B50" s="2799">
        <v>46075.24</v>
      </c>
      <c r="C50" s="2799">
        <v>434.99</v>
      </c>
      <c r="D50" s="2799">
        <v>16073.31</v>
      </c>
      <c r="E50" s="2799">
        <v>2858.88</v>
      </c>
      <c r="H50" s="2358"/>
    </row>
    <row r="51" spans="1:8">
      <c r="A51" s="2797">
        <v>45427</v>
      </c>
      <c r="B51" s="2799">
        <v>45735.57</v>
      </c>
      <c r="C51" s="2799">
        <v>431.49</v>
      </c>
      <c r="D51" s="2799">
        <v>16083.9</v>
      </c>
      <c r="E51" s="2799">
        <v>2822.21</v>
      </c>
      <c r="H51" s="2358"/>
    </row>
    <row r="52" spans="1:8">
      <c r="A52" s="2797">
        <v>45426</v>
      </c>
      <c r="B52" s="2799">
        <v>45386.61</v>
      </c>
      <c r="C52" s="2799">
        <v>430.78</v>
      </c>
      <c r="D52" s="2799">
        <v>15909.41</v>
      </c>
      <c r="E52" s="2799">
        <v>2812.18</v>
      </c>
      <c r="H52" s="2358"/>
    </row>
    <row r="53" spans="1:8">
      <c r="A53" s="2797">
        <v>45425</v>
      </c>
      <c r="B53" s="2799">
        <v>45109.46</v>
      </c>
      <c r="C53" s="2799">
        <v>429.33</v>
      </c>
      <c r="D53" s="2799">
        <v>15842.1</v>
      </c>
      <c r="E53" s="2799">
        <v>2806.11</v>
      </c>
      <c r="H53" s="2358"/>
    </row>
    <row r="54" spans="1:8">
      <c r="A54" s="2797">
        <v>45424</v>
      </c>
      <c r="B54" s="2799" t="s">
        <v>1146</v>
      </c>
      <c r="C54" s="2799" t="s">
        <v>1146</v>
      </c>
      <c r="D54" s="2799" t="s">
        <v>1146</v>
      </c>
      <c r="E54" s="2799" t="s">
        <v>1146</v>
      </c>
      <c r="H54" s="2358"/>
    </row>
    <row r="55" spans="1:8">
      <c r="A55" s="2797">
        <v>45423</v>
      </c>
      <c r="B55" s="2799" t="s">
        <v>1146</v>
      </c>
      <c r="C55" s="2799" t="s">
        <v>1146</v>
      </c>
      <c r="D55" s="2799" t="s">
        <v>1146</v>
      </c>
      <c r="E55" s="2799" t="s">
        <v>1146</v>
      </c>
      <c r="H55" s="2358"/>
    </row>
    <row r="56" spans="1:8">
      <c r="A56" s="2797">
        <v>45422</v>
      </c>
      <c r="B56" s="2799">
        <v>44787.5</v>
      </c>
      <c r="C56" s="2799">
        <v>430.25</v>
      </c>
      <c r="D56" s="2799">
        <v>15833.8</v>
      </c>
      <c r="E56" s="2799">
        <v>2787.59</v>
      </c>
      <c r="H56" s="2358"/>
    </row>
    <row r="57" spans="1:8">
      <c r="A57" s="2797">
        <v>45421</v>
      </c>
      <c r="B57" s="2799">
        <v>44467.27</v>
      </c>
      <c r="C57" s="2799">
        <v>429.89</v>
      </c>
      <c r="D57" s="2799">
        <v>15790.68</v>
      </c>
      <c r="E57" s="2799">
        <v>2766.15</v>
      </c>
      <c r="H57" s="2358"/>
    </row>
    <row r="58" spans="1:8">
      <c r="A58" s="2797">
        <v>45420</v>
      </c>
      <c r="B58" s="2799">
        <v>44769.5</v>
      </c>
      <c r="C58" s="2799">
        <v>435.37</v>
      </c>
      <c r="D58" s="2799">
        <v>15711.53</v>
      </c>
      <c r="E58" s="2799">
        <v>2774.2</v>
      </c>
      <c r="H58" s="2358"/>
    </row>
    <row r="59" spans="1:8">
      <c r="A59" s="2797">
        <v>45419</v>
      </c>
      <c r="B59" s="2799">
        <v>44667.87</v>
      </c>
      <c r="C59" s="2799">
        <v>435.5</v>
      </c>
      <c r="D59" s="2799">
        <v>15738.94</v>
      </c>
      <c r="E59" s="2799">
        <v>2778.33</v>
      </c>
      <c r="H59" s="2358"/>
    </row>
    <row r="60" spans="1:8">
      <c r="A60" s="2797">
        <v>45418</v>
      </c>
      <c r="B60" s="2799">
        <v>44386.239999999998</v>
      </c>
      <c r="C60" s="2799">
        <v>435.7</v>
      </c>
      <c r="D60" s="2799">
        <v>15688.42</v>
      </c>
      <c r="E60" s="2799">
        <v>2774.13</v>
      </c>
      <c r="H60" s="2358"/>
    </row>
    <row r="61" spans="1:8">
      <c r="A61" s="2797">
        <v>45417</v>
      </c>
      <c r="B61" s="2799" t="s">
        <v>1146</v>
      </c>
      <c r="C61" s="2799" t="s">
        <v>1146</v>
      </c>
      <c r="D61" s="2799" t="s">
        <v>1146</v>
      </c>
      <c r="E61" s="2799" t="s">
        <v>1146</v>
      </c>
      <c r="H61" s="2358"/>
    </row>
    <row r="62" spans="1:8">
      <c r="A62" s="2797">
        <v>45416</v>
      </c>
      <c r="B62" s="2799" t="s">
        <v>1146</v>
      </c>
      <c r="C62" s="2799" t="s">
        <v>1146</v>
      </c>
      <c r="D62" s="2799" t="s">
        <v>1146</v>
      </c>
      <c r="E62" s="2799" t="s">
        <v>1146</v>
      </c>
      <c r="H62" s="2358"/>
    </row>
    <row r="63" spans="1:8">
      <c r="A63" s="2797">
        <v>45415</v>
      </c>
      <c r="B63" s="2799">
        <v>43968.87</v>
      </c>
      <c r="C63" s="2799">
        <v>434.33</v>
      </c>
      <c r="D63" s="2799">
        <v>15549.48</v>
      </c>
      <c r="E63" s="2799">
        <v>2760.31</v>
      </c>
      <c r="H63" s="2358"/>
    </row>
    <row r="64" spans="1:8">
      <c r="A64" s="2797">
        <v>45414</v>
      </c>
      <c r="B64" s="2799">
        <v>43735.55</v>
      </c>
      <c r="C64" s="2799">
        <v>434.68</v>
      </c>
      <c r="D64" s="2799">
        <v>15364.97</v>
      </c>
      <c r="E64" s="2799">
        <v>2736.63</v>
      </c>
      <c r="H64" s="2358"/>
    </row>
    <row r="65" spans="1:8">
      <c r="A65" s="2797">
        <v>45413</v>
      </c>
      <c r="B65" s="2799" t="s">
        <v>1146</v>
      </c>
      <c r="C65" s="2799" t="s">
        <v>1146</v>
      </c>
      <c r="D65" s="2799">
        <v>15234.49</v>
      </c>
      <c r="E65" s="2799">
        <v>2717.04</v>
      </c>
      <c r="H65" s="2358"/>
    </row>
    <row r="66" spans="1:8">
      <c r="A66" s="2797">
        <v>45412</v>
      </c>
      <c r="B66" s="2799">
        <v>44112.21</v>
      </c>
      <c r="C66" s="2799">
        <v>431.77</v>
      </c>
      <c r="D66" s="2799">
        <v>15286.59</v>
      </c>
      <c r="E66" s="2799">
        <v>2717.81</v>
      </c>
      <c r="H66" s="2358"/>
    </row>
    <row r="67" spans="1:8">
      <c r="A67" s="2797">
        <v>45411</v>
      </c>
      <c r="B67" s="2799">
        <v>44326.15</v>
      </c>
      <c r="C67" s="2799">
        <v>432.11</v>
      </c>
      <c r="D67" s="2799">
        <v>15476.82</v>
      </c>
      <c r="E67" s="2799">
        <v>2731.54</v>
      </c>
      <c r="H67" s="2358"/>
    </row>
    <row r="68" spans="1:8">
      <c r="A68" s="2797">
        <v>45410</v>
      </c>
      <c r="B68" s="2799" t="s">
        <v>1146</v>
      </c>
      <c r="C68" s="2799" t="s">
        <v>1146</v>
      </c>
      <c r="D68" s="2799" t="s">
        <v>1146</v>
      </c>
      <c r="E68" s="2799" t="s">
        <v>1146</v>
      </c>
      <c r="H68" s="2358"/>
    </row>
    <row r="69" spans="1:8">
      <c r="A69" s="2797">
        <v>45409</v>
      </c>
      <c r="B69" s="2799" t="s">
        <v>1146</v>
      </c>
      <c r="C69" s="2799" t="s">
        <v>1146</v>
      </c>
      <c r="D69" s="2799" t="s">
        <v>1146</v>
      </c>
      <c r="E69" s="2799" t="s">
        <v>1146</v>
      </c>
      <c r="H69" s="2358"/>
    </row>
    <row r="70" spans="1:8">
      <c r="A70" s="2797">
        <v>45408</v>
      </c>
      <c r="B70" s="2799">
        <v>43515.12</v>
      </c>
      <c r="C70" s="2799">
        <v>426.27</v>
      </c>
      <c r="D70" s="2799">
        <v>15419.63</v>
      </c>
      <c r="E70" s="2799">
        <v>2705.33</v>
      </c>
      <c r="H70" s="2358"/>
    </row>
    <row r="71" spans="1:8">
      <c r="A71" s="2797">
        <v>45407</v>
      </c>
      <c r="B71" s="2799">
        <v>42946.11</v>
      </c>
      <c r="C71" s="2799">
        <v>421.57</v>
      </c>
      <c r="D71" s="2799">
        <v>15285.55</v>
      </c>
      <c r="E71" s="2799">
        <v>2670.99</v>
      </c>
      <c r="H71" s="2358"/>
    </row>
    <row r="72" spans="1:8">
      <c r="A72" s="2797">
        <v>45406</v>
      </c>
      <c r="B72" s="2799">
        <v>43537.96</v>
      </c>
      <c r="C72" s="2799">
        <v>425.51</v>
      </c>
      <c r="D72" s="2799">
        <v>15361.31</v>
      </c>
      <c r="E72" s="2799">
        <v>2686.74</v>
      </c>
      <c r="H72" s="2358"/>
    </row>
    <row r="73" spans="1:8">
      <c r="A73" s="2797">
        <v>45405</v>
      </c>
      <c r="B73" s="2799">
        <v>42386.44</v>
      </c>
      <c r="C73" s="2799">
        <v>415.66</v>
      </c>
      <c r="D73" s="2799">
        <v>15356.7</v>
      </c>
      <c r="E73" s="2799">
        <v>2646.79</v>
      </c>
      <c r="H73" s="2358"/>
    </row>
    <row r="74" spans="1:8">
      <c r="A74" s="2797">
        <v>45404</v>
      </c>
      <c r="B74" s="2799">
        <v>41979.74</v>
      </c>
      <c r="C74" s="2799">
        <v>411.26</v>
      </c>
      <c r="D74" s="2799">
        <v>15168.4</v>
      </c>
      <c r="E74" s="2799">
        <v>2627</v>
      </c>
      <c r="H74" s="2358"/>
    </row>
    <row r="75" spans="1:8">
      <c r="A75" s="2797">
        <v>45403</v>
      </c>
      <c r="B75" s="2799" t="s">
        <v>1146</v>
      </c>
      <c r="C75" s="2799" t="s">
        <v>1146</v>
      </c>
      <c r="D75" s="2799" t="s">
        <v>1146</v>
      </c>
      <c r="E75" s="2799" t="s">
        <v>1146</v>
      </c>
      <c r="H75" s="2358"/>
    </row>
    <row r="76" spans="1:8">
      <c r="A76" s="2797">
        <v>45402</v>
      </c>
      <c r="B76" s="2799" t="s">
        <v>1146</v>
      </c>
      <c r="C76" s="2799" t="s">
        <v>1146</v>
      </c>
      <c r="D76" s="2799" t="s">
        <v>1146</v>
      </c>
      <c r="E76" s="2799" t="s">
        <v>1146</v>
      </c>
      <c r="H76" s="2358"/>
    </row>
    <row r="77" spans="1:8">
      <c r="A77" s="2797">
        <v>45401</v>
      </c>
      <c r="B77" s="2799">
        <v>42230.39</v>
      </c>
      <c r="C77" s="2799">
        <v>421.15</v>
      </c>
      <c r="D77" s="2799">
        <v>15041.86</v>
      </c>
      <c r="E77" s="2799">
        <v>2606.9499999999998</v>
      </c>
      <c r="H77" s="2358"/>
    </row>
    <row r="78" spans="1:8">
      <c r="A78" s="2797">
        <v>45400</v>
      </c>
      <c r="B78" s="2799">
        <v>43903.96</v>
      </c>
      <c r="C78" s="2799">
        <v>435.46</v>
      </c>
      <c r="D78" s="2799">
        <v>15154.03</v>
      </c>
      <c r="E78" s="2799">
        <v>2644.25</v>
      </c>
      <c r="H78" s="2358"/>
    </row>
    <row r="79" spans="1:8">
      <c r="A79" s="2797">
        <v>45399</v>
      </c>
      <c r="B79" s="2799">
        <v>43712.639999999999</v>
      </c>
      <c r="C79" s="2799">
        <v>434.65</v>
      </c>
      <c r="D79" s="2799">
        <v>15157.68</v>
      </c>
      <c r="E79" s="2799">
        <v>2628.29</v>
      </c>
      <c r="H79" s="2358"/>
    </row>
    <row r="80" spans="1:8">
      <c r="A80" s="2797">
        <v>45398</v>
      </c>
      <c r="B80" s="2799">
        <v>43039.29</v>
      </c>
      <c r="C80" s="2799">
        <v>426.28</v>
      </c>
      <c r="D80" s="2799">
        <v>15231.67</v>
      </c>
      <c r="E80" s="2799">
        <v>2621.08</v>
      </c>
      <c r="H80" s="2358"/>
    </row>
    <row r="81" spans="1:8">
      <c r="A81" s="2797">
        <v>45397</v>
      </c>
      <c r="B81" s="2799">
        <v>44223.94</v>
      </c>
      <c r="C81" s="2799">
        <v>438.38</v>
      </c>
      <c r="D81" s="2799">
        <v>15325.49</v>
      </c>
      <c r="E81" s="2799">
        <v>2675.22</v>
      </c>
      <c r="H81" s="2358"/>
    </row>
    <row r="82" spans="1:8">
      <c r="A82" s="2797">
        <v>45396</v>
      </c>
      <c r="B82" s="2799" t="s">
        <v>1146</v>
      </c>
      <c r="C82" s="2799" t="s">
        <v>1146</v>
      </c>
      <c r="D82" s="2799" t="s">
        <v>1146</v>
      </c>
      <c r="E82" s="2799" t="s">
        <v>1146</v>
      </c>
      <c r="H82" s="2358"/>
    </row>
    <row r="83" spans="1:8">
      <c r="A83" s="2797">
        <v>45395</v>
      </c>
      <c r="B83" s="2799" t="s">
        <v>1146</v>
      </c>
      <c r="C83" s="2799" t="s">
        <v>1146</v>
      </c>
      <c r="D83" s="2799" t="s">
        <v>1146</v>
      </c>
      <c r="E83" s="2799" t="s">
        <v>1146</v>
      </c>
      <c r="H83" s="2358"/>
    </row>
    <row r="84" spans="1:8">
      <c r="A84" s="2797">
        <v>45394</v>
      </c>
      <c r="B84" s="2799">
        <v>44844.18</v>
      </c>
      <c r="C84" s="2799">
        <v>445.21</v>
      </c>
      <c r="D84" s="2799">
        <v>15479.14</v>
      </c>
      <c r="E84" s="2799">
        <v>2703.65</v>
      </c>
      <c r="H84" s="2358"/>
    </row>
    <row r="85" spans="1:8">
      <c r="A85" s="2797">
        <v>45393</v>
      </c>
      <c r="B85" s="2799">
        <v>44856.39</v>
      </c>
      <c r="C85" s="2799">
        <v>442.14</v>
      </c>
      <c r="D85" s="2799">
        <v>15661.36</v>
      </c>
      <c r="E85" s="2799">
        <v>2738.05</v>
      </c>
      <c r="H85" s="2358"/>
    </row>
    <row r="86" spans="1:8">
      <c r="A86" s="2797">
        <v>45392</v>
      </c>
      <c r="B86" s="2799">
        <v>44872.99</v>
      </c>
      <c r="C86" s="2799">
        <v>444.23</v>
      </c>
      <c r="D86" s="2799">
        <v>15607.27</v>
      </c>
      <c r="E86" s="2799">
        <v>2745.29</v>
      </c>
      <c r="H86" s="2358"/>
    </row>
    <row r="87" spans="1:8">
      <c r="A87" s="2797">
        <v>45391</v>
      </c>
      <c r="B87" s="2799">
        <v>44943.61</v>
      </c>
      <c r="C87" s="2799">
        <v>442.47</v>
      </c>
      <c r="D87" s="2799">
        <v>15756.49</v>
      </c>
      <c r="E87" s="2799">
        <v>2738.41</v>
      </c>
      <c r="H87" s="2358"/>
    </row>
    <row r="88" spans="1:8">
      <c r="A88" s="2797">
        <v>45390</v>
      </c>
      <c r="B88" s="2799">
        <v>44125.599999999999</v>
      </c>
      <c r="C88" s="2799">
        <v>444.2</v>
      </c>
      <c r="D88" s="2799">
        <v>15738.65</v>
      </c>
      <c r="E88" s="2799">
        <v>2722.14</v>
      </c>
      <c r="H88" s="2358"/>
    </row>
    <row r="89" spans="1:8">
      <c r="A89" s="2797">
        <v>45389</v>
      </c>
      <c r="B89" s="2799" t="s">
        <v>1146</v>
      </c>
      <c r="C89" s="2799" t="s">
        <v>1146</v>
      </c>
      <c r="D89" s="2799" t="s">
        <v>1146</v>
      </c>
      <c r="E89" s="2799" t="s">
        <v>1146</v>
      </c>
      <c r="H89" s="2358"/>
    </row>
    <row r="90" spans="1:8">
      <c r="A90" s="2797">
        <v>45388</v>
      </c>
      <c r="B90" s="2799" t="s">
        <v>1146</v>
      </c>
      <c r="C90" s="2799" t="s">
        <v>1146</v>
      </c>
      <c r="D90" s="2799" t="s">
        <v>1146</v>
      </c>
      <c r="E90" s="2799" t="s">
        <v>1146</v>
      </c>
      <c r="H90" s="2358"/>
    </row>
    <row r="91" spans="1:8">
      <c r="A91" s="2797">
        <v>45387</v>
      </c>
      <c r="B91" s="2799" t="s">
        <v>1146</v>
      </c>
      <c r="C91" s="2799" t="s">
        <v>1146</v>
      </c>
      <c r="D91" s="2799">
        <v>15708.87</v>
      </c>
      <c r="E91" s="2799">
        <v>2712.8</v>
      </c>
      <c r="H91" s="2358"/>
    </row>
    <row r="92" spans="1:8">
      <c r="A92" s="2797">
        <v>45386</v>
      </c>
      <c r="B92" s="2799" t="s">
        <v>1146</v>
      </c>
      <c r="C92" s="2799" t="s">
        <v>1146</v>
      </c>
      <c r="D92" s="2799">
        <v>15634.41</v>
      </c>
      <c r="E92" s="2799">
        <v>2720.67</v>
      </c>
      <c r="H92" s="2358"/>
    </row>
    <row r="93" spans="1:8">
      <c r="A93" s="2797">
        <v>45385</v>
      </c>
      <c r="B93" s="2799">
        <v>43952.45</v>
      </c>
      <c r="C93" s="2799">
        <v>442.46</v>
      </c>
      <c r="D93" s="2799">
        <v>15740.45</v>
      </c>
      <c r="E93" s="2799">
        <v>2706.15</v>
      </c>
      <c r="H93" s="2358"/>
    </row>
    <row r="94" spans="1:8">
      <c r="A94" s="2797">
        <v>45384</v>
      </c>
      <c r="B94" s="2799">
        <v>44230.9</v>
      </c>
      <c r="C94" s="2799">
        <v>442.16</v>
      </c>
      <c r="D94" s="2799">
        <v>15711.23</v>
      </c>
      <c r="E94" s="2799">
        <v>2722.83</v>
      </c>
      <c r="H94" s="2358"/>
    </row>
    <row r="95" spans="1:8">
      <c r="A95" s="2797">
        <v>45383</v>
      </c>
      <c r="B95" s="2799">
        <v>43702.62</v>
      </c>
      <c r="C95" s="2799">
        <v>440.79</v>
      </c>
      <c r="D95" s="2799">
        <v>15809.02</v>
      </c>
      <c r="E95" s="2799">
        <v>2702.27</v>
      </c>
      <c r="H95" s="2358"/>
    </row>
    <row r="96" spans="1:8">
      <c r="A96" s="2797">
        <v>45382</v>
      </c>
      <c r="B96" s="2799" t="s">
        <v>1146</v>
      </c>
      <c r="C96" s="2799" t="s">
        <v>1146</v>
      </c>
      <c r="D96" s="2799" t="s">
        <v>1146</v>
      </c>
      <c r="E96" s="2799" t="s">
        <v>1146</v>
      </c>
      <c r="H96" s="2358"/>
    </row>
    <row r="97" spans="1:8">
      <c r="A97" s="2797">
        <v>45381</v>
      </c>
      <c r="B97" s="2799" t="s">
        <v>1146</v>
      </c>
      <c r="C97" s="2799" t="s">
        <v>1146</v>
      </c>
      <c r="D97" s="2799" t="s">
        <v>1146</v>
      </c>
      <c r="E97" s="2799" t="s">
        <v>1146</v>
      </c>
      <c r="H97" s="2358"/>
    </row>
    <row r="98" spans="1:8">
      <c r="A98" s="2797">
        <v>45380</v>
      </c>
      <c r="B98" s="2799">
        <v>43858.44</v>
      </c>
      <c r="C98" s="2799">
        <v>437.45</v>
      </c>
      <c r="D98" s="2799">
        <v>15868.89</v>
      </c>
      <c r="E98" s="2799">
        <v>2705.13</v>
      </c>
      <c r="H98" s="2358"/>
    </row>
    <row r="99" spans="1:8">
      <c r="A99" s="2797">
        <v>45379</v>
      </c>
      <c r="B99" s="2799">
        <v>43534.18</v>
      </c>
      <c r="C99" s="2799">
        <v>434.71</v>
      </c>
      <c r="D99" s="2799">
        <v>15864.37</v>
      </c>
      <c r="E99" s="2799">
        <v>2697.76</v>
      </c>
      <c r="H99" s="2358"/>
    </row>
    <row r="100" spans="1:8">
      <c r="A100" s="2797">
        <v>45378</v>
      </c>
      <c r="B100" s="2799">
        <v>43641.03</v>
      </c>
      <c r="C100" s="2799">
        <v>435.09</v>
      </c>
      <c r="D100" s="2799">
        <v>15854.81</v>
      </c>
      <c r="E100" s="2799">
        <v>2687.31</v>
      </c>
      <c r="H100" s="2358"/>
    </row>
    <row r="101" spans="1:8">
      <c r="A101" s="2797">
        <v>45377</v>
      </c>
      <c r="B101" s="2799">
        <v>43477.8</v>
      </c>
      <c r="C101" s="2799">
        <v>430.81</v>
      </c>
      <c r="D101" s="2799">
        <v>15747.67</v>
      </c>
      <c r="E101" s="2799">
        <v>2695.75</v>
      </c>
      <c r="H101" s="2358"/>
    </row>
    <row r="102" spans="1:8">
      <c r="A102" s="2797">
        <v>45376</v>
      </c>
      <c r="B102" s="2799">
        <v>43619.26</v>
      </c>
      <c r="C102" s="2799">
        <v>437.35</v>
      </c>
      <c r="D102" s="2799">
        <v>15774.68</v>
      </c>
      <c r="E102" s="2799">
        <v>2684.96</v>
      </c>
      <c r="H102" s="2358"/>
    </row>
    <row r="103" spans="1:8">
      <c r="A103" s="2797">
        <v>45375</v>
      </c>
      <c r="B103" s="2799" t="s">
        <v>1146</v>
      </c>
      <c r="C103" s="2799" t="s">
        <v>1146</v>
      </c>
      <c r="D103" s="2799" t="s">
        <v>1146</v>
      </c>
      <c r="E103" s="2799" t="s">
        <v>1146</v>
      </c>
      <c r="H103" s="2358"/>
    </row>
    <row r="104" spans="1:8">
      <c r="A104" s="2797">
        <v>45374</v>
      </c>
      <c r="B104" s="2799" t="s">
        <v>1146</v>
      </c>
      <c r="C104" s="2799" t="s">
        <v>1146</v>
      </c>
      <c r="D104" s="2799" t="s">
        <v>1146</v>
      </c>
      <c r="E104" s="2799" t="s">
        <v>1146</v>
      </c>
      <c r="H104" s="2358"/>
    </row>
    <row r="105" spans="1:8">
      <c r="A105" s="2797">
        <v>45373</v>
      </c>
      <c r="B105" s="2799">
        <v>43697.33</v>
      </c>
      <c r="C105" s="2799">
        <v>435.45</v>
      </c>
      <c r="D105" s="2799">
        <v>15810.74</v>
      </c>
      <c r="E105" s="2799">
        <v>2692.43</v>
      </c>
      <c r="H105" s="2358"/>
    </row>
    <row r="106" spans="1:8">
      <c r="A106" s="2797">
        <v>45372</v>
      </c>
      <c r="B106" s="2799">
        <v>43630.49</v>
      </c>
      <c r="C106" s="2799">
        <v>437.13</v>
      </c>
      <c r="D106" s="2799">
        <v>15838.53</v>
      </c>
      <c r="E106" s="2799">
        <v>2715.57</v>
      </c>
      <c r="H106" s="2358"/>
    </row>
    <row r="107" spans="1:8">
      <c r="A107" s="2797">
        <v>45371</v>
      </c>
      <c r="B107" s="2799">
        <v>42729.97</v>
      </c>
      <c r="C107" s="2799">
        <v>434.25</v>
      </c>
      <c r="D107" s="2799">
        <v>15745.82</v>
      </c>
      <c r="E107" s="2799">
        <v>2673.47</v>
      </c>
      <c r="H107" s="2358"/>
    </row>
    <row r="108" spans="1:8">
      <c r="A108" s="2797">
        <v>45370</v>
      </c>
      <c r="B108" s="2799">
        <v>42887.08</v>
      </c>
      <c r="C108" s="2799">
        <v>435.02</v>
      </c>
      <c r="D108" s="2799">
        <v>15644.33</v>
      </c>
      <c r="E108" s="2799">
        <v>2661.78</v>
      </c>
      <c r="H108" s="2358"/>
    </row>
    <row r="109" spans="1:8">
      <c r="A109" s="2797">
        <v>45369</v>
      </c>
      <c r="B109" s="2799">
        <v>42935.74</v>
      </c>
      <c r="C109" s="2799">
        <v>432.63</v>
      </c>
      <c r="D109" s="2799">
        <v>15585.71</v>
      </c>
      <c r="E109" s="2799">
        <v>2687.87</v>
      </c>
      <c r="H109" s="2358"/>
    </row>
    <row r="110" spans="1:8">
      <c r="A110" s="2797">
        <v>45368</v>
      </c>
      <c r="B110" s="2799" t="s">
        <v>1146</v>
      </c>
      <c r="C110" s="2799" t="s">
        <v>1146</v>
      </c>
      <c r="D110" s="2799" t="s">
        <v>1146</v>
      </c>
      <c r="E110" s="2799" t="s">
        <v>1146</v>
      </c>
      <c r="H110" s="2358"/>
    </row>
    <row r="111" spans="1:8">
      <c r="A111" s="2797">
        <v>45367</v>
      </c>
      <c r="B111" s="2799" t="s">
        <v>1146</v>
      </c>
      <c r="C111" s="2799" t="s">
        <v>1146</v>
      </c>
      <c r="D111" s="2799" t="s">
        <v>1146</v>
      </c>
      <c r="E111" s="2799" t="s">
        <v>1146</v>
      </c>
      <c r="H111" s="2358"/>
    </row>
    <row r="112" spans="1:8">
      <c r="A112" s="2797">
        <v>45366</v>
      </c>
      <c r="B112" s="2799">
        <v>42447.199999999997</v>
      </c>
      <c r="C112" s="2799">
        <v>426.98</v>
      </c>
      <c r="D112" s="2799">
        <v>15504.08</v>
      </c>
      <c r="E112" s="2799">
        <v>2678.21</v>
      </c>
      <c r="H112" s="2358"/>
    </row>
    <row r="113" spans="1:8">
      <c r="A113" s="2797">
        <v>45365</v>
      </c>
      <c r="B113" s="2799">
        <v>42998.03</v>
      </c>
      <c r="C113" s="2799">
        <v>429.73</v>
      </c>
      <c r="D113" s="2799">
        <v>15593.13</v>
      </c>
      <c r="E113" s="2799">
        <v>2713.91</v>
      </c>
      <c r="H113" s="2358"/>
    </row>
    <row r="114" spans="1:8">
      <c r="A114" s="2797">
        <v>45364</v>
      </c>
      <c r="B114" s="2799">
        <v>42976.87</v>
      </c>
      <c r="C114" s="2799">
        <v>431.88</v>
      </c>
      <c r="D114" s="2799">
        <v>15650.45</v>
      </c>
      <c r="E114" s="2799">
        <v>2707.23</v>
      </c>
      <c r="H114" s="2358"/>
    </row>
    <row r="115" spans="1:8">
      <c r="A115" s="2797">
        <v>45363</v>
      </c>
      <c r="B115" s="2799">
        <v>42946.76</v>
      </c>
      <c r="C115" s="2799">
        <v>436.86</v>
      </c>
      <c r="D115" s="2799">
        <v>15654.67</v>
      </c>
      <c r="E115" s="2799">
        <v>2713.18</v>
      </c>
      <c r="H115" s="2358"/>
    </row>
    <row r="116" spans="1:8">
      <c r="A116" s="2797">
        <v>45362</v>
      </c>
      <c r="B116" s="2799">
        <v>42540.32</v>
      </c>
      <c r="C116" s="2799">
        <v>430.87</v>
      </c>
      <c r="D116" s="2799">
        <v>15515.11</v>
      </c>
      <c r="E116" s="2799">
        <v>2686.52</v>
      </c>
      <c r="H116" s="2358"/>
    </row>
    <row r="117" spans="1:8">
      <c r="A117" s="2797">
        <v>45361</v>
      </c>
      <c r="B117" s="2799" t="s">
        <v>1146</v>
      </c>
      <c r="C117" s="2799" t="s">
        <v>1146</v>
      </c>
      <c r="D117" s="2799" t="s">
        <v>1146</v>
      </c>
      <c r="E117" s="2799" t="s">
        <v>1146</v>
      </c>
      <c r="H117" s="2358"/>
    </row>
    <row r="118" spans="1:8">
      <c r="A118" s="2797">
        <v>45360</v>
      </c>
      <c r="B118" s="2799" t="s">
        <v>1146</v>
      </c>
      <c r="C118" s="2799" t="s">
        <v>1146</v>
      </c>
      <c r="D118" s="2799" t="s">
        <v>1146</v>
      </c>
      <c r="E118" s="2799" t="s">
        <v>1146</v>
      </c>
      <c r="H118" s="2358"/>
    </row>
    <row r="119" spans="1:8">
      <c r="A119" s="2797">
        <v>45359</v>
      </c>
      <c r="B119" s="2799">
        <v>42668.07</v>
      </c>
      <c r="C119" s="2799">
        <v>428.79</v>
      </c>
      <c r="D119" s="2799">
        <v>15575.09</v>
      </c>
      <c r="E119" s="2799">
        <v>2681.35</v>
      </c>
      <c r="H119" s="2358"/>
    </row>
    <row r="120" spans="1:8">
      <c r="A120" s="2797">
        <v>45358</v>
      </c>
      <c r="B120" s="2799">
        <v>42470.1</v>
      </c>
      <c r="C120" s="2799">
        <v>438.26</v>
      </c>
      <c r="D120" s="2799">
        <v>15625.42</v>
      </c>
      <c r="E120" s="2799">
        <v>2663.55</v>
      </c>
      <c r="H120" s="2358"/>
    </row>
    <row r="121" spans="1:8">
      <c r="A121" s="2797">
        <v>45357</v>
      </c>
      <c r="B121" s="2799">
        <v>42051.58</v>
      </c>
      <c r="C121" s="2799">
        <v>439.95</v>
      </c>
      <c r="D121" s="2799">
        <v>15460.72</v>
      </c>
      <c r="E121" s="2799">
        <v>2657.19</v>
      </c>
      <c r="H121" s="2358"/>
    </row>
    <row r="122" spans="1:8">
      <c r="A122" s="2797">
        <v>45356</v>
      </c>
      <c r="B122" s="2799">
        <v>41808.910000000003</v>
      </c>
      <c r="C122" s="2799">
        <v>438.58</v>
      </c>
      <c r="D122" s="2799">
        <v>15368.32</v>
      </c>
      <c r="E122" s="2799">
        <v>2640.98</v>
      </c>
      <c r="H122" s="2358"/>
    </row>
    <row r="123" spans="1:8">
      <c r="A123" s="2797">
        <v>45355</v>
      </c>
      <c r="B123" s="2799">
        <v>41632.9</v>
      </c>
      <c r="C123" s="2799">
        <v>437.95</v>
      </c>
      <c r="D123" s="2799">
        <v>15483.31</v>
      </c>
      <c r="E123" s="2799">
        <v>2663.35</v>
      </c>
      <c r="H123" s="2358"/>
    </row>
    <row r="124" spans="1:8">
      <c r="A124" s="2797">
        <v>45354</v>
      </c>
      <c r="B124" s="2799" t="s">
        <v>1146</v>
      </c>
      <c r="C124" s="2799" t="s">
        <v>1146</v>
      </c>
      <c r="D124" s="2799" t="s">
        <v>1146</v>
      </c>
      <c r="E124" s="2799" t="s">
        <v>1146</v>
      </c>
      <c r="H124" s="2358"/>
    </row>
    <row r="125" spans="1:8">
      <c r="A125" s="2797">
        <v>45353</v>
      </c>
      <c r="B125" s="2799" t="s">
        <v>1146</v>
      </c>
      <c r="C125" s="2799" t="s">
        <v>1146</v>
      </c>
      <c r="D125" s="2799" t="s">
        <v>1146</v>
      </c>
      <c r="E125" s="2799" t="s">
        <v>1146</v>
      </c>
      <c r="H125" s="2358"/>
    </row>
    <row r="126" spans="1:8">
      <c r="A126" s="2797">
        <v>45352</v>
      </c>
      <c r="B126" s="2799">
        <v>40836.31</v>
      </c>
      <c r="C126" s="2799">
        <v>435.58</v>
      </c>
      <c r="D126" s="2799">
        <v>15491.03</v>
      </c>
      <c r="E126" s="2799">
        <v>2648.51</v>
      </c>
      <c r="H126" s="2358"/>
    </row>
    <row r="127" spans="1:8">
      <c r="A127" s="2797">
        <v>45351</v>
      </c>
      <c r="B127" s="2799">
        <v>40902.82</v>
      </c>
      <c r="C127" s="2799">
        <v>432.26</v>
      </c>
      <c r="D127" s="2799">
        <v>15366.38</v>
      </c>
      <c r="E127" s="2799">
        <v>2638.61</v>
      </c>
      <c r="H127" s="2358"/>
    </row>
    <row r="128" spans="1:8">
      <c r="A128" s="2797">
        <v>45350</v>
      </c>
      <c r="B128" s="2799" t="s">
        <v>1146</v>
      </c>
      <c r="C128" s="2799" t="s">
        <v>1146</v>
      </c>
      <c r="D128" s="2799">
        <v>15296.42</v>
      </c>
      <c r="E128" s="2799">
        <v>2632.72</v>
      </c>
      <c r="H128" s="2358"/>
    </row>
    <row r="129" spans="1:8">
      <c r="A129" s="2797">
        <v>45349</v>
      </c>
      <c r="B129" s="2799">
        <v>40660.519999999997</v>
      </c>
      <c r="C129" s="2799">
        <v>427.4</v>
      </c>
      <c r="D129" s="2799">
        <v>15337.12</v>
      </c>
      <c r="E129" s="2799">
        <v>2655.17</v>
      </c>
      <c r="H129" s="2358"/>
    </row>
    <row r="130" spans="1:8">
      <c r="A130" s="2797">
        <v>45348</v>
      </c>
      <c r="B130" s="2799">
        <v>40862.449999999997</v>
      </c>
      <c r="C130" s="2799">
        <v>429.68</v>
      </c>
      <c r="D130" s="2799">
        <v>15308.67</v>
      </c>
      <c r="E130" s="2799">
        <v>2645.55</v>
      </c>
      <c r="H130" s="2358"/>
    </row>
    <row r="131" spans="1:8">
      <c r="A131" s="2797">
        <v>45347</v>
      </c>
      <c r="B131" s="2799" t="s">
        <v>1146</v>
      </c>
      <c r="C131" s="2799" t="s">
        <v>1146</v>
      </c>
      <c r="D131" s="2799" t="s">
        <v>1146</v>
      </c>
      <c r="E131" s="2799" t="s">
        <v>1146</v>
      </c>
      <c r="H131" s="2358"/>
    </row>
    <row r="132" spans="1:8">
      <c r="A132" s="2797">
        <v>45346</v>
      </c>
      <c r="B132" s="2799" t="s">
        <v>1146</v>
      </c>
      <c r="C132" s="2799" t="s">
        <v>1146</v>
      </c>
      <c r="D132" s="2799" t="s">
        <v>1146</v>
      </c>
      <c r="E132" s="2799" t="s">
        <v>1146</v>
      </c>
      <c r="H132" s="2358"/>
    </row>
    <row r="133" spans="1:8">
      <c r="A133" s="2797">
        <v>45345</v>
      </c>
      <c r="B133" s="2799">
        <v>40735.519999999997</v>
      </c>
      <c r="C133" s="2799">
        <v>427.28</v>
      </c>
      <c r="D133" s="2799">
        <v>15346</v>
      </c>
      <c r="E133" s="2799">
        <v>2656.23</v>
      </c>
      <c r="H133" s="2358"/>
    </row>
    <row r="134" spans="1:8">
      <c r="A134" s="2797">
        <v>45344</v>
      </c>
      <c r="B134" s="2799">
        <v>40657</v>
      </c>
      <c r="C134" s="2799">
        <v>428.08</v>
      </c>
      <c r="D134" s="2799">
        <v>15326.46</v>
      </c>
      <c r="E134" s="2799">
        <v>2659.01</v>
      </c>
      <c r="H134" s="2358"/>
    </row>
    <row r="135" spans="1:8">
      <c r="A135" s="2797">
        <v>45343</v>
      </c>
      <c r="B135" s="2799">
        <v>40276.449999999997</v>
      </c>
      <c r="C135" s="2799">
        <v>425.3</v>
      </c>
      <c r="D135" s="2799">
        <v>15059.2</v>
      </c>
      <c r="E135" s="2799">
        <v>2635.57</v>
      </c>
      <c r="H135" s="2358"/>
    </row>
    <row r="136" spans="1:8">
      <c r="A136" s="2797">
        <v>45342</v>
      </c>
      <c r="B136" s="2799">
        <v>40442.160000000003</v>
      </c>
      <c r="C136" s="2799">
        <v>425.34</v>
      </c>
      <c r="D136" s="2799">
        <v>15068</v>
      </c>
      <c r="E136" s="2799">
        <v>2631.31</v>
      </c>
      <c r="H136" s="2358"/>
    </row>
    <row r="137" spans="1:8">
      <c r="A137" s="2797">
        <v>45341</v>
      </c>
      <c r="B137" s="2799">
        <v>40189.07</v>
      </c>
      <c r="C137" s="2799">
        <v>424.71</v>
      </c>
      <c r="D137" s="2799">
        <v>15125.05</v>
      </c>
      <c r="E137" s="2799">
        <v>2624.46</v>
      </c>
      <c r="H137" s="2358"/>
    </row>
    <row r="138" spans="1:8">
      <c r="A138" s="2797">
        <v>45340</v>
      </c>
      <c r="B138" s="2799" t="s">
        <v>1146</v>
      </c>
      <c r="C138" s="2799" t="s">
        <v>1146</v>
      </c>
      <c r="D138" s="2799" t="s">
        <v>1146</v>
      </c>
      <c r="E138" s="2799" t="s">
        <v>1146</v>
      </c>
      <c r="H138" s="2358"/>
    </row>
    <row r="139" spans="1:8">
      <c r="A139" s="2797">
        <v>45339</v>
      </c>
      <c r="B139" s="2799" t="s">
        <v>1146</v>
      </c>
      <c r="C139" s="2799" t="s">
        <v>1146</v>
      </c>
      <c r="D139" s="2799" t="s">
        <v>1146</v>
      </c>
      <c r="E139" s="2799" t="s">
        <v>1146</v>
      </c>
      <c r="H139" s="2358"/>
    </row>
    <row r="140" spans="1:8">
      <c r="A140" s="2797">
        <v>45338</v>
      </c>
      <c r="B140" s="2799">
        <v>40127.51</v>
      </c>
      <c r="C140" s="2799">
        <v>422.98</v>
      </c>
      <c r="D140" s="2799">
        <v>15117.03</v>
      </c>
      <c r="E140" s="2799">
        <v>2623.89</v>
      </c>
      <c r="H140" s="2358"/>
    </row>
    <row r="141" spans="1:8">
      <c r="A141" s="2797">
        <v>45337</v>
      </c>
      <c r="B141" s="2799">
        <v>40207.99</v>
      </c>
      <c r="C141" s="2799">
        <v>420.22</v>
      </c>
      <c r="D141" s="2799">
        <v>15136.62</v>
      </c>
      <c r="E141" s="2799">
        <v>2601.81</v>
      </c>
      <c r="H141" s="2358"/>
    </row>
    <row r="142" spans="1:8">
      <c r="A142" s="2797">
        <v>45336</v>
      </c>
      <c r="B142" s="2799" t="s">
        <v>1146</v>
      </c>
      <c r="C142" s="2799" t="s">
        <v>1146</v>
      </c>
      <c r="D142" s="2799">
        <v>15022.34</v>
      </c>
      <c r="E142" s="2799">
        <v>2578.87</v>
      </c>
      <c r="H142" s="2358"/>
    </row>
    <row r="143" spans="1:8">
      <c r="A143" s="2797">
        <v>45335</v>
      </c>
      <c r="B143" s="2799" t="s">
        <v>1146</v>
      </c>
      <c r="C143" s="2799" t="s">
        <v>1146</v>
      </c>
      <c r="D143" s="2799">
        <v>14903.07</v>
      </c>
      <c r="E143" s="2799">
        <v>2573.5100000000002</v>
      </c>
      <c r="H143" s="2358"/>
    </row>
    <row r="144" spans="1:8">
      <c r="A144" s="2797">
        <v>45334</v>
      </c>
      <c r="B144" s="2799" t="s">
        <v>1146</v>
      </c>
      <c r="C144" s="2799" t="s">
        <v>1146</v>
      </c>
      <c r="D144" s="2799">
        <v>15089.12</v>
      </c>
      <c r="E144" s="2799">
        <v>2571.44</v>
      </c>
      <c r="H144" s="2358"/>
    </row>
    <row r="145" spans="1:8">
      <c r="A145" s="2797">
        <v>45333</v>
      </c>
      <c r="B145" s="2799" t="s">
        <v>1146</v>
      </c>
      <c r="C145" s="2799" t="s">
        <v>1146</v>
      </c>
      <c r="D145" s="2799" t="s">
        <v>1146</v>
      </c>
      <c r="E145" s="2799" t="s">
        <v>1146</v>
      </c>
      <c r="H145" s="2358"/>
    </row>
    <row r="146" spans="1:8">
      <c r="A146" s="2797">
        <v>45332</v>
      </c>
      <c r="B146" s="2799" t="s">
        <v>1146</v>
      </c>
      <c r="C146" s="2799" t="s">
        <v>1146</v>
      </c>
      <c r="D146" s="2799" t="s">
        <v>1146</v>
      </c>
      <c r="E146" s="2799" t="s">
        <v>1146</v>
      </c>
      <c r="H146" s="2358"/>
    </row>
    <row r="147" spans="1:8">
      <c r="A147" s="2797">
        <v>45331</v>
      </c>
      <c r="B147" s="2799" t="s">
        <v>1146</v>
      </c>
      <c r="C147" s="2799" t="s">
        <v>1146</v>
      </c>
      <c r="D147" s="2799">
        <v>15090.9</v>
      </c>
      <c r="E147" s="2799">
        <v>2569.67</v>
      </c>
      <c r="H147" s="2358"/>
    </row>
    <row r="148" spans="1:8">
      <c r="A148" s="2797">
        <v>45330</v>
      </c>
      <c r="B148" s="2799" t="s">
        <v>1146</v>
      </c>
      <c r="C148" s="2799" t="s">
        <v>1146</v>
      </c>
      <c r="D148" s="2799">
        <v>15018.64</v>
      </c>
      <c r="E148" s="2799">
        <v>2574.7600000000002</v>
      </c>
      <c r="H148" s="2358"/>
    </row>
    <row r="149" spans="1:8">
      <c r="A149" s="2797">
        <v>45329</v>
      </c>
      <c r="B149" s="2799" t="s">
        <v>1146</v>
      </c>
      <c r="C149" s="2799" t="s">
        <v>1146</v>
      </c>
      <c r="D149" s="2799">
        <v>15012.33</v>
      </c>
      <c r="E149" s="2799">
        <v>2587.5300000000002</v>
      </c>
      <c r="H149" s="2358"/>
    </row>
    <row r="150" spans="1:8">
      <c r="A150" s="2797">
        <v>45328</v>
      </c>
      <c r="B150" s="2799" t="s">
        <v>1146</v>
      </c>
      <c r="C150" s="2799" t="s">
        <v>1146</v>
      </c>
      <c r="D150" s="2799">
        <v>14917.68</v>
      </c>
      <c r="E150" s="2799">
        <v>2580.5100000000002</v>
      </c>
      <c r="H150" s="2358"/>
    </row>
    <row r="151" spans="1:8">
      <c r="A151" s="2797">
        <v>45327</v>
      </c>
      <c r="B151" s="2799">
        <v>39025.11</v>
      </c>
      <c r="C151" s="2799">
        <v>413.55</v>
      </c>
      <c r="D151" s="2799">
        <v>14866.92</v>
      </c>
      <c r="E151" s="2799">
        <v>2537.71</v>
      </c>
      <c r="H151" s="2358"/>
    </row>
    <row r="152" spans="1:8">
      <c r="A152" s="2797">
        <v>45326</v>
      </c>
      <c r="B152" s="2799" t="s">
        <v>1146</v>
      </c>
      <c r="C152" s="2799" t="s">
        <v>1146</v>
      </c>
      <c r="D152" s="2799" t="s">
        <v>1146</v>
      </c>
      <c r="E152" s="2799" t="s">
        <v>1146</v>
      </c>
      <c r="H152" s="2358"/>
    </row>
    <row r="153" spans="1:8">
      <c r="A153" s="2797">
        <v>45325</v>
      </c>
      <c r="B153" s="2799" t="s">
        <v>1146</v>
      </c>
      <c r="C153" s="2799" t="s">
        <v>1146</v>
      </c>
      <c r="D153" s="2799" t="s">
        <v>1146</v>
      </c>
      <c r="E153" s="2799" t="s">
        <v>1146</v>
      </c>
      <c r="H153" s="2358"/>
    </row>
    <row r="154" spans="1:8">
      <c r="A154" s="2797">
        <v>45324</v>
      </c>
      <c r="B154" s="2799">
        <v>38947.18</v>
      </c>
      <c r="C154" s="2799">
        <v>414.34</v>
      </c>
      <c r="D154" s="2799">
        <v>14931.49</v>
      </c>
      <c r="E154" s="2799">
        <v>2550.39</v>
      </c>
      <c r="H154" s="2358"/>
    </row>
    <row r="155" spans="1:8">
      <c r="A155" s="2797">
        <v>45323</v>
      </c>
      <c r="B155" s="2799">
        <v>38749.160000000003</v>
      </c>
      <c r="C155" s="2799">
        <v>411.28</v>
      </c>
      <c r="D155" s="2799">
        <v>14835.15</v>
      </c>
      <c r="E155" s="2799">
        <v>2534.69</v>
      </c>
      <c r="H155" s="2358"/>
    </row>
    <row r="156" spans="1:8">
      <c r="A156" s="2797">
        <v>45322</v>
      </c>
      <c r="B156" s="2799">
        <v>38579.769999999997</v>
      </c>
      <c r="C156" s="2799">
        <v>410.8</v>
      </c>
      <c r="D156" s="2799">
        <v>14735.89</v>
      </c>
      <c r="E156" s="2799">
        <v>2518.36</v>
      </c>
      <c r="H156" s="2358"/>
    </row>
    <row r="157" spans="1:8">
      <c r="A157" s="2797">
        <v>45321</v>
      </c>
      <c r="B157" s="2799">
        <v>38892.620000000003</v>
      </c>
      <c r="C157" s="2799">
        <v>409.98</v>
      </c>
      <c r="D157" s="2799">
        <v>14880.07</v>
      </c>
      <c r="E157" s="2799">
        <v>2530.7199999999998</v>
      </c>
      <c r="H157" s="2358"/>
    </row>
    <row r="158" spans="1:8">
      <c r="A158" s="2797">
        <v>45320</v>
      </c>
      <c r="B158" s="2799">
        <v>39075.93</v>
      </c>
      <c r="C158" s="2799">
        <v>409.11</v>
      </c>
      <c r="D158" s="2799">
        <v>14877.17</v>
      </c>
      <c r="E158" s="2799">
        <v>2555.4299999999998</v>
      </c>
      <c r="H158" s="2358"/>
    </row>
    <row r="159" spans="1:8">
      <c r="A159" s="2797">
        <v>45319</v>
      </c>
      <c r="B159" s="2799" t="s">
        <v>1146</v>
      </c>
      <c r="C159" s="2799" t="s">
        <v>1146</v>
      </c>
      <c r="D159" s="2799" t="s">
        <v>1146</v>
      </c>
      <c r="E159" s="2799" t="s">
        <v>1146</v>
      </c>
      <c r="H159" s="2358"/>
    </row>
    <row r="160" spans="1:8">
      <c r="A160" s="2797">
        <v>45318</v>
      </c>
      <c r="B160" s="2799" t="s">
        <v>1146</v>
      </c>
      <c r="C160" s="2799" t="s">
        <v>1146</v>
      </c>
      <c r="D160" s="2799" t="s">
        <v>1146</v>
      </c>
      <c r="E160" s="2799" t="s">
        <v>1146</v>
      </c>
      <c r="H160" s="2358"/>
    </row>
    <row r="161" spans="1:8">
      <c r="A161" s="2797">
        <v>45317</v>
      </c>
      <c r="B161" s="2799">
        <v>38807.22</v>
      </c>
      <c r="C161" s="2799">
        <v>405.87</v>
      </c>
      <c r="D161" s="2799">
        <v>14784.41</v>
      </c>
      <c r="E161" s="2799">
        <v>2542.31</v>
      </c>
      <c r="H161" s="2358"/>
    </row>
    <row r="162" spans="1:8">
      <c r="A162" s="2797">
        <v>45316</v>
      </c>
      <c r="B162" s="2799">
        <v>38823.589999999997</v>
      </c>
      <c r="C162" s="2799">
        <v>405.99</v>
      </c>
      <c r="D162" s="2799">
        <v>14766.41</v>
      </c>
      <c r="E162" s="2799">
        <v>2550.59</v>
      </c>
      <c r="H162" s="2358"/>
    </row>
    <row r="163" spans="1:8">
      <c r="A163" s="2797">
        <v>45315</v>
      </c>
      <c r="B163" s="2799">
        <v>38550.160000000003</v>
      </c>
      <c r="C163" s="2799">
        <v>407.16</v>
      </c>
      <c r="D163" s="2799">
        <v>14725.51</v>
      </c>
      <c r="E163" s="2799">
        <v>2535.19</v>
      </c>
      <c r="H163" s="2358"/>
    </row>
    <row r="164" spans="1:8">
      <c r="A164" s="2797">
        <v>45314</v>
      </c>
      <c r="B164" s="2799">
        <v>38547.480000000003</v>
      </c>
      <c r="C164" s="2799">
        <v>406.35</v>
      </c>
      <c r="D164" s="2799">
        <v>14666.94</v>
      </c>
      <c r="E164" s="2799">
        <v>2503.14</v>
      </c>
      <c r="H164" s="2358"/>
    </row>
    <row r="165" spans="1:8">
      <c r="A165" s="2797">
        <v>45313</v>
      </c>
      <c r="B165" s="2799">
        <v>38419.19</v>
      </c>
      <c r="C165" s="2799">
        <v>403.5</v>
      </c>
      <c r="D165" s="2799">
        <v>14658.41</v>
      </c>
      <c r="E165" s="2799">
        <v>2488.12</v>
      </c>
      <c r="H165" s="2358"/>
    </row>
    <row r="166" spans="1:8">
      <c r="A166" s="2797">
        <v>45312</v>
      </c>
      <c r="B166" s="2799" t="s">
        <v>1146</v>
      </c>
      <c r="C166" s="2799" t="s">
        <v>1146</v>
      </c>
      <c r="D166" s="2799" t="s">
        <v>1146</v>
      </c>
      <c r="E166" s="2799" t="s">
        <v>1146</v>
      </c>
      <c r="H166" s="2358"/>
    </row>
    <row r="167" spans="1:8">
      <c r="A167" s="2797">
        <v>45311</v>
      </c>
      <c r="B167" s="2799" t="s">
        <v>1146</v>
      </c>
      <c r="C167" s="2799" t="s">
        <v>1146</v>
      </c>
      <c r="D167" s="2799" t="s">
        <v>1146</v>
      </c>
      <c r="E167" s="2799" t="s">
        <v>1146</v>
      </c>
      <c r="H167" s="2358"/>
    </row>
    <row r="168" spans="1:8">
      <c r="A168" s="2797">
        <v>45310</v>
      </c>
      <c r="B168" s="2799">
        <v>38131.129999999997</v>
      </c>
      <c r="C168" s="2799">
        <v>398.71</v>
      </c>
      <c r="D168" s="2799">
        <v>14594.73</v>
      </c>
      <c r="E168" s="2799">
        <v>2505.54</v>
      </c>
      <c r="H168" s="2358"/>
    </row>
    <row r="169" spans="1:8">
      <c r="A169" s="2797">
        <v>45309</v>
      </c>
      <c r="B169" s="2799">
        <v>37152.629999999997</v>
      </c>
      <c r="C169" s="2799">
        <v>394.95</v>
      </c>
      <c r="D169" s="2799">
        <v>14446.35</v>
      </c>
      <c r="E169" s="2799">
        <v>2480.67</v>
      </c>
      <c r="H169" s="2358"/>
    </row>
    <row r="170" spans="1:8">
      <c r="A170" s="2797">
        <v>45308</v>
      </c>
      <c r="B170" s="2799">
        <v>37010.29</v>
      </c>
      <c r="C170" s="2799">
        <v>395.66</v>
      </c>
      <c r="D170" s="2799">
        <v>14340.77</v>
      </c>
      <c r="E170" s="2799">
        <v>2473.0500000000002</v>
      </c>
      <c r="H170" s="2358"/>
    </row>
    <row r="171" spans="1:8">
      <c r="A171" s="2797">
        <v>45307</v>
      </c>
      <c r="B171" s="2799">
        <v>37409.42</v>
      </c>
      <c r="C171" s="2799">
        <v>401.92</v>
      </c>
      <c r="D171" s="2799">
        <v>14458.19</v>
      </c>
      <c r="E171" s="2799">
        <v>2528.0700000000002</v>
      </c>
      <c r="H171" s="2358"/>
    </row>
    <row r="172" spans="1:8">
      <c r="A172" s="2797">
        <v>45306</v>
      </c>
      <c r="B172" s="2799">
        <v>37840.639999999999</v>
      </c>
      <c r="C172" s="2799">
        <v>403.36</v>
      </c>
      <c r="D172" s="2799">
        <v>14545.73</v>
      </c>
      <c r="E172" s="2799">
        <v>2567.91</v>
      </c>
      <c r="H172" s="2358"/>
    </row>
    <row r="173" spans="1:8">
      <c r="A173" s="2797">
        <v>45305</v>
      </c>
      <c r="B173" s="2799" t="s">
        <v>1146</v>
      </c>
      <c r="C173" s="2799" t="s">
        <v>1146</v>
      </c>
      <c r="D173" s="2799" t="s">
        <v>1146</v>
      </c>
      <c r="E173" s="2799" t="s">
        <v>1146</v>
      </c>
      <c r="H173" s="2358"/>
    </row>
    <row r="174" spans="1:8">
      <c r="A174" s="2797">
        <v>45304</v>
      </c>
      <c r="B174" s="2799" t="s">
        <v>1146</v>
      </c>
      <c r="C174" s="2799" t="s">
        <v>1146</v>
      </c>
      <c r="D174" s="2799" t="s">
        <v>1146</v>
      </c>
      <c r="E174" s="2799" t="s">
        <v>1146</v>
      </c>
      <c r="H174" s="2358"/>
    </row>
    <row r="175" spans="1:8">
      <c r="A175" s="2797">
        <v>45303</v>
      </c>
      <c r="B175" s="2799">
        <v>37767.32</v>
      </c>
      <c r="C175" s="2799">
        <v>398.92</v>
      </c>
      <c r="D175" s="2799">
        <v>14560.19</v>
      </c>
      <c r="E175" s="2799">
        <v>2570.86</v>
      </c>
      <c r="H175" s="2358"/>
    </row>
    <row r="176" spans="1:8">
      <c r="A176" s="2797">
        <v>45302</v>
      </c>
      <c r="B176" s="2799">
        <v>37837.4</v>
      </c>
      <c r="C176" s="2799">
        <v>401.05</v>
      </c>
      <c r="D176" s="2799">
        <v>14508.88</v>
      </c>
      <c r="E176" s="2799">
        <v>2566.85</v>
      </c>
      <c r="H176" s="2358"/>
    </row>
    <row r="177" spans="1:8">
      <c r="A177" s="2797">
        <v>45301</v>
      </c>
      <c r="B177" s="2799">
        <v>37665.54</v>
      </c>
      <c r="C177" s="2799">
        <v>397.06</v>
      </c>
      <c r="D177" s="2799">
        <v>14527.59</v>
      </c>
      <c r="E177" s="2799">
        <v>2551.94</v>
      </c>
      <c r="H177" s="2358"/>
    </row>
    <row r="178" spans="1:8">
      <c r="A178" s="2797">
        <v>45300</v>
      </c>
      <c r="B178" s="2799">
        <v>37816.199999999997</v>
      </c>
      <c r="C178" s="2799">
        <v>397.19</v>
      </c>
      <c r="D178" s="2799">
        <v>14460.67</v>
      </c>
      <c r="E178" s="2799">
        <v>2562.3200000000002</v>
      </c>
      <c r="H178" s="2358"/>
    </row>
    <row r="179" spans="1:8">
      <c r="A179" s="2797">
        <v>45299</v>
      </c>
      <c r="B179" s="2799">
        <v>37896.36</v>
      </c>
      <c r="C179" s="2799">
        <v>399.06</v>
      </c>
      <c r="D179" s="2799">
        <v>14489.37</v>
      </c>
      <c r="E179" s="2799">
        <v>2571.91</v>
      </c>
      <c r="H179" s="2358"/>
    </row>
    <row r="180" spans="1:8">
      <c r="A180" s="2797">
        <v>45298</v>
      </c>
      <c r="B180" s="2799" t="s">
        <v>1146</v>
      </c>
      <c r="C180" s="2799" t="s">
        <v>1146</v>
      </c>
      <c r="D180" s="2799" t="s">
        <v>1146</v>
      </c>
      <c r="E180" s="2799" t="s">
        <v>1146</v>
      </c>
      <c r="H180" s="2358"/>
    </row>
    <row r="181" spans="1:8">
      <c r="A181" s="2797">
        <v>45297</v>
      </c>
      <c r="B181" s="2799" t="s">
        <v>1146</v>
      </c>
      <c r="C181" s="2799" t="s">
        <v>1146</v>
      </c>
      <c r="D181" s="2799" t="s">
        <v>1146</v>
      </c>
      <c r="E181" s="2799" t="s">
        <v>1146</v>
      </c>
      <c r="H181" s="2358"/>
    </row>
    <row r="182" spans="1:8">
      <c r="A182" s="2797">
        <v>45296</v>
      </c>
      <c r="B182" s="2799">
        <v>37780.93</v>
      </c>
      <c r="C182" s="2799">
        <v>399.14</v>
      </c>
      <c r="D182" s="2799">
        <v>14337.23</v>
      </c>
      <c r="E182" s="2799">
        <v>2585.64</v>
      </c>
      <c r="H182" s="2358"/>
    </row>
    <row r="183" spans="1:8">
      <c r="A183" s="2797">
        <v>45295</v>
      </c>
      <c r="B183" s="2799">
        <v>37846.730000000003</v>
      </c>
      <c r="C183" s="2799">
        <v>397.1</v>
      </c>
      <c r="D183" s="2799">
        <v>14307.67</v>
      </c>
      <c r="E183" s="2799">
        <v>2591.2600000000002</v>
      </c>
      <c r="H183" s="2358"/>
    </row>
    <row r="184" spans="1:8">
      <c r="A184" s="2797">
        <v>45294</v>
      </c>
      <c r="B184" s="2799">
        <v>37840.620000000003</v>
      </c>
      <c r="C184" s="2799">
        <v>399.9</v>
      </c>
      <c r="D184" s="2799">
        <v>14313.5</v>
      </c>
      <c r="E184" s="2799">
        <v>2587.79</v>
      </c>
      <c r="H184" s="2358"/>
    </row>
    <row r="185" spans="1:8">
      <c r="A185" s="2797">
        <v>45293</v>
      </c>
      <c r="B185" s="2799">
        <v>38475.17</v>
      </c>
      <c r="C185" s="2799">
        <v>403.66</v>
      </c>
      <c r="D185" s="2799">
        <v>14449.67</v>
      </c>
      <c r="E185" s="2799">
        <v>2621.94</v>
      </c>
      <c r="H185" s="2358"/>
    </row>
    <row r="186" spans="1:8">
      <c r="A186" s="2797">
        <v>45292</v>
      </c>
      <c r="B186" s="2799" t="s">
        <v>1146</v>
      </c>
      <c r="C186" s="2799" t="s">
        <v>1146</v>
      </c>
      <c r="D186" s="2799">
        <v>14558.16</v>
      </c>
      <c r="E186" s="2799">
        <v>2643.13</v>
      </c>
    </row>
    <row r="187" spans="1:8">
      <c r="A187" s="2800">
        <v>45291</v>
      </c>
      <c r="B187" s="2798" t="s">
        <v>1146</v>
      </c>
      <c r="C187" s="2798" t="s">
        <v>1146</v>
      </c>
      <c r="D187" s="2798" t="s">
        <v>1146</v>
      </c>
      <c r="E187" s="2798" t="s">
        <v>1146</v>
      </c>
    </row>
    <row r="188" spans="1:8">
      <c r="A188" s="2800">
        <v>45290</v>
      </c>
      <c r="B188" s="2798" t="s">
        <v>1146</v>
      </c>
      <c r="C188" s="2798" t="s">
        <v>1146</v>
      </c>
      <c r="D188" s="2798" t="s">
        <v>1146</v>
      </c>
      <c r="E188" s="2798" t="s">
        <v>1146</v>
      </c>
    </row>
    <row r="189" spans="1:8">
      <c r="A189" s="2800">
        <v>45289</v>
      </c>
      <c r="B189" s="2798">
        <v>38641.199999999997</v>
      </c>
      <c r="C189" s="2798">
        <v>405.01</v>
      </c>
      <c r="D189" s="2798">
        <v>14557.83</v>
      </c>
      <c r="E189" s="2798">
        <v>2640.74</v>
      </c>
    </row>
    <row r="190" spans="1:8">
      <c r="A190" s="2800">
        <v>45288</v>
      </c>
      <c r="B190" s="2798">
        <v>38597.160000000003</v>
      </c>
      <c r="C190" s="2798">
        <v>404.83</v>
      </c>
      <c r="D190" s="2798">
        <v>14598.1</v>
      </c>
      <c r="E190" s="2798">
        <v>2638.52</v>
      </c>
    </row>
    <row r="191" spans="1:8">
      <c r="A191" s="2800">
        <v>45287</v>
      </c>
      <c r="B191" s="2798">
        <v>38556.5</v>
      </c>
      <c r="C191" s="2798">
        <v>406.26</v>
      </c>
      <c r="D191" s="2798">
        <v>14583.76</v>
      </c>
      <c r="E191" s="2798">
        <v>2604.81</v>
      </c>
    </row>
    <row r="192" spans="1:8">
      <c r="A192" s="2800">
        <v>45286</v>
      </c>
      <c r="B192" s="2798">
        <v>38255.279999999999</v>
      </c>
      <c r="C192" s="2798">
        <v>404.8</v>
      </c>
      <c r="D192" s="2798">
        <v>14521.5</v>
      </c>
      <c r="E192" s="2798">
        <v>2573.6999999999998</v>
      </c>
    </row>
    <row r="193" spans="1:5">
      <c r="A193" s="2800">
        <v>45285</v>
      </c>
      <c r="B193" s="2798">
        <v>37938.58</v>
      </c>
      <c r="C193" s="2798">
        <v>401.62</v>
      </c>
      <c r="D193" s="2798">
        <v>14474.8</v>
      </c>
      <c r="E193" s="2798">
        <v>2560.04</v>
      </c>
    </row>
    <row r="194" spans="1:5">
      <c r="A194" s="2800">
        <v>45284</v>
      </c>
      <c r="B194" s="2798" t="s">
        <v>1146</v>
      </c>
      <c r="C194" s="2798" t="s">
        <v>1146</v>
      </c>
      <c r="D194" s="2798" t="s">
        <v>1146</v>
      </c>
      <c r="E194" s="2798" t="s">
        <v>1146</v>
      </c>
    </row>
    <row r="195" spans="1:5">
      <c r="A195" s="2800">
        <v>45283</v>
      </c>
      <c r="B195" s="2798" t="s">
        <v>1146</v>
      </c>
      <c r="C195" s="2798" t="s">
        <v>1146</v>
      </c>
      <c r="D195" s="2798" t="s">
        <v>1146</v>
      </c>
      <c r="E195" s="2798" t="s">
        <v>1146</v>
      </c>
    </row>
    <row r="196" spans="1:5">
      <c r="A196" s="2800">
        <v>45282</v>
      </c>
      <c r="B196" s="2798">
        <v>37920.89</v>
      </c>
      <c r="C196" s="2798">
        <v>402.99</v>
      </c>
      <c r="D196" s="2798">
        <v>14473.72</v>
      </c>
      <c r="E196" s="2798">
        <v>2557.5500000000002</v>
      </c>
    </row>
    <row r="197" spans="1:5">
      <c r="A197" s="2800">
        <v>45281</v>
      </c>
      <c r="B197" s="2798">
        <v>37806.92</v>
      </c>
      <c r="C197" s="2798">
        <v>400.88</v>
      </c>
      <c r="D197" s="2798">
        <v>14440.78</v>
      </c>
      <c r="E197" s="2798">
        <v>2572.58</v>
      </c>
    </row>
    <row r="198" spans="1:5">
      <c r="A198" s="2800">
        <v>45280</v>
      </c>
      <c r="B198" s="2798">
        <v>38003.67</v>
      </c>
      <c r="C198" s="2798">
        <v>401.81</v>
      </c>
      <c r="D198" s="2798">
        <v>14333.28</v>
      </c>
      <c r="E198" s="2798">
        <v>2570.2600000000002</v>
      </c>
    </row>
    <row r="199" spans="1:5">
      <c r="A199" s="2800">
        <v>45279</v>
      </c>
      <c r="B199" s="2798">
        <v>37877.269999999997</v>
      </c>
      <c r="C199" s="2798">
        <v>399.69</v>
      </c>
      <c r="D199" s="2798">
        <v>14476.9</v>
      </c>
      <c r="E199" s="2798">
        <v>2571.9899999999998</v>
      </c>
    </row>
    <row r="200" spans="1:5">
      <c r="A200" s="2800">
        <v>45278</v>
      </c>
      <c r="B200" s="2798">
        <v>38039.93</v>
      </c>
      <c r="C200" s="2798">
        <v>403.72</v>
      </c>
      <c r="D200" s="2798">
        <v>14375.12</v>
      </c>
      <c r="E200" s="2798">
        <v>2570.15</v>
      </c>
    </row>
    <row r="201" spans="1:5">
      <c r="A201" s="2800">
        <v>45277</v>
      </c>
      <c r="B201" s="2798" t="s">
        <v>1146</v>
      </c>
      <c r="C201" s="2798" t="s">
        <v>1146</v>
      </c>
      <c r="D201" s="2798" t="s">
        <v>1146</v>
      </c>
      <c r="E201" s="2798" t="s">
        <v>1146</v>
      </c>
    </row>
    <row r="202" spans="1:5">
      <c r="A202" s="2800">
        <v>45276</v>
      </c>
      <c r="B202" s="2798" t="s">
        <v>1146</v>
      </c>
      <c r="C202" s="2798" t="s">
        <v>1146</v>
      </c>
      <c r="D202" s="2798" t="s">
        <v>1146</v>
      </c>
      <c r="E202" s="2798" t="s">
        <v>1146</v>
      </c>
    </row>
    <row r="203" spans="1:5">
      <c r="A203" s="2800">
        <v>45275</v>
      </c>
      <c r="B203" s="2798">
        <v>38086.910000000003</v>
      </c>
      <c r="C203" s="2798">
        <v>406.13</v>
      </c>
      <c r="D203" s="2798">
        <v>14351.08</v>
      </c>
      <c r="E203" s="2798">
        <v>2577.7800000000002</v>
      </c>
    </row>
    <row r="204" spans="1:5">
      <c r="A204" s="2800">
        <v>45274</v>
      </c>
      <c r="B204" s="2798">
        <v>38042.17</v>
      </c>
      <c r="C204" s="2798">
        <v>406.18</v>
      </c>
      <c r="D204" s="2798">
        <v>14363.19</v>
      </c>
      <c r="E204" s="2798">
        <v>2556.19</v>
      </c>
    </row>
    <row r="205" spans="1:5">
      <c r="A205" s="2800">
        <v>45273</v>
      </c>
      <c r="B205" s="2798">
        <v>37591.78</v>
      </c>
      <c r="C205" s="2798">
        <v>404.44</v>
      </c>
      <c r="D205" s="2798">
        <v>14233.5</v>
      </c>
      <c r="E205" s="2798">
        <v>2506.25</v>
      </c>
    </row>
    <row r="206" spans="1:5">
      <c r="A206" s="2800">
        <v>45272</v>
      </c>
      <c r="B206" s="2798">
        <v>37552.400000000001</v>
      </c>
      <c r="C206" s="2798">
        <v>403.62</v>
      </c>
      <c r="D206" s="2798">
        <v>14078.94</v>
      </c>
      <c r="E206" s="2798">
        <v>2514.2600000000002</v>
      </c>
    </row>
    <row r="207" spans="1:5">
      <c r="A207" s="2800">
        <v>45271</v>
      </c>
      <c r="B207" s="2798">
        <v>37482.9</v>
      </c>
      <c r="C207" s="2798">
        <v>402.42</v>
      </c>
      <c r="D207" s="2798">
        <v>14026.96</v>
      </c>
      <c r="E207" s="2798">
        <v>2505.4499999999998</v>
      </c>
    </row>
    <row r="208" spans="1:5">
      <c r="A208" s="2800">
        <v>45270</v>
      </c>
      <c r="B208" s="2798" t="s">
        <v>1146</v>
      </c>
      <c r="C208" s="2798" t="s">
        <v>1146</v>
      </c>
      <c r="D208" s="2798" t="s">
        <v>1146</v>
      </c>
      <c r="E208" s="2798" t="s">
        <v>1146</v>
      </c>
    </row>
    <row r="209" spans="1:5">
      <c r="A209" s="2800">
        <v>45269</v>
      </c>
      <c r="B209" s="2798" t="s">
        <v>1146</v>
      </c>
      <c r="C209" s="2798" t="s">
        <v>1146</v>
      </c>
      <c r="D209" s="2798" t="s">
        <v>1146</v>
      </c>
      <c r="E209" s="2798" t="s">
        <v>1146</v>
      </c>
    </row>
    <row r="210" spans="1:5">
      <c r="A210" s="2800">
        <v>45268</v>
      </c>
      <c r="B210" s="2798">
        <v>37408.99</v>
      </c>
      <c r="C210" s="2798">
        <v>401.42</v>
      </c>
      <c r="D210" s="2798">
        <v>13984.65</v>
      </c>
      <c r="E210" s="2798">
        <v>2509.96</v>
      </c>
    </row>
    <row r="211" spans="1:5">
      <c r="A211" s="2800">
        <v>45267</v>
      </c>
      <c r="B211" s="2798">
        <v>37182.51</v>
      </c>
      <c r="C211" s="2798">
        <v>399.22</v>
      </c>
      <c r="D211" s="2798">
        <v>13939.52</v>
      </c>
      <c r="E211" s="2798">
        <v>2497.2800000000002</v>
      </c>
    </row>
    <row r="212" spans="1:5">
      <c r="A212" s="2800">
        <v>45266</v>
      </c>
      <c r="B212" s="2798">
        <v>37356.410000000003</v>
      </c>
      <c r="C212" s="2798">
        <v>401.42</v>
      </c>
      <c r="D212" s="2798">
        <v>13862.15</v>
      </c>
      <c r="E212" s="2798">
        <v>2509.63</v>
      </c>
    </row>
    <row r="213" spans="1:5">
      <c r="A213" s="2800">
        <v>45265</v>
      </c>
      <c r="B213" s="2798">
        <v>37285.879999999997</v>
      </c>
      <c r="C213" s="2798">
        <v>400.12</v>
      </c>
      <c r="D213" s="2798">
        <v>13872</v>
      </c>
      <c r="E213" s="2798">
        <v>2502.0100000000002</v>
      </c>
    </row>
    <row r="214" spans="1:5">
      <c r="A214" s="2800">
        <v>45264</v>
      </c>
      <c r="B214" s="2798">
        <v>37487.01</v>
      </c>
      <c r="C214" s="2798">
        <v>402.99</v>
      </c>
      <c r="D214" s="2798">
        <v>13886.92</v>
      </c>
      <c r="E214" s="2798">
        <v>2523.08</v>
      </c>
    </row>
    <row r="215" spans="1:5">
      <c r="A215" s="2800">
        <v>45263</v>
      </c>
      <c r="B215" s="2798" t="s">
        <v>1146</v>
      </c>
      <c r="C215" s="2798" t="s">
        <v>1146</v>
      </c>
      <c r="D215" s="2798" t="s">
        <v>1146</v>
      </c>
      <c r="E215" s="2798" t="s">
        <v>1146</v>
      </c>
    </row>
    <row r="216" spans="1:5">
      <c r="A216" s="2800">
        <v>45262</v>
      </c>
      <c r="B216" s="2798" t="s">
        <v>1146</v>
      </c>
      <c r="C216" s="2798" t="s">
        <v>1146</v>
      </c>
      <c r="D216" s="2798" t="s">
        <v>1146</v>
      </c>
      <c r="E216" s="2798" t="s">
        <v>1146</v>
      </c>
    </row>
    <row r="217" spans="1:5">
      <c r="A217" s="2800">
        <v>45261</v>
      </c>
      <c r="B217" s="2798">
        <v>37523.31</v>
      </c>
      <c r="C217" s="2798">
        <v>401.44</v>
      </c>
      <c r="D217" s="2798">
        <v>13951.04</v>
      </c>
      <c r="E217" s="2798">
        <v>2527.7600000000002</v>
      </c>
    </row>
    <row r="218" spans="1:5">
      <c r="A218" s="2800">
        <v>45260</v>
      </c>
      <c r="B218" s="2798">
        <v>37513.620000000003</v>
      </c>
      <c r="C218" s="2798">
        <v>400.79</v>
      </c>
      <c r="D218" s="2798">
        <v>13871.96</v>
      </c>
      <c r="E218" s="2798">
        <v>2540.4899999999998</v>
      </c>
    </row>
    <row r="219" spans="1:5">
      <c r="A219" s="2800">
        <v>45259</v>
      </c>
      <c r="B219" s="2798">
        <v>37377.440000000002</v>
      </c>
      <c r="C219" s="2798">
        <v>399.29</v>
      </c>
      <c r="D219" s="2798">
        <v>13824.22</v>
      </c>
      <c r="E219" s="2798">
        <v>2529.96</v>
      </c>
    </row>
    <row r="220" spans="1:5">
      <c r="A220" s="2800">
        <v>45258</v>
      </c>
      <c r="B220" s="2798">
        <v>37314.339999999997</v>
      </c>
      <c r="C220" s="2798">
        <v>395.9</v>
      </c>
      <c r="D220" s="2798">
        <v>13816.18</v>
      </c>
      <c r="E220" s="2798">
        <v>2536.1</v>
      </c>
    </row>
    <row r="221" spans="1:5">
      <c r="A221" s="2800">
        <v>45257</v>
      </c>
      <c r="B221" s="2798">
        <v>36875.5</v>
      </c>
      <c r="C221" s="2798">
        <v>388.65</v>
      </c>
      <c r="D221" s="2798">
        <v>13795.08</v>
      </c>
      <c r="E221" s="2798">
        <v>2515.67</v>
      </c>
    </row>
    <row r="222" spans="1:5">
      <c r="A222" s="2800">
        <v>45256</v>
      </c>
      <c r="B222" s="2798" t="s">
        <v>1146</v>
      </c>
      <c r="C222" s="2798" t="s">
        <v>1146</v>
      </c>
      <c r="D222" s="2798" t="s">
        <v>1146</v>
      </c>
      <c r="E222" s="2798" t="s">
        <v>1146</v>
      </c>
    </row>
    <row r="223" spans="1:5">
      <c r="A223" s="2800">
        <v>45255</v>
      </c>
      <c r="B223" s="2798" t="s">
        <v>1146</v>
      </c>
      <c r="C223" s="2798" t="s">
        <v>1146</v>
      </c>
      <c r="D223" s="2798" t="s">
        <v>1146</v>
      </c>
      <c r="E223" s="2798" t="s">
        <v>1146</v>
      </c>
    </row>
    <row r="224" spans="1:5">
      <c r="A224" s="2800">
        <v>45254</v>
      </c>
      <c r="B224" s="2798">
        <v>37198.239999999998</v>
      </c>
      <c r="C224" s="2798">
        <v>391.95</v>
      </c>
      <c r="D224" s="2798">
        <v>13827.89</v>
      </c>
      <c r="E224" s="2798">
        <v>2522.66</v>
      </c>
    </row>
    <row r="225" spans="1:5">
      <c r="A225" s="2800">
        <v>45253</v>
      </c>
      <c r="B225" s="2798">
        <v>37213.599999999999</v>
      </c>
      <c r="C225" s="2798">
        <v>391.42</v>
      </c>
      <c r="D225" s="2798">
        <v>13797.95</v>
      </c>
      <c r="E225" s="2798">
        <v>2542.56</v>
      </c>
    </row>
    <row r="226" spans="1:5">
      <c r="A226" s="2800">
        <v>45252</v>
      </c>
      <c r="B226" s="2798">
        <v>37247.089999999997</v>
      </c>
      <c r="C226" s="2798">
        <v>390.88</v>
      </c>
      <c r="D226" s="2798">
        <v>13778.99</v>
      </c>
      <c r="E226" s="2798">
        <v>2530.92</v>
      </c>
    </row>
    <row r="227" spans="1:5">
      <c r="A227" s="2800">
        <v>45251</v>
      </c>
      <c r="B227" s="2798">
        <v>37476.120000000003</v>
      </c>
      <c r="C227" s="2798">
        <v>387.8</v>
      </c>
      <c r="D227" s="2798">
        <v>13756.09</v>
      </c>
      <c r="E227" s="2798">
        <v>2541.88</v>
      </c>
    </row>
    <row r="228" spans="1:5">
      <c r="A228" s="2800">
        <v>45250</v>
      </c>
      <c r="B228" s="2798">
        <v>37032.36</v>
      </c>
      <c r="C228" s="2798">
        <v>386.43</v>
      </c>
      <c r="D228" s="2798">
        <v>13778.71</v>
      </c>
      <c r="E228" s="2798">
        <v>2533.7800000000002</v>
      </c>
    </row>
    <row r="229" spans="1:5">
      <c r="A229" s="2800">
        <v>45249</v>
      </c>
      <c r="B229" s="2798" t="s">
        <v>1146</v>
      </c>
      <c r="C229" s="2798" t="s">
        <v>1146</v>
      </c>
      <c r="D229" s="2798" t="s">
        <v>1146</v>
      </c>
      <c r="E229" s="2798" t="s">
        <v>1146</v>
      </c>
    </row>
    <row r="230" spans="1:5">
      <c r="A230" s="2800">
        <v>45248</v>
      </c>
      <c r="B230" s="2798" t="s">
        <v>1146</v>
      </c>
      <c r="C230" s="2798" t="s">
        <v>1146</v>
      </c>
      <c r="D230" s="2798" t="s">
        <v>1146</v>
      </c>
      <c r="E230" s="2798" t="s">
        <v>1146</v>
      </c>
    </row>
    <row r="231" spans="1:5">
      <c r="A231" s="2800">
        <v>45247</v>
      </c>
      <c r="B231" s="2798">
        <v>37029.06</v>
      </c>
      <c r="C231" s="2798">
        <v>385.23</v>
      </c>
      <c r="D231" s="2798">
        <v>13686.4</v>
      </c>
      <c r="E231" s="2798">
        <v>2510.79</v>
      </c>
    </row>
    <row r="232" spans="1:5">
      <c r="A232" s="2800">
        <v>45246</v>
      </c>
      <c r="B232" s="2798">
        <v>36947.74</v>
      </c>
      <c r="C232" s="2798">
        <v>383.15</v>
      </c>
      <c r="D232" s="2798">
        <v>13629.88</v>
      </c>
      <c r="E232" s="2798">
        <v>2525.48</v>
      </c>
    </row>
    <row r="233" spans="1:5">
      <c r="A233" s="2800">
        <v>45245</v>
      </c>
      <c r="B233" s="2798">
        <v>36856.51</v>
      </c>
      <c r="C233" s="2798">
        <v>381.33</v>
      </c>
      <c r="D233" s="2798">
        <v>13635.96</v>
      </c>
      <c r="E233" s="2798">
        <v>2528.58</v>
      </c>
    </row>
    <row r="234" spans="1:5">
      <c r="A234" s="2800">
        <v>45244</v>
      </c>
      <c r="B234" s="2798">
        <v>36398.050000000003</v>
      </c>
      <c r="C234" s="2798">
        <v>378.88</v>
      </c>
      <c r="D234" s="2798">
        <v>13580.03</v>
      </c>
      <c r="E234" s="2798">
        <v>2465.7600000000002</v>
      </c>
    </row>
    <row r="235" spans="1:5">
      <c r="A235" s="2800">
        <v>45243</v>
      </c>
      <c r="B235" s="2798">
        <v>36233.61</v>
      </c>
      <c r="C235" s="2798">
        <v>377.6</v>
      </c>
      <c r="D235" s="2798">
        <v>13307.86</v>
      </c>
      <c r="E235" s="2798">
        <v>2448.13</v>
      </c>
    </row>
    <row r="236" spans="1:5">
      <c r="A236" s="2800">
        <v>45242</v>
      </c>
      <c r="B236" s="2798" t="s">
        <v>1146</v>
      </c>
      <c r="C236" s="2798" t="s">
        <v>1146</v>
      </c>
      <c r="D236" s="2798" t="s">
        <v>1146</v>
      </c>
      <c r="E236" s="2798" t="s">
        <v>1146</v>
      </c>
    </row>
    <row r="237" spans="1:5">
      <c r="A237" s="2800">
        <v>45241</v>
      </c>
      <c r="B237" s="2798" t="s">
        <v>1146</v>
      </c>
      <c r="C237" s="2798" t="s">
        <v>1146</v>
      </c>
      <c r="D237" s="2798" t="s">
        <v>1146</v>
      </c>
      <c r="E237" s="2798" t="s">
        <v>1146</v>
      </c>
    </row>
    <row r="238" spans="1:5">
      <c r="A238" s="2800">
        <v>45240</v>
      </c>
      <c r="B238" s="2798">
        <v>35896.6</v>
      </c>
      <c r="C238" s="2798">
        <v>376.76</v>
      </c>
      <c r="D238" s="2798">
        <v>13289.27</v>
      </c>
      <c r="E238" s="2798">
        <v>2437.96</v>
      </c>
    </row>
    <row r="239" spans="1:5">
      <c r="A239" s="2800">
        <v>45239</v>
      </c>
      <c r="B239" s="2798">
        <v>36032.129999999997</v>
      </c>
      <c r="C239" s="2798">
        <v>379.75</v>
      </c>
      <c r="D239" s="2798">
        <v>13187.88</v>
      </c>
      <c r="E239" s="2798">
        <v>2458.2399999999998</v>
      </c>
    </row>
    <row r="240" spans="1:5">
      <c r="A240" s="2800">
        <v>45238</v>
      </c>
      <c r="B240" s="2798">
        <v>36021.75</v>
      </c>
      <c r="C240" s="2798">
        <v>380.13</v>
      </c>
      <c r="D240" s="2798">
        <v>13228.08</v>
      </c>
      <c r="E240" s="2798">
        <v>2462.39</v>
      </c>
    </row>
    <row r="241" spans="1:5">
      <c r="A241" s="2800">
        <v>45237</v>
      </c>
      <c r="B241" s="2798">
        <v>35901.51</v>
      </c>
      <c r="C241" s="2798">
        <v>379.57</v>
      </c>
      <c r="D241" s="2798">
        <v>13222.98</v>
      </c>
      <c r="E241" s="2798">
        <v>2469.4299999999998</v>
      </c>
    </row>
    <row r="242" spans="1:5">
      <c r="A242" s="2800">
        <v>45236</v>
      </c>
      <c r="B242" s="2798">
        <v>35824.94</v>
      </c>
      <c r="C242" s="2798">
        <v>378.08</v>
      </c>
      <c r="D242" s="2798">
        <v>13232.15</v>
      </c>
      <c r="E242" s="2798">
        <v>2490.5300000000002</v>
      </c>
    </row>
    <row r="243" spans="1:5">
      <c r="A243" s="2800">
        <v>45235</v>
      </c>
      <c r="B243" s="2798" t="s">
        <v>1146</v>
      </c>
      <c r="C243" s="2798" t="s">
        <v>1146</v>
      </c>
      <c r="D243" s="2798" t="s">
        <v>1146</v>
      </c>
      <c r="E243" s="2798" t="s">
        <v>1146</v>
      </c>
    </row>
    <row r="244" spans="1:5">
      <c r="A244" s="2800">
        <v>45234</v>
      </c>
      <c r="B244" s="2798" t="s">
        <v>1146</v>
      </c>
      <c r="C244" s="2798" t="s">
        <v>1146</v>
      </c>
      <c r="D244" s="2798" t="s">
        <v>1146</v>
      </c>
      <c r="E244" s="2798" t="s">
        <v>1146</v>
      </c>
    </row>
    <row r="245" spans="1:5">
      <c r="A245" s="2800">
        <v>45233</v>
      </c>
      <c r="B245" s="2798">
        <v>35520</v>
      </c>
      <c r="C245" s="2798">
        <v>372.06</v>
      </c>
      <c r="D245" s="2798">
        <v>13205.79</v>
      </c>
      <c r="E245" s="2798">
        <v>2437.3000000000002</v>
      </c>
    </row>
    <row r="246" spans="1:5">
      <c r="A246" s="2800">
        <v>45232</v>
      </c>
      <c r="B246" s="2798">
        <v>35281.800000000003</v>
      </c>
      <c r="C246" s="2798">
        <v>370.97</v>
      </c>
      <c r="D246" s="2798">
        <v>13062.23</v>
      </c>
      <c r="E246" s="2798">
        <v>2391.81</v>
      </c>
    </row>
    <row r="247" spans="1:5">
      <c r="A247" s="2800">
        <v>45231</v>
      </c>
      <c r="B247" s="2798">
        <v>34510.660000000003</v>
      </c>
      <c r="C247" s="2798">
        <v>366.32</v>
      </c>
      <c r="D247" s="2798">
        <v>12809.41</v>
      </c>
      <c r="E247" s="2798">
        <v>2353.9899999999998</v>
      </c>
    </row>
    <row r="248" spans="1:5">
      <c r="A248" s="2800">
        <v>45230</v>
      </c>
      <c r="B248" s="2798">
        <v>34430.120000000003</v>
      </c>
      <c r="C248" s="2798">
        <v>362.55</v>
      </c>
      <c r="D248" s="2798">
        <v>12676.97</v>
      </c>
      <c r="E248" s="2798">
        <v>2351.87</v>
      </c>
    </row>
    <row r="249" spans="1:5">
      <c r="A249" s="2800">
        <v>45229</v>
      </c>
      <c r="B249" s="2798">
        <v>34748.92</v>
      </c>
      <c r="C249" s="2798">
        <v>368.63</v>
      </c>
      <c r="D249" s="2798">
        <v>12625.33</v>
      </c>
      <c r="E249" s="2798">
        <v>2368.92</v>
      </c>
    </row>
    <row r="250" spans="1:5">
      <c r="A250" s="2800">
        <v>45228</v>
      </c>
      <c r="B250" s="2798" t="s">
        <v>1146</v>
      </c>
      <c r="C250" s="2798" t="s">
        <v>1146</v>
      </c>
      <c r="D250" s="2798" t="s">
        <v>1146</v>
      </c>
      <c r="E250" s="2798" t="s">
        <v>1146</v>
      </c>
    </row>
    <row r="251" spans="1:5">
      <c r="A251" s="2800">
        <v>45227</v>
      </c>
      <c r="B251" s="2798" t="s">
        <v>1146</v>
      </c>
      <c r="C251" s="2798" t="s">
        <v>1146</v>
      </c>
      <c r="D251" s="2798" t="s">
        <v>1146</v>
      </c>
      <c r="E251" s="2798" t="s">
        <v>1146</v>
      </c>
    </row>
    <row r="252" spans="1:5">
      <c r="A252" s="2800">
        <v>45226</v>
      </c>
      <c r="B252" s="2798">
        <v>34716.5</v>
      </c>
      <c r="C252" s="2798">
        <v>366.4</v>
      </c>
      <c r="D252" s="2798">
        <v>12507.29</v>
      </c>
      <c r="E252" s="2798">
        <v>2363.4299999999998</v>
      </c>
    </row>
    <row r="253" spans="1:5">
      <c r="A253" s="2800">
        <v>45225</v>
      </c>
      <c r="B253" s="2798">
        <v>34585.519999999997</v>
      </c>
      <c r="C253" s="2798">
        <v>363.55</v>
      </c>
      <c r="D253" s="2798">
        <v>12547.96</v>
      </c>
      <c r="E253" s="2798">
        <v>2340.6</v>
      </c>
    </row>
    <row r="254" spans="1:5">
      <c r="A254" s="2800">
        <v>45224</v>
      </c>
      <c r="B254" s="2798">
        <v>35198.980000000003</v>
      </c>
      <c r="C254" s="2798">
        <v>371.33</v>
      </c>
      <c r="D254" s="2798">
        <v>12690.37</v>
      </c>
      <c r="E254" s="2798">
        <v>2365.96</v>
      </c>
    </row>
    <row r="255" spans="1:5">
      <c r="A255" s="2800">
        <v>45223</v>
      </c>
      <c r="B255" s="2798">
        <v>35093.269999999997</v>
      </c>
      <c r="C255" s="2798">
        <v>367.99</v>
      </c>
      <c r="D255" s="2798">
        <v>12826.42</v>
      </c>
      <c r="E255" s="2798">
        <v>2365.11</v>
      </c>
    </row>
    <row r="256" spans="1:5">
      <c r="A256" s="2800">
        <v>45222</v>
      </c>
      <c r="B256" s="2798">
        <v>34967.589999999997</v>
      </c>
      <c r="C256" s="2798">
        <v>364.51</v>
      </c>
      <c r="D256" s="2798">
        <v>12756.58</v>
      </c>
      <c r="E256" s="2798">
        <v>2357.65</v>
      </c>
    </row>
    <row r="257" spans="1:5">
      <c r="A257" s="2800">
        <v>45221</v>
      </c>
      <c r="B257" s="2798" t="s">
        <v>1146</v>
      </c>
      <c r="C257" s="2798" t="s">
        <v>1146</v>
      </c>
      <c r="D257" s="2798" t="s">
        <v>1146</v>
      </c>
      <c r="E257" s="2798" t="s">
        <v>1146</v>
      </c>
    </row>
    <row r="258" spans="1:5">
      <c r="A258" s="2800">
        <v>45220</v>
      </c>
      <c r="B258" s="2798" t="s">
        <v>1146</v>
      </c>
      <c r="C258" s="2798" t="s">
        <v>1146</v>
      </c>
      <c r="D258" s="2798" t="s">
        <v>1146</v>
      </c>
      <c r="E258" s="2798" t="s">
        <v>1146</v>
      </c>
    </row>
    <row r="259" spans="1:5">
      <c r="A259" s="2800">
        <v>45219</v>
      </c>
      <c r="B259" s="2798">
        <v>35375.040000000001</v>
      </c>
      <c r="C259" s="2798">
        <v>366.29</v>
      </c>
      <c r="D259" s="2798">
        <v>12776.98</v>
      </c>
      <c r="E259" s="2798">
        <v>2377.9299999999998</v>
      </c>
    </row>
    <row r="260" spans="1:5">
      <c r="A260" s="2800">
        <v>45218</v>
      </c>
      <c r="B260" s="2798">
        <v>35400.879999999997</v>
      </c>
      <c r="C260" s="2798">
        <v>368.85</v>
      </c>
      <c r="D260" s="2798">
        <v>12928.72</v>
      </c>
      <c r="E260" s="2798">
        <v>2391.2600000000002</v>
      </c>
    </row>
    <row r="261" spans="1:5">
      <c r="A261" s="2800">
        <v>45217</v>
      </c>
      <c r="B261" s="2798">
        <v>35375.35</v>
      </c>
      <c r="C261" s="2798">
        <v>365.68</v>
      </c>
      <c r="D261" s="2798">
        <v>13053.22</v>
      </c>
      <c r="E261" s="2798">
        <v>2422.87</v>
      </c>
    </row>
    <row r="262" spans="1:5">
      <c r="A262" s="2800">
        <v>45216</v>
      </c>
      <c r="B262" s="2798">
        <v>35809.14</v>
      </c>
      <c r="C262" s="2798">
        <v>370.41</v>
      </c>
      <c r="D262" s="2798">
        <v>13221.32</v>
      </c>
      <c r="E262" s="2798">
        <v>2443.5300000000002</v>
      </c>
    </row>
    <row r="263" spans="1:5">
      <c r="A263" s="2800">
        <v>45215</v>
      </c>
      <c r="B263" s="2798">
        <v>35830</v>
      </c>
      <c r="C263" s="2798">
        <v>371.1</v>
      </c>
      <c r="D263" s="2798">
        <v>13206.34</v>
      </c>
      <c r="E263" s="2798">
        <v>2430.6799999999998</v>
      </c>
    </row>
    <row r="264" spans="1:5">
      <c r="A264" s="2800">
        <v>45214</v>
      </c>
      <c r="B264" s="2798" t="s">
        <v>1146</v>
      </c>
      <c r="C264" s="2798" t="s">
        <v>1146</v>
      </c>
      <c r="D264" s="2798" t="s">
        <v>1146</v>
      </c>
      <c r="E264" s="2798" t="s">
        <v>1146</v>
      </c>
    </row>
    <row r="265" spans="1:5">
      <c r="A265" s="2800">
        <v>45213</v>
      </c>
      <c r="B265" s="2798" t="s">
        <v>1146</v>
      </c>
      <c r="C265" s="2798" t="s">
        <v>1146</v>
      </c>
      <c r="D265" s="2798" t="s">
        <v>1146</v>
      </c>
      <c r="E265" s="2798" t="s">
        <v>1146</v>
      </c>
    </row>
    <row r="266" spans="1:5">
      <c r="A266" s="2800">
        <v>45212</v>
      </c>
      <c r="B266" s="2798">
        <v>36110.42</v>
      </c>
      <c r="C266" s="2798">
        <v>373.92</v>
      </c>
      <c r="D266" s="2798">
        <v>13099.83</v>
      </c>
      <c r="E266" s="2798">
        <v>2443.77</v>
      </c>
    </row>
    <row r="267" spans="1:5">
      <c r="A267" s="2800">
        <v>45211</v>
      </c>
      <c r="B267" s="2798">
        <v>36203.68</v>
      </c>
      <c r="C267" s="2798">
        <v>374.59</v>
      </c>
      <c r="D267" s="2798">
        <v>13200.03</v>
      </c>
      <c r="E267" s="2798">
        <v>2472.9899999999998</v>
      </c>
    </row>
    <row r="268" spans="1:5">
      <c r="A268" s="2800">
        <v>45210</v>
      </c>
      <c r="B268" s="2798">
        <v>35872.53</v>
      </c>
      <c r="C268" s="2798">
        <v>370.05</v>
      </c>
      <c r="D268" s="2798">
        <v>13269.5</v>
      </c>
      <c r="E268" s="2798">
        <v>2457.64</v>
      </c>
    </row>
    <row r="269" spans="1:5">
      <c r="A269" s="2800">
        <v>45209</v>
      </c>
      <c r="B269" s="2798" t="s">
        <v>1146</v>
      </c>
      <c r="C269" s="2798" t="s">
        <v>1146</v>
      </c>
      <c r="D269" s="2798">
        <v>13215.95</v>
      </c>
      <c r="E269" s="2798">
        <v>2425.81</v>
      </c>
    </row>
    <row r="270" spans="1:5">
      <c r="A270" s="2800">
        <v>45208</v>
      </c>
      <c r="B270" s="2798" t="s">
        <v>1146</v>
      </c>
      <c r="C270" s="2798" t="s">
        <v>1146</v>
      </c>
      <c r="D270" s="2798">
        <v>13082.18</v>
      </c>
      <c r="E270" s="2798">
        <v>2402.35</v>
      </c>
    </row>
    <row r="271" spans="1:5">
      <c r="A271" s="2800">
        <v>45207</v>
      </c>
      <c r="B271" s="2798" t="s">
        <v>1146</v>
      </c>
      <c r="C271" s="2798" t="s">
        <v>1146</v>
      </c>
      <c r="D271" s="2798" t="s">
        <v>1146</v>
      </c>
      <c r="E271" s="2798" t="s">
        <v>1146</v>
      </c>
    </row>
    <row r="272" spans="1:5">
      <c r="A272" s="2800">
        <v>45206</v>
      </c>
      <c r="B272" s="2798" t="s">
        <v>1146</v>
      </c>
      <c r="C272" s="2798" t="s">
        <v>1146</v>
      </c>
      <c r="D272" s="2798" t="s">
        <v>1146</v>
      </c>
      <c r="E272" s="2798" t="s">
        <v>1146</v>
      </c>
    </row>
    <row r="273" spans="1:5">
      <c r="A273" s="2800">
        <v>45205</v>
      </c>
      <c r="B273" s="2798">
        <v>35546.639999999999</v>
      </c>
      <c r="C273" s="2798">
        <v>373.43</v>
      </c>
      <c r="D273" s="2798">
        <v>13020.23</v>
      </c>
      <c r="E273" s="2798">
        <v>2407.2600000000002</v>
      </c>
    </row>
    <row r="274" spans="1:5">
      <c r="A274" s="2800">
        <v>45204</v>
      </c>
      <c r="B274" s="2798">
        <v>35401.949999999997</v>
      </c>
      <c r="C274" s="2798">
        <v>373.54</v>
      </c>
      <c r="D274" s="2798">
        <v>12887.07</v>
      </c>
      <c r="E274" s="2798">
        <v>2388.98</v>
      </c>
    </row>
    <row r="275" spans="1:5">
      <c r="A275" s="2800">
        <v>45203</v>
      </c>
      <c r="B275" s="2798">
        <v>35014.29</v>
      </c>
      <c r="C275" s="2798">
        <v>369.68</v>
      </c>
      <c r="D275" s="2798">
        <v>12859.58</v>
      </c>
      <c r="E275" s="2798">
        <v>2382.88</v>
      </c>
    </row>
    <row r="276" spans="1:5">
      <c r="A276" s="2800">
        <v>45202</v>
      </c>
      <c r="B276" s="2798">
        <v>35403.550000000003</v>
      </c>
      <c r="C276" s="2798">
        <v>371.36</v>
      </c>
      <c r="D276" s="2798">
        <v>12808.13</v>
      </c>
      <c r="E276" s="2798">
        <v>2411.75</v>
      </c>
    </row>
    <row r="277" spans="1:5">
      <c r="A277" s="2800">
        <v>45201</v>
      </c>
      <c r="B277" s="2798">
        <v>35624.870000000003</v>
      </c>
      <c r="C277" s="2798">
        <v>373.27</v>
      </c>
      <c r="D277" s="2798">
        <v>12986.5</v>
      </c>
      <c r="E277" s="2798">
        <v>2443.38</v>
      </c>
    </row>
    <row r="278" spans="1:5">
      <c r="A278" s="2800">
        <v>45200</v>
      </c>
      <c r="B278" s="2798" t="s">
        <v>1146</v>
      </c>
      <c r="C278" s="2798" t="s">
        <v>1146</v>
      </c>
      <c r="D278" s="2798" t="s">
        <v>1146</v>
      </c>
      <c r="E278" s="2798" t="s">
        <v>1146</v>
      </c>
    </row>
    <row r="279" spans="1:5">
      <c r="A279" s="2800">
        <v>45199</v>
      </c>
      <c r="B279" s="2798" t="s">
        <v>1146</v>
      </c>
      <c r="C279" s="2798" t="s">
        <v>1146</v>
      </c>
      <c r="D279" s="2798" t="s">
        <v>1146</v>
      </c>
      <c r="E279" s="2798" t="s">
        <v>1146</v>
      </c>
    </row>
    <row r="280" spans="1:5">
      <c r="A280" s="2800">
        <v>45198</v>
      </c>
      <c r="B280" s="2798" t="s">
        <v>1146</v>
      </c>
      <c r="C280" s="2798" t="s">
        <v>1146</v>
      </c>
      <c r="D280" s="2798">
        <v>13052.6</v>
      </c>
      <c r="E280" s="2798">
        <v>2446.67</v>
      </c>
    </row>
    <row r="281" spans="1:5">
      <c r="A281" s="2800">
        <v>45197</v>
      </c>
      <c r="B281" s="2798">
        <v>35186.86</v>
      </c>
      <c r="C281" s="2798">
        <v>368.5</v>
      </c>
      <c r="D281" s="2798">
        <v>13064.13</v>
      </c>
      <c r="E281" s="2798">
        <v>2424.1999999999998</v>
      </c>
    </row>
    <row r="282" spans="1:5">
      <c r="A282" s="2800">
        <v>45196</v>
      </c>
      <c r="B282" s="2798">
        <v>35093.53</v>
      </c>
      <c r="C282" s="2798">
        <v>367.51</v>
      </c>
      <c r="D282" s="2798">
        <v>12985.68</v>
      </c>
      <c r="E282" s="2798">
        <v>2434.86</v>
      </c>
    </row>
    <row r="283" spans="1:5">
      <c r="A283" s="2800">
        <v>45195</v>
      </c>
      <c r="B283" s="2798">
        <v>35019.699999999997</v>
      </c>
      <c r="C283" s="2798">
        <v>366.83</v>
      </c>
      <c r="D283" s="2798">
        <v>13003.7</v>
      </c>
      <c r="E283" s="2798">
        <v>2431.85</v>
      </c>
    </row>
    <row r="284" spans="1:5">
      <c r="A284" s="2800">
        <v>45194</v>
      </c>
      <c r="B284" s="2798">
        <v>35395.68</v>
      </c>
      <c r="C284" s="2798">
        <v>371.41</v>
      </c>
      <c r="D284" s="2798">
        <v>13162.89</v>
      </c>
      <c r="E284" s="2798">
        <v>2457.1799999999998</v>
      </c>
    </row>
    <row r="285" spans="1:5">
      <c r="A285" s="2800">
        <v>45193</v>
      </c>
      <c r="B285" s="2798" t="s">
        <v>1146</v>
      </c>
      <c r="C285" s="2798" t="s">
        <v>1146</v>
      </c>
      <c r="D285" s="2798" t="s">
        <v>1146</v>
      </c>
      <c r="E285" s="2798" t="s">
        <v>1146</v>
      </c>
    </row>
    <row r="286" spans="1:5">
      <c r="A286" s="2800">
        <v>45192</v>
      </c>
      <c r="B286" s="2798" t="s">
        <v>1146</v>
      </c>
      <c r="C286" s="2798" t="s">
        <v>1146</v>
      </c>
      <c r="D286" s="2798" t="s">
        <v>1146</v>
      </c>
      <c r="E286" s="2798" t="s">
        <v>1146</v>
      </c>
    </row>
    <row r="287" spans="1:5">
      <c r="A287" s="2800">
        <v>45191</v>
      </c>
      <c r="B287" s="2798">
        <v>35163.86</v>
      </c>
      <c r="C287" s="2798">
        <v>368.67</v>
      </c>
      <c r="D287" s="2798">
        <v>13163.01</v>
      </c>
      <c r="E287" s="2798">
        <v>2474.65</v>
      </c>
    </row>
    <row r="288" spans="1:5">
      <c r="A288" s="2800">
        <v>45190</v>
      </c>
      <c r="B288" s="2798">
        <v>35104.04</v>
      </c>
      <c r="C288" s="2798">
        <v>365.09</v>
      </c>
      <c r="D288" s="2798">
        <v>13191.21</v>
      </c>
      <c r="E288" s="2798">
        <v>2453.94</v>
      </c>
    </row>
    <row r="289" spans="1:5">
      <c r="A289" s="2800">
        <v>45189</v>
      </c>
      <c r="B289" s="2798">
        <v>35573.230000000003</v>
      </c>
      <c r="C289" s="2798">
        <v>370.12</v>
      </c>
      <c r="D289" s="2798">
        <v>13420.77</v>
      </c>
      <c r="E289" s="2798">
        <v>2491.4299999999998</v>
      </c>
    </row>
    <row r="290" spans="1:5">
      <c r="A290" s="2800">
        <v>45188</v>
      </c>
      <c r="B290" s="2798">
        <v>35788.879999999997</v>
      </c>
      <c r="C290" s="2798">
        <v>373.9</v>
      </c>
      <c r="D290" s="2798">
        <v>13486.96</v>
      </c>
      <c r="E290" s="2798">
        <v>2500.4899999999998</v>
      </c>
    </row>
    <row r="291" spans="1:5">
      <c r="A291" s="2800">
        <v>45187</v>
      </c>
      <c r="B291" s="2798">
        <v>35921.89</v>
      </c>
      <c r="C291" s="2798">
        <v>376.86</v>
      </c>
      <c r="D291" s="2798">
        <v>13509.57</v>
      </c>
      <c r="E291" s="2798">
        <v>2504.67</v>
      </c>
    </row>
    <row r="292" spans="1:5">
      <c r="A292" s="2800">
        <v>45186</v>
      </c>
      <c r="B292" s="2798" t="s">
        <v>1146</v>
      </c>
      <c r="C292" s="2798" t="s">
        <v>1146</v>
      </c>
      <c r="D292" s="2798" t="s">
        <v>1146</v>
      </c>
      <c r="E292" s="2798" t="s">
        <v>1146</v>
      </c>
    </row>
    <row r="293" spans="1:5">
      <c r="A293" s="2800">
        <v>45185</v>
      </c>
      <c r="B293" s="2798" t="s">
        <v>1146</v>
      </c>
      <c r="C293" s="2798" t="s">
        <v>1146</v>
      </c>
      <c r="D293" s="2798" t="s">
        <v>1146</v>
      </c>
      <c r="E293" s="2798" t="s">
        <v>1146</v>
      </c>
    </row>
    <row r="294" spans="1:5">
      <c r="A294" s="2800">
        <v>45184</v>
      </c>
      <c r="B294" s="2798">
        <v>36400.92</v>
      </c>
      <c r="C294" s="2798">
        <v>378.61</v>
      </c>
      <c r="D294" s="2798">
        <v>13531.37</v>
      </c>
      <c r="E294" s="2798">
        <v>2527.2199999999998</v>
      </c>
    </row>
    <row r="295" spans="1:5">
      <c r="A295" s="2800">
        <v>45183</v>
      </c>
      <c r="B295" s="2798">
        <v>36157.07</v>
      </c>
      <c r="C295" s="2798">
        <v>378.08</v>
      </c>
      <c r="D295" s="2798">
        <v>13630.21</v>
      </c>
      <c r="E295" s="2798">
        <v>2519.79</v>
      </c>
    </row>
    <row r="296" spans="1:5">
      <c r="A296" s="2800">
        <v>45182</v>
      </c>
      <c r="B296" s="2798">
        <v>35615.46</v>
      </c>
      <c r="C296" s="2798">
        <v>371.82</v>
      </c>
      <c r="D296" s="2798">
        <v>13508.85</v>
      </c>
      <c r="E296" s="2798">
        <v>2499.35</v>
      </c>
    </row>
    <row r="297" spans="1:5">
      <c r="A297" s="2800">
        <v>45181</v>
      </c>
      <c r="B297" s="2798">
        <v>35595.96</v>
      </c>
      <c r="C297" s="2798">
        <v>368.28</v>
      </c>
      <c r="D297" s="2798">
        <v>13504.14</v>
      </c>
      <c r="E297" s="2798">
        <v>2501.5100000000002</v>
      </c>
    </row>
    <row r="298" spans="1:5">
      <c r="A298" s="2800">
        <v>45180</v>
      </c>
      <c r="B298" s="2798">
        <v>35295.47</v>
      </c>
      <c r="C298" s="2798">
        <v>366.72</v>
      </c>
      <c r="D298" s="2798">
        <v>13565.77</v>
      </c>
      <c r="E298" s="2798">
        <v>2505.6999999999998</v>
      </c>
    </row>
    <row r="299" spans="1:5">
      <c r="A299" s="2800">
        <v>45179</v>
      </c>
      <c r="B299" s="2798" t="s">
        <v>1146</v>
      </c>
      <c r="C299" s="2798" t="s">
        <v>1146</v>
      </c>
      <c r="D299" s="2798" t="s">
        <v>1146</v>
      </c>
      <c r="E299" s="2798" t="s">
        <v>1146</v>
      </c>
    </row>
    <row r="300" spans="1:5">
      <c r="A300" s="2800">
        <v>45178</v>
      </c>
      <c r="B300" s="2798" t="s">
        <v>1146</v>
      </c>
      <c r="C300" s="2798" t="s">
        <v>1146</v>
      </c>
      <c r="D300" s="2798" t="s">
        <v>1146</v>
      </c>
      <c r="E300" s="2798" t="s">
        <v>1146</v>
      </c>
    </row>
    <row r="301" spans="1:5">
      <c r="A301" s="2800">
        <v>45177</v>
      </c>
      <c r="B301" s="2798">
        <v>35593.17</v>
      </c>
      <c r="C301" s="2798">
        <v>370.46</v>
      </c>
      <c r="D301" s="2798">
        <v>13471.14</v>
      </c>
      <c r="E301" s="2798">
        <v>2495.62</v>
      </c>
    </row>
    <row r="302" spans="1:5">
      <c r="A302" s="2800">
        <v>45176</v>
      </c>
      <c r="B302" s="2798">
        <v>35685.61</v>
      </c>
      <c r="C302" s="2798">
        <v>372.92</v>
      </c>
      <c r="D302" s="2798">
        <v>13462.74</v>
      </c>
      <c r="E302" s="2798">
        <v>2494.91</v>
      </c>
    </row>
    <row r="303" spans="1:5">
      <c r="A303" s="2800">
        <v>45175</v>
      </c>
      <c r="B303" s="2798">
        <v>35940.089999999997</v>
      </c>
      <c r="C303" s="2798">
        <v>374.09</v>
      </c>
      <c r="D303" s="2798">
        <v>13500.09</v>
      </c>
      <c r="E303" s="2798">
        <v>2514.6</v>
      </c>
    </row>
    <row r="304" spans="1:5">
      <c r="A304" s="2800">
        <v>45174</v>
      </c>
      <c r="B304" s="2798">
        <v>36054.19</v>
      </c>
      <c r="C304" s="2798">
        <v>373.57</v>
      </c>
      <c r="D304" s="2798">
        <v>13580.28</v>
      </c>
      <c r="E304" s="2798">
        <v>2525.6</v>
      </c>
    </row>
    <row r="305" spans="1:5">
      <c r="A305" s="2800">
        <v>45173</v>
      </c>
      <c r="B305" s="2798">
        <v>36049.5</v>
      </c>
      <c r="C305" s="2798">
        <v>371.48</v>
      </c>
      <c r="D305" s="2798">
        <v>13656.04</v>
      </c>
      <c r="E305" s="2798">
        <v>2550.29</v>
      </c>
    </row>
    <row r="306" spans="1:5">
      <c r="A306" s="2800">
        <v>45172</v>
      </c>
      <c r="B306" s="2798" t="s">
        <v>1146</v>
      </c>
      <c r="C306" s="2798" t="s">
        <v>1146</v>
      </c>
      <c r="D306" s="2798" t="s">
        <v>1146</v>
      </c>
      <c r="E306" s="2798" t="s">
        <v>1146</v>
      </c>
    </row>
    <row r="307" spans="1:5">
      <c r="A307" s="2800">
        <v>45171</v>
      </c>
      <c r="B307" s="2798" t="s">
        <v>1146</v>
      </c>
      <c r="C307" s="2798" t="s">
        <v>1146</v>
      </c>
      <c r="D307" s="2798" t="s">
        <v>1146</v>
      </c>
      <c r="E307" s="2798" t="s">
        <v>1146</v>
      </c>
    </row>
    <row r="308" spans="1:5">
      <c r="A308" s="2800">
        <v>45170</v>
      </c>
      <c r="B308" s="2798">
        <v>35737.71</v>
      </c>
      <c r="C308" s="2798">
        <v>369.06</v>
      </c>
      <c r="D308" s="2798">
        <v>13652.58</v>
      </c>
      <c r="E308" s="2798">
        <v>2525.0700000000002</v>
      </c>
    </row>
    <row r="309" spans="1:5">
      <c r="A309" s="2800">
        <v>45169</v>
      </c>
      <c r="B309" s="2798">
        <v>35715.18</v>
      </c>
      <c r="C309" s="2798">
        <v>368.36</v>
      </c>
      <c r="D309" s="2798">
        <v>13636.08</v>
      </c>
      <c r="E309" s="2798">
        <v>2511.33</v>
      </c>
    </row>
    <row r="310" spans="1:5">
      <c r="A310" s="2800">
        <v>45168</v>
      </c>
      <c r="B310" s="2798">
        <v>35893.629999999997</v>
      </c>
      <c r="C310" s="2798">
        <v>365.94</v>
      </c>
      <c r="D310" s="2798">
        <v>13657.42</v>
      </c>
      <c r="E310" s="2798">
        <v>2531.6999999999998</v>
      </c>
    </row>
    <row r="311" spans="1:5">
      <c r="A311" s="2800">
        <v>45167</v>
      </c>
      <c r="B311" s="2798">
        <v>35686.65</v>
      </c>
      <c r="C311" s="2798">
        <v>361.13</v>
      </c>
      <c r="D311" s="2798">
        <v>13582.12</v>
      </c>
      <c r="E311" s="2798">
        <v>2529.83</v>
      </c>
    </row>
    <row r="312" spans="1:5">
      <c r="A312" s="2800">
        <v>45166</v>
      </c>
      <c r="B312" s="2798">
        <v>35435.949999999997</v>
      </c>
      <c r="C312" s="2798">
        <v>357.82</v>
      </c>
      <c r="D312" s="2798">
        <v>13399.76</v>
      </c>
      <c r="E312" s="2798">
        <v>2505.4899999999998</v>
      </c>
    </row>
    <row r="313" spans="1:5">
      <c r="A313" s="2800">
        <v>45165</v>
      </c>
      <c r="B313" s="2798" t="s">
        <v>1146</v>
      </c>
      <c r="C313" s="2798" t="s">
        <v>1146</v>
      </c>
      <c r="D313" s="2798" t="s">
        <v>1146</v>
      </c>
      <c r="E313" s="2798" t="s">
        <v>1146</v>
      </c>
    </row>
    <row r="314" spans="1:5">
      <c r="A314" s="2800">
        <v>45164</v>
      </c>
      <c r="B314" s="2798" t="s">
        <v>1146</v>
      </c>
      <c r="C314" s="2798" t="s">
        <v>1146</v>
      </c>
      <c r="D314" s="2798" t="s">
        <v>1146</v>
      </c>
      <c r="E314" s="2798" t="s">
        <v>1146</v>
      </c>
    </row>
    <row r="315" spans="1:5">
      <c r="A315" s="2800">
        <v>45163</v>
      </c>
      <c r="B315" s="2798">
        <v>35370.65</v>
      </c>
      <c r="C315" s="2798">
        <v>358.82</v>
      </c>
      <c r="D315" s="2798">
        <v>13291.16</v>
      </c>
      <c r="E315" s="2798">
        <v>2487.35</v>
      </c>
    </row>
    <row r="316" spans="1:5">
      <c r="A316" s="2800">
        <v>45162</v>
      </c>
      <c r="B316" s="2798">
        <v>35984.99</v>
      </c>
      <c r="C316" s="2798">
        <v>360.45</v>
      </c>
      <c r="D316" s="2798">
        <v>13263.89</v>
      </c>
      <c r="E316" s="2798">
        <v>2516.0500000000002</v>
      </c>
    </row>
    <row r="317" spans="1:5">
      <c r="A317" s="2800">
        <v>45161</v>
      </c>
      <c r="B317" s="2798">
        <v>35563.32</v>
      </c>
      <c r="C317" s="2798">
        <v>358.95</v>
      </c>
      <c r="D317" s="2798">
        <v>13406.42</v>
      </c>
      <c r="E317" s="2798">
        <v>2484.87</v>
      </c>
    </row>
    <row r="318" spans="1:5">
      <c r="A318" s="2800">
        <v>45160</v>
      </c>
      <c r="B318" s="2798">
        <v>35262.22</v>
      </c>
      <c r="C318" s="2798">
        <v>357.79</v>
      </c>
      <c r="D318" s="2798">
        <v>13276.01</v>
      </c>
      <c r="E318" s="2798">
        <v>2475.7600000000002</v>
      </c>
    </row>
    <row r="319" spans="1:5">
      <c r="A319" s="2800">
        <v>45159</v>
      </c>
      <c r="B319" s="2798">
        <v>35141.56</v>
      </c>
      <c r="C319" s="2798">
        <v>359.01</v>
      </c>
      <c r="D319" s="2798">
        <v>13281.79</v>
      </c>
      <c r="E319" s="2798">
        <v>2457.2800000000002</v>
      </c>
    </row>
    <row r="320" spans="1:5">
      <c r="A320" s="2800">
        <v>45158</v>
      </c>
      <c r="B320" s="2798" t="s">
        <v>1146</v>
      </c>
      <c r="C320" s="2798" t="s">
        <v>1146</v>
      </c>
      <c r="D320" s="2798" t="s">
        <v>1146</v>
      </c>
      <c r="E320" s="2798" t="s">
        <v>1146</v>
      </c>
    </row>
    <row r="321" spans="1:5">
      <c r="A321" s="2800">
        <v>45157</v>
      </c>
      <c r="B321" s="2798" t="s">
        <v>1146</v>
      </c>
      <c r="C321" s="2798" t="s">
        <v>1146</v>
      </c>
      <c r="D321" s="2798" t="s">
        <v>1146</v>
      </c>
      <c r="E321" s="2798" t="s">
        <v>1146</v>
      </c>
    </row>
    <row r="322" spans="1:5">
      <c r="A322" s="2800">
        <v>45156</v>
      </c>
      <c r="B322" s="2798">
        <v>35141</v>
      </c>
      <c r="C322" s="2798">
        <v>358.71</v>
      </c>
      <c r="D322" s="2798">
        <v>13222.14</v>
      </c>
      <c r="E322" s="2798">
        <v>2469.02</v>
      </c>
    </row>
    <row r="323" spans="1:5">
      <c r="A323" s="2800">
        <v>45155</v>
      </c>
      <c r="B323" s="2798">
        <v>35428.050000000003</v>
      </c>
      <c r="C323" s="2798">
        <v>362.5</v>
      </c>
      <c r="D323" s="2798">
        <v>13240.86</v>
      </c>
      <c r="E323" s="2798">
        <v>2492.9899999999998</v>
      </c>
    </row>
    <row r="324" spans="1:5">
      <c r="A324" s="2800">
        <v>45154</v>
      </c>
      <c r="B324" s="2798">
        <v>35269.75</v>
      </c>
      <c r="C324" s="2798">
        <v>357.61</v>
      </c>
      <c r="D324" s="2798">
        <v>13346.89</v>
      </c>
      <c r="E324" s="2798">
        <v>2497.67</v>
      </c>
    </row>
    <row r="325" spans="1:5">
      <c r="A325" s="2800">
        <v>45153</v>
      </c>
      <c r="B325" s="2798">
        <v>35282.85</v>
      </c>
      <c r="C325" s="2798">
        <v>356.98</v>
      </c>
      <c r="D325" s="2798">
        <v>13447.83</v>
      </c>
      <c r="E325" s="2798">
        <v>2513</v>
      </c>
    </row>
    <row r="326" spans="1:5">
      <c r="A326" s="2800">
        <v>45152</v>
      </c>
      <c r="B326" s="2798">
        <v>35151.089999999997</v>
      </c>
      <c r="C326" s="2798">
        <v>353.79</v>
      </c>
      <c r="D326" s="2798">
        <v>13577</v>
      </c>
      <c r="E326" s="2798">
        <v>2524.42</v>
      </c>
    </row>
    <row r="327" spans="1:5">
      <c r="A327" s="2800">
        <v>45151</v>
      </c>
      <c r="B327" s="2798" t="s">
        <v>1146</v>
      </c>
      <c r="C327" s="2798" t="s">
        <v>1146</v>
      </c>
      <c r="D327" s="2798" t="s">
        <v>1146</v>
      </c>
      <c r="E327" s="2798" t="s">
        <v>1146</v>
      </c>
    </row>
    <row r="328" spans="1:5">
      <c r="A328" s="2800">
        <v>45150</v>
      </c>
      <c r="B328" s="2798" t="s">
        <v>1146</v>
      </c>
      <c r="C328" s="2798" t="s">
        <v>1146</v>
      </c>
      <c r="D328" s="2798" t="s">
        <v>1146</v>
      </c>
      <c r="E328" s="2798" t="s">
        <v>1146</v>
      </c>
    </row>
    <row r="329" spans="1:5">
      <c r="A329" s="2800">
        <v>45149</v>
      </c>
      <c r="B329" s="2798">
        <v>35596.18</v>
      </c>
      <c r="C329" s="2798">
        <v>362.05</v>
      </c>
      <c r="D329" s="2798">
        <v>13556.72</v>
      </c>
      <c r="E329" s="2798">
        <v>2552.8000000000002</v>
      </c>
    </row>
    <row r="330" spans="1:5">
      <c r="A330" s="2800">
        <v>45148</v>
      </c>
      <c r="B330" s="2798">
        <v>35659.69</v>
      </c>
      <c r="C330" s="2798">
        <v>362.48</v>
      </c>
      <c r="D330" s="2798">
        <v>13610.11</v>
      </c>
      <c r="E330" s="2798">
        <v>2579.66</v>
      </c>
    </row>
    <row r="331" spans="1:5">
      <c r="A331" s="2800">
        <v>45147</v>
      </c>
      <c r="B331" s="2798">
        <v>36142.32</v>
      </c>
      <c r="C331" s="2798">
        <v>370.14</v>
      </c>
      <c r="D331" s="2798">
        <v>13567.42</v>
      </c>
      <c r="E331" s="2798">
        <v>2579.44</v>
      </c>
    </row>
    <row r="332" spans="1:5">
      <c r="A332" s="2800">
        <v>45146</v>
      </c>
      <c r="B332" s="2798">
        <v>36145.480000000003</v>
      </c>
      <c r="C332" s="2798">
        <v>371.81</v>
      </c>
      <c r="D332" s="2798">
        <v>13620.36</v>
      </c>
      <c r="E332" s="2798">
        <v>2566.71</v>
      </c>
    </row>
    <row r="333" spans="1:5">
      <c r="A333" s="2800">
        <v>45145</v>
      </c>
      <c r="B333" s="2798">
        <v>36399.79</v>
      </c>
      <c r="C333" s="2798">
        <v>375.39</v>
      </c>
      <c r="D333" s="2798">
        <v>13691.63</v>
      </c>
      <c r="E333" s="2798">
        <v>2598.77</v>
      </c>
    </row>
    <row r="334" spans="1:5">
      <c r="A334" s="2800">
        <v>45144</v>
      </c>
      <c r="B334" s="2798" t="s">
        <v>1146</v>
      </c>
      <c r="C334" s="2798" t="s">
        <v>1146</v>
      </c>
      <c r="D334" s="2798" t="s">
        <v>1146</v>
      </c>
      <c r="E334" s="2798" t="s">
        <v>1146</v>
      </c>
    </row>
    <row r="335" spans="1:5">
      <c r="A335" s="2800">
        <v>45143</v>
      </c>
      <c r="B335" s="2798" t="s">
        <v>1146</v>
      </c>
      <c r="C335" s="2798" t="s">
        <v>1146</v>
      </c>
      <c r="D335" s="2798" t="s">
        <v>1146</v>
      </c>
      <c r="E335" s="2798" t="s">
        <v>1146</v>
      </c>
    </row>
    <row r="336" spans="1:5">
      <c r="A336" s="2800">
        <v>45142</v>
      </c>
      <c r="B336" s="2798">
        <v>36072.730000000003</v>
      </c>
      <c r="C336" s="2798">
        <v>373.25</v>
      </c>
      <c r="D336" s="2798">
        <v>13612.5</v>
      </c>
      <c r="E336" s="2798">
        <v>2602.86</v>
      </c>
    </row>
    <row r="337" spans="1:5">
      <c r="A337" s="2800">
        <v>45141</v>
      </c>
      <c r="B337" s="2798" t="s">
        <v>1146</v>
      </c>
      <c r="C337" s="2798" t="s">
        <v>1146</v>
      </c>
      <c r="D337" s="2798">
        <v>13628</v>
      </c>
      <c r="E337" s="2798">
        <v>2596.6799999999998</v>
      </c>
    </row>
    <row r="338" spans="1:5">
      <c r="A338" s="2800">
        <v>45140</v>
      </c>
      <c r="B338" s="2798">
        <v>36133.379999999997</v>
      </c>
      <c r="C338" s="2798">
        <v>370.68</v>
      </c>
      <c r="D338" s="2798">
        <v>13674.08</v>
      </c>
      <c r="E338" s="2798">
        <v>2607.3000000000002</v>
      </c>
    </row>
    <row r="339" spans="1:5">
      <c r="A339" s="2800">
        <v>45139</v>
      </c>
      <c r="B339" s="2798">
        <v>36810.67</v>
      </c>
      <c r="C339" s="2798">
        <v>379</v>
      </c>
      <c r="D339" s="2798">
        <v>13892.82</v>
      </c>
      <c r="E339" s="2798">
        <v>2665.93</v>
      </c>
    </row>
    <row r="340" spans="1:5">
      <c r="A340" s="2800">
        <v>45138</v>
      </c>
      <c r="B340" s="2798">
        <v>36654.26</v>
      </c>
      <c r="C340" s="2798">
        <v>381.39</v>
      </c>
      <c r="D340" s="2798">
        <v>13963.89</v>
      </c>
      <c r="E340" s="2798">
        <v>2675.36</v>
      </c>
    </row>
    <row r="341" spans="1:5">
      <c r="A341" s="2800">
        <v>45137</v>
      </c>
      <c r="B341" s="2798" t="s">
        <v>1146</v>
      </c>
      <c r="C341" s="2798" t="s">
        <v>1146</v>
      </c>
      <c r="D341" s="2798" t="s">
        <v>1146</v>
      </c>
      <c r="E341" s="2798" t="s">
        <v>1146</v>
      </c>
    </row>
    <row r="342" spans="1:5">
      <c r="A342" s="2800">
        <v>45136</v>
      </c>
      <c r="B342" s="2798" t="s">
        <v>1146</v>
      </c>
      <c r="C342" s="2798" t="s">
        <v>1146</v>
      </c>
      <c r="D342" s="2798" t="s">
        <v>1146</v>
      </c>
      <c r="E342" s="2798" t="s">
        <v>1146</v>
      </c>
    </row>
    <row r="343" spans="1:5">
      <c r="A343" s="2800">
        <v>45135</v>
      </c>
      <c r="B343" s="2798">
        <v>36966.99</v>
      </c>
      <c r="C343" s="2798">
        <v>384.92</v>
      </c>
      <c r="D343" s="2798">
        <v>13934.14</v>
      </c>
      <c r="E343" s="2798">
        <v>2665.73</v>
      </c>
    </row>
    <row r="344" spans="1:5">
      <c r="A344" s="2800">
        <v>45134</v>
      </c>
      <c r="B344" s="2798">
        <v>36852.39</v>
      </c>
      <c r="C344" s="2798">
        <v>381.44</v>
      </c>
      <c r="D344" s="2798">
        <v>13826.3</v>
      </c>
      <c r="E344" s="2798">
        <v>2644.95</v>
      </c>
    </row>
    <row r="345" spans="1:5">
      <c r="A345" s="2800">
        <v>45133</v>
      </c>
      <c r="B345" s="2798">
        <v>36671.300000000003</v>
      </c>
      <c r="C345" s="2798">
        <v>377.2</v>
      </c>
      <c r="D345" s="2798">
        <v>13872.12</v>
      </c>
      <c r="E345" s="2798">
        <v>2636.51</v>
      </c>
    </row>
    <row r="346" spans="1:5">
      <c r="A346" s="2800">
        <v>45132</v>
      </c>
      <c r="B346" s="2798">
        <v>36728.74</v>
      </c>
      <c r="C346" s="2798">
        <v>382.84</v>
      </c>
      <c r="D346" s="2798">
        <v>13875.07</v>
      </c>
      <c r="E346" s="2798">
        <v>2637.12</v>
      </c>
    </row>
    <row r="347" spans="1:5">
      <c r="A347" s="2800">
        <v>45131</v>
      </c>
      <c r="B347" s="2798">
        <v>36365.21</v>
      </c>
      <c r="C347" s="2798">
        <v>380.15</v>
      </c>
      <c r="D347" s="2798">
        <v>13838.33</v>
      </c>
      <c r="E347" s="2798">
        <v>2588.96</v>
      </c>
    </row>
    <row r="348" spans="1:5">
      <c r="A348" s="2800">
        <v>45130</v>
      </c>
      <c r="B348" s="2798" t="s">
        <v>1146</v>
      </c>
      <c r="C348" s="2798" t="s">
        <v>1146</v>
      </c>
      <c r="D348" s="2798" t="s">
        <v>1146</v>
      </c>
      <c r="E348" s="2798" t="s">
        <v>1146</v>
      </c>
    </row>
    <row r="349" spans="1:5">
      <c r="A349" s="2800">
        <v>45129</v>
      </c>
      <c r="B349" s="2798" t="s">
        <v>1146</v>
      </c>
      <c r="C349" s="2798" t="s">
        <v>1146</v>
      </c>
      <c r="D349" s="2798" t="s">
        <v>1146</v>
      </c>
      <c r="E349" s="2798" t="s">
        <v>1146</v>
      </c>
    </row>
    <row r="350" spans="1:5">
      <c r="A350" s="2800">
        <v>45128</v>
      </c>
      <c r="B350" s="2798">
        <v>36358.14</v>
      </c>
      <c r="C350" s="2798">
        <v>382.41</v>
      </c>
      <c r="D350" s="2798">
        <v>13797.77</v>
      </c>
      <c r="E350" s="2798">
        <v>2591.73</v>
      </c>
    </row>
    <row r="351" spans="1:5">
      <c r="A351" s="2800">
        <v>45127</v>
      </c>
      <c r="B351" s="2798">
        <v>36641.17</v>
      </c>
      <c r="C351" s="2798">
        <v>384.56</v>
      </c>
      <c r="D351" s="2798">
        <v>13802.26</v>
      </c>
      <c r="E351" s="2798">
        <v>2600.36</v>
      </c>
    </row>
    <row r="352" spans="1:5">
      <c r="A352" s="2800">
        <v>45126</v>
      </c>
      <c r="B352" s="2798">
        <v>36511.33</v>
      </c>
      <c r="C352" s="2798">
        <v>381.6</v>
      </c>
      <c r="D352" s="2798">
        <v>13884.7</v>
      </c>
      <c r="E352" s="2798">
        <v>2603.92</v>
      </c>
    </row>
    <row r="353" spans="1:5">
      <c r="A353" s="2800">
        <v>45125</v>
      </c>
      <c r="B353" s="2798">
        <v>36741.47</v>
      </c>
      <c r="C353" s="2798">
        <v>381.64</v>
      </c>
      <c r="D353" s="2798">
        <v>13859.68</v>
      </c>
      <c r="E353" s="2798">
        <v>2610.19</v>
      </c>
    </row>
    <row r="354" spans="1:5">
      <c r="A354" s="2800">
        <v>45124</v>
      </c>
      <c r="B354" s="2798">
        <v>36958.910000000003</v>
      </c>
      <c r="C354" s="2798">
        <v>384.67</v>
      </c>
      <c r="D354" s="2798">
        <v>13765.97</v>
      </c>
      <c r="E354" s="2798">
        <v>2624.49</v>
      </c>
    </row>
    <row r="355" spans="1:5">
      <c r="A355" s="2800">
        <v>45123</v>
      </c>
      <c r="B355" s="2798" t="s">
        <v>1146</v>
      </c>
      <c r="C355" s="2798" t="s">
        <v>1146</v>
      </c>
      <c r="D355" s="2798" t="s">
        <v>1146</v>
      </c>
      <c r="E355" s="2798" t="s">
        <v>1146</v>
      </c>
    </row>
    <row r="356" spans="1:5">
      <c r="A356" s="2800">
        <v>45122</v>
      </c>
      <c r="B356" s="2798" t="s">
        <v>1146</v>
      </c>
      <c r="C356" s="2798" t="s">
        <v>1146</v>
      </c>
      <c r="D356" s="2798" t="s">
        <v>1146</v>
      </c>
      <c r="E356" s="2798" t="s">
        <v>1146</v>
      </c>
    </row>
    <row r="357" spans="1:5">
      <c r="A357" s="2800">
        <v>45121</v>
      </c>
      <c r="B357" s="2798">
        <v>36840.81</v>
      </c>
      <c r="C357" s="2798">
        <v>382.85</v>
      </c>
      <c r="D357" s="2798">
        <v>13747.58</v>
      </c>
      <c r="E357" s="2798">
        <v>2626.03</v>
      </c>
    </row>
    <row r="358" spans="1:5">
      <c r="A358" s="2800">
        <v>45120</v>
      </c>
      <c r="B358" s="2798">
        <v>36359.21</v>
      </c>
      <c r="C358" s="2798">
        <v>376.53</v>
      </c>
      <c r="D358" s="2798">
        <v>13755.33</v>
      </c>
      <c r="E358" s="2798">
        <v>2605.44</v>
      </c>
    </row>
    <row r="359" spans="1:5">
      <c r="A359" s="2800">
        <v>45119</v>
      </c>
      <c r="B359" s="2798">
        <v>36113.949999999997</v>
      </c>
      <c r="C359" s="2798">
        <v>376.93</v>
      </c>
      <c r="D359" s="2798">
        <v>13605.82</v>
      </c>
      <c r="E359" s="2798">
        <v>2566.6799999999998</v>
      </c>
    </row>
    <row r="360" spans="1:5">
      <c r="A360" s="2800">
        <v>45118</v>
      </c>
      <c r="B360" s="2798">
        <v>35967.64</v>
      </c>
      <c r="C360" s="2798">
        <v>378.1</v>
      </c>
      <c r="D360" s="2798">
        <v>13450.43</v>
      </c>
      <c r="E360" s="2798">
        <v>2539.17</v>
      </c>
    </row>
    <row r="361" spans="1:5">
      <c r="A361" s="2800">
        <v>45117</v>
      </c>
      <c r="B361" s="2798">
        <v>35416.050000000003</v>
      </c>
      <c r="C361" s="2798">
        <v>376.24</v>
      </c>
      <c r="D361" s="2798">
        <v>13349.64</v>
      </c>
      <c r="E361" s="2798">
        <v>2505.5100000000002</v>
      </c>
    </row>
    <row r="362" spans="1:5">
      <c r="A362" s="2800">
        <v>45116</v>
      </c>
      <c r="B362" s="2798" t="s">
        <v>1146</v>
      </c>
      <c r="C362" s="2798" t="s">
        <v>1146</v>
      </c>
      <c r="D362" s="2798" t="s">
        <v>1146</v>
      </c>
      <c r="E362" s="2798" t="s">
        <v>1146</v>
      </c>
    </row>
    <row r="363" spans="1:5">
      <c r="A363" s="2800">
        <v>45115</v>
      </c>
      <c r="B363" s="2798" t="s">
        <v>1146</v>
      </c>
      <c r="C363" s="2798" t="s">
        <v>1146</v>
      </c>
      <c r="D363" s="2798" t="s">
        <v>1146</v>
      </c>
      <c r="E363" s="2798" t="s">
        <v>1146</v>
      </c>
    </row>
    <row r="364" spans="1:5">
      <c r="A364" s="2800">
        <v>45114</v>
      </c>
      <c r="B364" s="2798">
        <v>35432.949999999997</v>
      </c>
      <c r="C364" s="2798">
        <v>377.75</v>
      </c>
      <c r="D364" s="2798">
        <v>13318.34</v>
      </c>
      <c r="E364" s="2798">
        <v>2501.9499999999998</v>
      </c>
    </row>
    <row r="365" spans="1:5">
      <c r="A365" s="2800">
        <v>45113</v>
      </c>
      <c r="B365" s="2798">
        <v>35636.71</v>
      </c>
      <c r="C365" s="2798">
        <v>382.32</v>
      </c>
      <c r="D365" s="2798">
        <v>13318.22</v>
      </c>
      <c r="E365" s="2798">
        <v>2512.0100000000002</v>
      </c>
    </row>
    <row r="366" spans="1:5">
      <c r="A366" s="2800">
        <v>45112</v>
      </c>
      <c r="B366" s="2798">
        <v>36239.97</v>
      </c>
      <c r="C366" s="2798">
        <v>384.59</v>
      </c>
      <c r="D366" s="2798">
        <v>13482.3</v>
      </c>
      <c r="E366" s="2798">
        <v>2549.9</v>
      </c>
    </row>
    <row r="367" spans="1:5">
      <c r="A367" s="2800">
        <v>45111</v>
      </c>
      <c r="B367" s="2798">
        <v>36401.019999999997</v>
      </c>
      <c r="C367" s="2798">
        <v>383.6</v>
      </c>
      <c r="D367" s="2798">
        <v>13530.86</v>
      </c>
      <c r="E367" s="2798">
        <v>2566.29</v>
      </c>
    </row>
    <row r="368" spans="1:5">
      <c r="A368" s="2800">
        <v>45110</v>
      </c>
      <c r="B368" s="2798">
        <v>36153.24</v>
      </c>
      <c r="C368" s="2798">
        <v>382.4</v>
      </c>
      <c r="D368" s="2798">
        <v>13531.83</v>
      </c>
      <c r="E368" s="2798">
        <v>2557.0700000000002</v>
      </c>
    </row>
    <row r="369" spans="1:5">
      <c r="A369" s="2800">
        <v>45109</v>
      </c>
      <c r="B369" s="2798" t="s">
        <v>1146</v>
      </c>
      <c r="C369" s="2798" t="s">
        <v>1146</v>
      </c>
      <c r="D369" s="2798" t="s">
        <v>1146</v>
      </c>
      <c r="E369" s="2798" t="s">
        <v>1146</v>
      </c>
    </row>
    <row r="370" spans="1:5">
      <c r="A370" s="2801">
        <v>45108</v>
      </c>
      <c r="B370" s="2798" t="s">
        <v>1146</v>
      </c>
      <c r="C370" s="2798" t="s">
        <v>1146</v>
      </c>
      <c r="D370" s="2798" t="s">
        <v>1146</v>
      </c>
      <c r="E370" s="2798" t="s">
        <v>1146</v>
      </c>
    </row>
    <row r="371" spans="1:5">
      <c r="A371" s="2801">
        <v>45107</v>
      </c>
      <c r="B371" s="2798">
        <v>35784.54</v>
      </c>
      <c r="C371" s="2798">
        <v>379.13</v>
      </c>
      <c r="D371" s="2798">
        <v>13506.74</v>
      </c>
      <c r="E371" s="2798">
        <v>2516.96</v>
      </c>
    </row>
    <row r="372" spans="1:5">
      <c r="A372" s="2801">
        <v>45106</v>
      </c>
      <c r="B372" s="2798">
        <v>35686.11</v>
      </c>
      <c r="C372" s="2798">
        <v>376.78</v>
      </c>
      <c r="D372" s="2798">
        <v>13356.82</v>
      </c>
      <c r="E372" s="2798">
        <v>2508.92</v>
      </c>
    </row>
    <row r="373" spans="1:5">
      <c r="A373" s="2801">
        <v>45105</v>
      </c>
      <c r="B373" s="2798">
        <v>35608.78</v>
      </c>
      <c r="C373" s="2798">
        <v>373.21</v>
      </c>
      <c r="D373" s="2798">
        <v>13312.78</v>
      </c>
      <c r="E373" s="2798">
        <v>2519.33</v>
      </c>
    </row>
    <row r="374" spans="1:5">
      <c r="A374" s="2801">
        <v>45104</v>
      </c>
      <c r="B374" s="2798">
        <v>35493.22</v>
      </c>
      <c r="C374" s="2798">
        <v>371.64</v>
      </c>
      <c r="D374" s="2798">
        <v>13295.81</v>
      </c>
      <c r="E374" s="2798">
        <v>2526.5100000000002</v>
      </c>
    </row>
    <row r="375" spans="1:5">
      <c r="A375" s="2801">
        <v>45103</v>
      </c>
      <c r="B375" s="2798">
        <v>35797.919999999998</v>
      </c>
      <c r="C375" s="2798">
        <v>373.15</v>
      </c>
      <c r="D375" s="2798">
        <v>13176.15</v>
      </c>
      <c r="E375" s="2798">
        <v>2510.91</v>
      </c>
    </row>
    <row r="376" spans="1:5">
      <c r="A376" s="2801">
        <v>45102</v>
      </c>
      <c r="B376" s="2798" t="s">
        <v>1146</v>
      </c>
      <c r="C376" s="2798" t="s">
        <v>1146</v>
      </c>
      <c r="D376" s="2798" t="s">
        <v>1146</v>
      </c>
      <c r="E376" s="2798" t="s">
        <v>1146</v>
      </c>
    </row>
    <row r="377" spans="1:5">
      <c r="A377" s="2801">
        <v>45101</v>
      </c>
      <c r="B377" s="2798" t="s">
        <v>1146</v>
      </c>
      <c r="C377" s="2798" t="s">
        <v>1146</v>
      </c>
      <c r="D377" s="2798" t="s">
        <v>1146</v>
      </c>
      <c r="E377" s="2798" t="s">
        <v>1146</v>
      </c>
    </row>
    <row r="378" spans="1:5">
      <c r="A378" s="2801">
        <v>45100</v>
      </c>
      <c r="B378" s="2798" t="s">
        <v>1146</v>
      </c>
      <c r="C378" s="2798" t="s">
        <v>1146</v>
      </c>
      <c r="D378" s="2798">
        <v>13209.62</v>
      </c>
      <c r="E378" s="2798">
        <v>2516.87</v>
      </c>
    </row>
    <row r="379" spans="1:5">
      <c r="A379" s="2801">
        <v>45099</v>
      </c>
      <c r="B379" s="2798" t="s">
        <v>1146</v>
      </c>
      <c r="C379" s="2798" t="s">
        <v>1146</v>
      </c>
      <c r="D379" s="2798">
        <v>13337.04</v>
      </c>
      <c r="E379" s="2798">
        <v>2540.0500000000002</v>
      </c>
    </row>
    <row r="380" spans="1:5">
      <c r="A380" s="2801">
        <v>45098</v>
      </c>
      <c r="B380" s="2798">
        <v>36095.11</v>
      </c>
      <c r="C380" s="2798">
        <v>376.43</v>
      </c>
      <c r="D380" s="2798">
        <v>13323.79</v>
      </c>
      <c r="E380" s="2798">
        <v>2547.88</v>
      </c>
    </row>
    <row r="381" spans="1:5">
      <c r="A381" s="2801">
        <v>45097</v>
      </c>
      <c r="B381" s="2798">
        <v>36055.440000000002</v>
      </c>
      <c r="C381" s="2798">
        <v>377.7</v>
      </c>
      <c r="D381" s="2798">
        <v>13376.52</v>
      </c>
      <c r="E381" s="2798">
        <v>2569.94</v>
      </c>
    </row>
    <row r="382" spans="1:5">
      <c r="A382" s="2801">
        <v>45096</v>
      </c>
      <c r="B382" s="2798">
        <v>36149.019999999997</v>
      </c>
      <c r="C382" s="2798">
        <v>378.27</v>
      </c>
      <c r="D382" s="2798">
        <v>13447.32</v>
      </c>
      <c r="E382" s="2798">
        <v>2593.8200000000002</v>
      </c>
    </row>
    <row r="383" spans="1:5">
      <c r="A383" s="2801">
        <v>45095</v>
      </c>
      <c r="B383" s="2798" t="s">
        <v>1146</v>
      </c>
      <c r="C383" s="2798" t="s">
        <v>1146</v>
      </c>
      <c r="D383" s="2798" t="s">
        <v>1146</v>
      </c>
      <c r="E383" s="2798" t="s">
        <v>1146</v>
      </c>
    </row>
    <row r="384" spans="1:5">
      <c r="A384" s="2801">
        <v>45094</v>
      </c>
      <c r="B384" s="2798" t="s">
        <v>1146</v>
      </c>
      <c r="C384" s="2798" t="s">
        <v>1146</v>
      </c>
      <c r="D384" s="2798" t="s">
        <v>1146</v>
      </c>
      <c r="E384" s="2798" t="s">
        <v>1146</v>
      </c>
    </row>
    <row r="385" spans="1:5">
      <c r="A385" s="2801">
        <v>45093</v>
      </c>
      <c r="B385" s="2798">
        <v>36178.33</v>
      </c>
      <c r="C385" s="2798">
        <v>377.94</v>
      </c>
      <c r="D385" s="2798">
        <v>13479.92</v>
      </c>
      <c r="E385" s="2798">
        <v>2610.3000000000002</v>
      </c>
    </row>
    <row r="386" spans="1:5">
      <c r="A386" s="2801">
        <v>45092</v>
      </c>
      <c r="B386" s="2798">
        <v>36269.21</v>
      </c>
      <c r="C386" s="2798">
        <v>378.16</v>
      </c>
      <c r="D386" s="2798">
        <v>13498.33</v>
      </c>
      <c r="E386" s="2798">
        <v>2593.81</v>
      </c>
    </row>
    <row r="387" spans="1:5">
      <c r="A387" s="2801">
        <v>45091</v>
      </c>
      <c r="B387" s="2798">
        <v>36000.39</v>
      </c>
      <c r="C387" s="2798">
        <v>376.69</v>
      </c>
      <c r="D387" s="2798">
        <v>13374.14</v>
      </c>
      <c r="E387" s="2798">
        <v>2570.73</v>
      </c>
    </row>
    <row r="388" spans="1:5">
      <c r="A388" s="2801">
        <v>45090</v>
      </c>
      <c r="B388" s="2798">
        <v>35944.730000000003</v>
      </c>
      <c r="C388" s="2798">
        <v>377.81</v>
      </c>
      <c r="D388" s="2798">
        <v>13326.69</v>
      </c>
      <c r="E388" s="2798">
        <v>2565.71</v>
      </c>
    </row>
    <row r="389" spans="1:5">
      <c r="A389" s="2801">
        <v>45089</v>
      </c>
      <c r="B389" s="2798">
        <v>35391.81</v>
      </c>
      <c r="C389" s="2798">
        <v>372.83</v>
      </c>
      <c r="D389" s="2798">
        <v>13218.26</v>
      </c>
      <c r="E389" s="2798">
        <v>2538.6</v>
      </c>
    </row>
    <row r="390" spans="1:5">
      <c r="A390" s="2801">
        <v>45088</v>
      </c>
      <c r="B390" s="2798" t="s">
        <v>1146</v>
      </c>
      <c r="C390" s="2798" t="s">
        <v>1146</v>
      </c>
      <c r="D390" s="2798" t="s">
        <v>1146</v>
      </c>
      <c r="E390" s="2798" t="s">
        <v>1146</v>
      </c>
    </row>
    <row r="391" spans="1:5">
      <c r="A391" s="2801">
        <v>45087</v>
      </c>
      <c r="B391" s="2798" t="s">
        <v>1146</v>
      </c>
      <c r="C391" s="2798" t="s">
        <v>1146</v>
      </c>
      <c r="D391" s="2798" t="s">
        <v>1146</v>
      </c>
      <c r="E391" s="2798" t="s">
        <v>1146</v>
      </c>
    </row>
    <row r="392" spans="1:5">
      <c r="A392" s="2801">
        <v>45086</v>
      </c>
      <c r="B392" s="2798">
        <v>35246.92</v>
      </c>
      <c r="C392" s="2798">
        <v>374.82</v>
      </c>
      <c r="D392" s="2798">
        <v>13125.29</v>
      </c>
      <c r="E392" s="2798">
        <v>2535.96</v>
      </c>
    </row>
    <row r="393" spans="1:5">
      <c r="A393" s="2801">
        <v>45085</v>
      </c>
      <c r="B393" s="2798">
        <v>34928.14</v>
      </c>
      <c r="C393" s="2798">
        <v>370.41</v>
      </c>
      <c r="D393" s="2798">
        <v>13108.95</v>
      </c>
      <c r="E393" s="2798">
        <v>2514.71</v>
      </c>
    </row>
    <row r="394" spans="1:5">
      <c r="A394" s="2801">
        <v>45084</v>
      </c>
      <c r="B394" s="2798">
        <v>35320.33</v>
      </c>
      <c r="C394" s="2798">
        <v>374.31</v>
      </c>
      <c r="D394" s="2798">
        <v>13036.6</v>
      </c>
      <c r="E394" s="2798">
        <v>2517.4299999999998</v>
      </c>
    </row>
    <row r="395" spans="1:5">
      <c r="A395" s="2801">
        <v>45083</v>
      </c>
      <c r="B395" s="2798">
        <v>34979.1</v>
      </c>
      <c r="C395" s="2798">
        <v>369.49</v>
      </c>
      <c r="D395" s="2798">
        <v>13087.96</v>
      </c>
      <c r="E395" s="2798">
        <v>2499.66</v>
      </c>
    </row>
    <row r="396" spans="1:5">
      <c r="A396" s="2801">
        <v>45082</v>
      </c>
      <c r="B396" s="2798">
        <v>34875.440000000002</v>
      </c>
      <c r="C396" s="2798">
        <v>370.84</v>
      </c>
      <c r="D396" s="2798">
        <v>13052.38</v>
      </c>
      <c r="E396" s="2798">
        <v>2494.91</v>
      </c>
    </row>
    <row r="397" spans="1:5">
      <c r="A397" s="2801">
        <v>45081</v>
      </c>
      <c r="B397" s="2798" t="s">
        <v>1146</v>
      </c>
      <c r="C397" s="2798" t="s">
        <v>1146</v>
      </c>
      <c r="D397" s="2798" t="s">
        <v>1146</v>
      </c>
      <c r="E397" s="2798" t="s">
        <v>1146</v>
      </c>
    </row>
    <row r="398" spans="1:5">
      <c r="A398" s="2801">
        <v>45080</v>
      </c>
      <c r="B398" s="2798" t="s">
        <v>1146</v>
      </c>
      <c r="C398" s="2798" t="s">
        <v>1146</v>
      </c>
      <c r="D398" s="2798" t="s">
        <v>1146</v>
      </c>
      <c r="E398" s="2798" t="s">
        <v>1146</v>
      </c>
    </row>
    <row r="399" spans="1:5">
      <c r="A399" s="2801">
        <v>45079</v>
      </c>
      <c r="B399" s="2798">
        <v>34853.760000000002</v>
      </c>
      <c r="C399" s="2798">
        <v>367.58</v>
      </c>
      <c r="D399" s="2798">
        <v>13066.1</v>
      </c>
      <c r="E399" s="2798">
        <v>2488.71</v>
      </c>
    </row>
    <row r="400" spans="1:5">
      <c r="A400" s="2801">
        <v>45078</v>
      </c>
      <c r="B400" s="2798">
        <v>34447.18</v>
      </c>
      <c r="C400" s="2798">
        <v>365.16</v>
      </c>
      <c r="D400" s="2798">
        <v>12875.56</v>
      </c>
      <c r="E400" s="2798">
        <v>2431.08</v>
      </c>
    </row>
    <row r="401" spans="1:5">
      <c r="A401" s="2801">
        <v>45077</v>
      </c>
      <c r="B401" s="2798">
        <v>34581.01</v>
      </c>
      <c r="C401" s="2798">
        <v>363.86</v>
      </c>
      <c r="D401" s="2798">
        <v>12731.91</v>
      </c>
      <c r="E401" s="2798">
        <v>2422.6799999999998</v>
      </c>
    </row>
    <row r="402" spans="1:5">
      <c r="A402" s="2801">
        <v>45076</v>
      </c>
      <c r="B402" s="2798">
        <v>34671.86</v>
      </c>
      <c r="C402" s="2798">
        <v>362.41</v>
      </c>
      <c r="D402" s="2798">
        <v>12843.8</v>
      </c>
      <c r="E402" s="2798">
        <v>2452.3000000000002</v>
      </c>
    </row>
    <row r="403" spans="1:5">
      <c r="A403" s="2801">
        <v>45075</v>
      </c>
      <c r="B403" s="2798">
        <v>34696.019999999997</v>
      </c>
      <c r="C403" s="2798">
        <v>363.87</v>
      </c>
      <c r="D403" s="2798">
        <v>12862.89</v>
      </c>
      <c r="E403" s="2798">
        <v>2455.08</v>
      </c>
    </row>
    <row r="404" spans="1:5">
      <c r="A404" s="2801">
        <v>45074</v>
      </c>
      <c r="B404" s="2798" t="s">
        <v>1146</v>
      </c>
      <c r="C404" s="2798" t="s">
        <v>1146</v>
      </c>
      <c r="D404" s="2798" t="s">
        <v>1146</v>
      </c>
      <c r="E404" s="2798" t="s">
        <v>1146</v>
      </c>
    </row>
    <row r="405" spans="1:5">
      <c r="A405" s="2801">
        <v>45073</v>
      </c>
      <c r="B405" s="2798" t="s">
        <v>1146</v>
      </c>
      <c r="C405" s="2798" t="s">
        <v>1146</v>
      </c>
      <c r="D405" s="2798" t="s">
        <v>1146</v>
      </c>
      <c r="E405" s="2798" t="s">
        <v>1146</v>
      </c>
    </row>
    <row r="406" spans="1:5">
      <c r="A406" s="2801">
        <v>45072</v>
      </c>
      <c r="B406" s="2798">
        <v>34421.85</v>
      </c>
      <c r="C406" s="2798">
        <v>358.37</v>
      </c>
      <c r="D406" s="2798">
        <v>12851.35</v>
      </c>
      <c r="E406" s="2798">
        <v>2457.65</v>
      </c>
    </row>
    <row r="407" spans="1:5">
      <c r="A407" s="2801">
        <v>45071</v>
      </c>
      <c r="B407" s="2798">
        <v>33977.47</v>
      </c>
      <c r="C407" s="2798">
        <v>357.62</v>
      </c>
      <c r="D407" s="2798">
        <v>12709.35</v>
      </c>
      <c r="E407" s="2798">
        <v>2435.15</v>
      </c>
    </row>
    <row r="408" spans="1:5">
      <c r="A408" s="2801">
        <v>45070</v>
      </c>
      <c r="B408" s="2798">
        <v>33699.370000000003</v>
      </c>
      <c r="C408" s="2798">
        <v>358.15</v>
      </c>
      <c r="D408" s="2798">
        <v>12672.24</v>
      </c>
      <c r="E408" s="2798">
        <v>2452.35</v>
      </c>
    </row>
    <row r="409" spans="1:5">
      <c r="A409" s="2801">
        <v>45069</v>
      </c>
      <c r="B409" s="2798">
        <v>33759.26</v>
      </c>
      <c r="C409" s="2798">
        <v>359.16</v>
      </c>
      <c r="D409" s="2798">
        <v>12799.38</v>
      </c>
      <c r="E409" s="2798">
        <v>2471.63</v>
      </c>
    </row>
    <row r="410" spans="1:5">
      <c r="A410" s="2801">
        <v>45068</v>
      </c>
      <c r="B410" s="2798">
        <v>33744.36</v>
      </c>
      <c r="C410" s="2798">
        <v>355.88</v>
      </c>
      <c r="D410" s="2798">
        <v>12929.33</v>
      </c>
      <c r="E410" s="2798">
        <v>2483.31</v>
      </c>
    </row>
    <row r="411" spans="1:5">
      <c r="A411" s="2801">
        <v>45067</v>
      </c>
      <c r="B411" s="2798" t="s">
        <v>1146</v>
      </c>
      <c r="C411" s="2798" t="s">
        <v>1146</v>
      </c>
      <c r="D411" s="2798" t="s">
        <v>1146</v>
      </c>
      <c r="E411" s="2798" t="s">
        <v>1146</v>
      </c>
    </row>
    <row r="412" spans="1:5">
      <c r="A412" s="2801">
        <v>45066</v>
      </c>
      <c r="B412" s="2798" t="s">
        <v>1146</v>
      </c>
      <c r="C412" s="2798" t="s">
        <v>1146</v>
      </c>
      <c r="D412" s="2798" t="s">
        <v>1146</v>
      </c>
      <c r="E412" s="2798" t="s">
        <v>1146</v>
      </c>
    </row>
    <row r="413" spans="1:5">
      <c r="A413" s="2801">
        <v>45065</v>
      </c>
      <c r="B413" s="2798">
        <v>33731.9</v>
      </c>
      <c r="C413" s="2798">
        <v>352.85</v>
      </c>
      <c r="D413" s="2798">
        <v>12912.34</v>
      </c>
      <c r="E413" s="2798">
        <v>2467.77</v>
      </c>
    </row>
    <row r="414" spans="1:5">
      <c r="A414" s="2801">
        <v>45064</v>
      </c>
      <c r="B414" s="2798">
        <v>33579.589999999997</v>
      </c>
      <c r="C414" s="2798">
        <v>353.79</v>
      </c>
      <c r="D414" s="2798">
        <v>12899.64</v>
      </c>
      <c r="E414" s="2798">
        <v>2469.25</v>
      </c>
    </row>
    <row r="415" spans="1:5">
      <c r="A415" s="2801">
        <v>45063</v>
      </c>
      <c r="B415" s="2798">
        <v>33211.32</v>
      </c>
      <c r="C415" s="2798">
        <v>352.65</v>
      </c>
      <c r="D415" s="2798">
        <v>12809.12</v>
      </c>
      <c r="E415" s="2798">
        <v>2463.02</v>
      </c>
    </row>
    <row r="416" spans="1:5">
      <c r="A416" s="2801">
        <v>45062</v>
      </c>
      <c r="B416" s="2798">
        <v>32687.07</v>
      </c>
      <c r="C416" s="2798">
        <v>348.52</v>
      </c>
      <c r="D416" s="2798">
        <v>12722.77</v>
      </c>
      <c r="E416" s="2798">
        <v>2471.5700000000002</v>
      </c>
    </row>
    <row r="417" spans="1:5">
      <c r="A417" s="2801">
        <v>45061</v>
      </c>
      <c r="B417" s="2798">
        <v>32272.37</v>
      </c>
      <c r="C417" s="2798">
        <v>345.01</v>
      </c>
      <c r="D417" s="2798">
        <v>12799.51</v>
      </c>
      <c r="E417" s="2798">
        <v>2466.5700000000002</v>
      </c>
    </row>
    <row r="418" spans="1:5">
      <c r="A418" s="2801">
        <v>45060</v>
      </c>
      <c r="B418" s="2798" t="s">
        <v>1146</v>
      </c>
      <c r="C418" s="2798" t="s">
        <v>1146</v>
      </c>
      <c r="D418" s="2798" t="s">
        <v>1146</v>
      </c>
      <c r="E418" s="2798" t="s">
        <v>1146</v>
      </c>
    </row>
    <row r="419" spans="1:5">
      <c r="A419" s="2801">
        <v>45059</v>
      </c>
      <c r="B419" s="2798" t="s">
        <v>1146</v>
      </c>
      <c r="C419" s="2798" t="s">
        <v>1146</v>
      </c>
      <c r="D419" s="2798" t="s">
        <v>1146</v>
      </c>
      <c r="E419" s="2798" t="s">
        <v>1146</v>
      </c>
    </row>
    <row r="420" spans="1:5">
      <c r="A420" s="2801">
        <v>45058</v>
      </c>
      <c r="B420" s="2798">
        <v>32329.33</v>
      </c>
      <c r="C420" s="2798">
        <v>348.42</v>
      </c>
      <c r="D420" s="2798">
        <v>12750.92</v>
      </c>
      <c r="E420" s="2798">
        <v>2454.9899999999998</v>
      </c>
    </row>
    <row r="421" spans="1:5">
      <c r="A421" s="2801">
        <v>45057</v>
      </c>
      <c r="B421" s="2798">
        <v>32354.94</v>
      </c>
      <c r="C421" s="2798">
        <v>346.4</v>
      </c>
      <c r="D421" s="2798">
        <v>12771.9</v>
      </c>
      <c r="E421" s="2798">
        <v>2467.14</v>
      </c>
    </row>
    <row r="422" spans="1:5">
      <c r="A422" s="2801">
        <v>45056</v>
      </c>
      <c r="B422" s="2798">
        <v>32620.03</v>
      </c>
      <c r="C422" s="2798">
        <v>353.88</v>
      </c>
      <c r="D422" s="2798">
        <v>12802.53</v>
      </c>
      <c r="E422" s="2798">
        <v>2471.6999999999998</v>
      </c>
    </row>
    <row r="423" spans="1:5">
      <c r="A423" s="2801">
        <v>45055</v>
      </c>
      <c r="B423" s="2798">
        <v>32799.25</v>
      </c>
      <c r="C423" s="2798">
        <v>353.79</v>
      </c>
      <c r="D423" s="2798">
        <v>12768.53</v>
      </c>
      <c r="E423" s="2798">
        <v>2478.13</v>
      </c>
    </row>
    <row r="424" spans="1:5">
      <c r="A424" s="2801">
        <v>45054</v>
      </c>
      <c r="B424" s="2798">
        <v>32740.59</v>
      </c>
      <c r="C424" s="2798">
        <v>358.81</v>
      </c>
      <c r="D424" s="2798">
        <v>12820.92</v>
      </c>
      <c r="E424" s="2798">
        <v>2496.2399999999998</v>
      </c>
    </row>
    <row r="425" spans="1:5">
      <c r="A425" s="2801">
        <v>45053</v>
      </c>
      <c r="B425" s="2798" t="s">
        <v>1146</v>
      </c>
      <c r="C425" s="2798" t="s">
        <v>1146</v>
      </c>
      <c r="D425" s="2798" t="s">
        <v>1146</v>
      </c>
      <c r="E425" s="2798" t="s">
        <v>1146</v>
      </c>
    </row>
    <row r="426" spans="1:5">
      <c r="A426" s="2801">
        <v>45052</v>
      </c>
      <c r="B426" s="2798" t="s">
        <v>1146</v>
      </c>
      <c r="C426" s="2798" t="s">
        <v>1146</v>
      </c>
      <c r="D426" s="2798" t="s">
        <v>1146</v>
      </c>
      <c r="E426" s="2798" t="s">
        <v>1146</v>
      </c>
    </row>
    <row r="427" spans="1:5">
      <c r="A427" s="2801">
        <v>45051</v>
      </c>
      <c r="B427" s="2798">
        <v>32587.31</v>
      </c>
      <c r="C427" s="2798">
        <v>358.78</v>
      </c>
      <c r="D427" s="2798">
        <v>12794.75</v>
      </c>
      <c r="E427" s="2798">
        <v>2476.15</v>
      </c>
    </row>
    <row r="428" spans="1:5">
      <c r="A428" s="2801">
        <v>45050</v>
      </c>
      <c r="B428" s="2798">
        <v>32551.79</v>
      </c>
      <c r="C428" s="2798">
        <v>357.73</v>
      </c>
      <c r="D428" s="2798">
        <v>12598.61</v>
      </c>
      <c r="E428" s="2798">
        <v>2462.35</v>
      </c>
    </row>
    <row r="429" spans="1:5">
      <c r="A429" s="2801">
        <v>45049</v>
      </c>
      <c r="B429" s="2798">
        <v>32435.79</v>
      </c>
      <c r="C429" s="2798">
        <v>355.84</v>
      </c>
      <c r="D429" s="2798">
        <v>12672.94</v>
      </c>
      <c r="E429" s="2798">
        <v>2445.1799999999998</v>
      </c>
    </row>
    <row r="430" spans="1:5">
      <c r="A430" s="2801">
        <v>45048</v>
      </c>
      <c r="B430" s="2798">
        <v>32609.040000000001</v>
      </c>
      <c r="C430" s="2798">
        <v>357.66</v>
      </c>
      <c r="D430" s="2798">
        <v>12702.69</v>
      </c>
      <c r="E430" s="2798">
        <v>2455.8000000000002</v>
      </c>
    </row>
    <row r="431" spans="1:5">
      <c r="A431" s="2801">
        <v>45047</v>
      </c>
      <c r="B431" s="2798" t="s">
        <v>1146</v>
      </c>
      <c r="C431" s="2798" t="s">
        <v>1146</v>
      </c>
      <c r="D431" s="2798">
        <v>12839.84</v>
      </c>
      <c r="E431" s="2798">
        <v>2462.62</v>
      </c>
    </row>
    <row r="432" spans="1:5">
      <c r="A432" s="2801">
        <v>45046</v>
      </c>
      <c r="B432" s="2798" t="s">
        <v>1146</v>
      </c>
      <c r="C432" s="2798" t="s">
        <v>1146</v>
      </c>
      <c r="D432" s="2798" t="s">
        <v>1146</v>
      </c>
      <c r="E432" s="2798" t="s">
        <v>1146</v>
      </c>
    </row>
    <row r="433" spans="1:5">
      <c r="A433" s="2801">
        <v>45045</v>
      </c>
      <c r="B433" s="2798" t="s">
        <v>1146</v>
      </c>
      <c r="C433" s="2798" t="s">
        <v>1146</v>
      </c>
      <c r="D433" s="2798" t="s">
        <v>1146</v>
      </c>
      <c r="E433" s="2798" t="s">
        <v>1146</v>
      </c>
    </row>
    <row r="434" spans="1:5">
      <c r="A434" s="2801">
        <v>45044</v>
      </c>
      <c r="B434" s="2798">
        <v>32489.54</v>
      </c>
      <c r="C434" s="2798">
        <v>352.52</v>
      </c>
      <c r="D434" s="2798">
        <v>12850.38</v>
      </c>
      <c r="E434" s="2798">
        <v>2463.34</v>
      </c>
    </row>
    <row r="435" spans="1:5">
      <c r="A435" s="2801">
        <v>45043</v>
      </c>
      <c r="B435" s="2798">
        <v>32139.82</v>
      </c>
      <c r="C435" s="2798">
        <v>346.82</v>
      </c>
      <c r="D435" s="2798">
        <v>12755.57</v>
      </c>
      <c r="E435" s="2798">
        <v>2448.67</v>
      </c>
    </row>
    <row r="436" spans="1:5">
      <c r="A436" s="2801">
        <v>45042</v>
      </c>
      <c r="B436" s="2798">
        <v>32061.93</v>
      </c>
      <c r="C436" s="2798">
        <v>345.07</v>
      </c>
      <c r="D436" s="2798">
        <v>12590.73</v>
      </c>
      <c r="E436" s="2798">
        <v>2437.7199999999998</v>
      </c>
    </row>
    <row r="437" spans="1:5">
      <c r="A437" s="2801">
        <v>45041</v>
      </c>
      <c r="B437" s="2798">
        <v>32053.74</v>
      </c>
      <c r="C437" s="2798">
        <v>344.77</v>
      </c>
      <c r="D437" s="2798">
        <v>12633.99</v>
      </c>
      <c r="E437" s="2798">
        <v>2431.85</v>
      </c>
    </row>
    <row r="438" spans="1:5">
      <c r="A438" s="2801">
        <v>45040</v>
      </c>
      <c r="B438" s="2798">
        <v>32587.89</v>
      </c>
      <c r="C438" s="2798">
        <v>353.47</v>
      </c>
      <c r="D438" s="2798">
        <v>12801.02</v>
      </c>
      <c r="E438" s="2798">
        <v>2461.5</v>
      </c>
    </row>
    <row r="439" spans="1:5">
      <c r="A439" s="2801">
        <v>45039</v>
      </c>
      <c r="B439" s="2798" t="s">
        <v>1146</v>
      </c>
      <c r="C439" s="2798" t="s">
        <v>1146</v>
      </c>
      <c r="D439" s="2798" t="s">
        <v>1146</v>
      </c>
      <c r="E439" s="2798" t="s">
        <v>1146</v>
      </c>
    </row>
    <row r="440" spans="1:5">
      <c r="A440" s="2801">
        <v>45038</v>
      </c>
      <c r="B440" s="2798" t="s">
        <v>1146</v>
      </c>
      <c r="C440" s="2798" t="s">
        <v>1146</v>
      </c>
      <c r="D440" s="2798" t="s">
        <v>1146</v>
      </c>
      <c r="E440" s="2798" t="s">
        <v>1146</v>
      </c>
    </row>
    <row r="441" spans="1:5">
      <c r="A441" s="2801">
        <v>45037</v>
      </c>
      <c r="B441" s="2798">
        <v>32538.080000000002</v>
      </c>
      <c r="C441" s="2798">
        <v>350.7</v>
      </c>
      <c r="D441" s="2798">
        <v>12779.62</v>
      </c>
      <c r="E441" s="2798">
        <v>2469.96</v>
      </c>
    </row>
    <row r="442" spans="1:5">
      <c r="A442" s="2801">
        <v>45036</v>
      </c>
      <c r="B442" s="2798">
        <v>32756.06</v>
      </c>
      <c r="C442" s="2798">
        <v>358.59</v>
      </c>
      <c r="D442" s="2798">
        <v>12776.76</v>
      </c>
      <c r="E442" s="2798">
        <v>2492.61</v>
      </c>
    </row>
    <row r="443" spans="1:5">
      <c r="A443" s="2801">
        <v>45035</v>
      </c>
      <c r="B443" s="2798">
        <v>32883.14</v>
      </c>
      <c r="C443" s="2798">
        <v>365.55</v>
      </c>
      <c r="D443" s="2798">
        <v>12824.6</v>
      </c>
      <c r="E443" s="2798">
        <v>2494.0100000000002</v>
      </c>
    </row>
    <row r="444" spans="1:5">
      <c r="A444" s="2801">
        <v>45034</v>
      </c>
      <c r="B444" s="2798">
        <v>33089.5</v>
      </c>
      <c r="C444" s="2798">
        <v>365.23</v>
      </c>
      <c r="D444" s="2798">
        <v>12835.9</v>
      </c>
      <c r="E444" s="2798">
        <v>2519.34</v>
      </c>
    </row>
    <row r="445" spans="1:5">
      <c r="A445" s="2801">
        <v>45033</v>
      </c>
      <c r="B445" s="2798">
        <v>33285.730000000003</v>
      </c>
      <c r="C445" s="2798">
        <v>367.06</v>
      </c>
      <c r="D445" s="2798">
        <v>12796.58</v>
      </c>
      <c r="E445" s="2798">
        <v>2527.4299999999998</v>
      </c>
    </row>
    <row r="446" spans="1:5">
      <c r="A446" s="2801">
        <v>45032</v>
      </c>
      <c r="B446" s="2798" t="s">
        <v>1146</v>
      </c>
      <c r="C446" s="2798" t="s">
        <v>1146</v>
      </c>
      <c r="D446" s="2798" t="s">
        <v>1146</v>
      </c>
      <c r="E446" s="2798" t="s">
        <v>1146</v>
      </c>
    </row>
    <row r="447" spans="1:5">
      <c r="A447" s="2801">
        <v>45031</v>
      </c>
      <c r="B447" s="2798" t="s">
        <v>1146</v>
      </c>
      <c r="C447" s="2798" t="s">
        <v>1146</v>
      </c>
      <c r="D447" s="2798" t="s">
        <v>1146</v>
      </c>
      <c r="E447" s="2798" t="s">
        <v>1146</v>
      </c>
    </row>
    <row r="448" spans="1:5">
      <c r="A448" s="2801">
        <v>45030</v>
      </c>
      <c r="B448" s="2798">
        <v>33214.589999999997</v>
      </c>
      <c r="C448" s="2798">
        <v>364.18</v>
      </c>
      <c r="D448" s="2798">
        <v>12789.56</v>
      </c>
      <c r="E448" s="2798">
        <v>2519.08</v>
      </c>
    </row>
    <row r="449" spans="1:5">
      <c r="A449" s="2801">
        <v>45029</v>
      </c>
      <c r="B449" s="2798">
        <v>32938.39</v>
      </c>
      <c r="C449" s="2798">
        <v>362.93</v>
      </c>
      <c r="D449" s="2798">
        <v>12804.29</v>
      </c>
      <c r="E449" s="2798">
        <v>2510.11</v>
      </c>
    </row>
    <row r="450" spans="1:5">
      <c r="A450" s="2801">
        <v>45028</v>
      </c>
      <c r="B450" s="2798">
        <v>33200.86</v>
      </c>
      <c r="C450" s="2798">
        <v>364.41</v>
      </c>
      <c r="D450" s="2798">
        <v>12649.8</v>
      </c>
      <c r="E450" s="2798">
        <v>2501.3000000000002</v>
      </c>
    </row>
    <row r="451" spans="1:5">
      <c r="A451" s="2801">
        <v>45027</v>
      </c>
      <c r="B451" s="2798">
        <v>33161.089999999997</v>
      </c>
      <c r="C451" s="2798">
        <v>362.89</v>
      </c>
      <c r="D451" s="2798">
        <v>12655.4</v>
      </c>
      <c r="E451" s="2798">
        <v>2507.8000000000002</v>
      </c>
    </row>
    <row r="452" spans="1:5">
      <c r="A452" s="2801">
        <v>45026</v>
      </c>
      <c r="B452" s="2798">
        <v>33082.51</v>
      </c>
      <c r="C452" s="2798">
        <v>360.5</v>
      </c>
      <c r="D452" s="2798">
        <v>12606.19</v>
      </c>
      <c r="E452" s="2798">
        <v>2488.67</v>
      </c>
    </row>
    <row r="453" spans="1:5">
      <c r="A453" s="2801">
        <v>45025</v>
      </c>
      <c r="B453" s="2798" t="s">
        <v>1146</v>
      </c>
      <c r="C453" s="2798" t="s">
        <v>1146</v>
      </c>
      <c r="D453" s="2798" t="s">
        <v>1146</v>
      </c>
      <c r="E453" s="2798" t="s">
        <v>1146</v>
      </c>
    </row>
    <row r="454" spans="1:5">
      <c r="A454" s="2801">
        <v>45024</v>
      </c>
      <c r="B454" s="2798" t="s">
        <v>1146</v>
      </c>
      <c r="C454" s="2798" t="s">
        <v>1146</v>
      </c>
      <c r="D454" s="2798" t="s">
        <v>1146</v>
      </c>
      <c r="E454" s="2798" t="s">
        <v>1146</v>
      </c>
    </row>
    <row r="455" spans="1:5">
      <c r="A455" s="2801">
        <v>45023</v>
      </c>
      <c r="B455" s="2798">
        <v>32999.839999999997</v>
      </c>
      <c r="C455" s="2798">
        <v>358.36</v>
      </c>
      <c r="D455" s="2798">
        <v>12624.62</v>
      </c>
      <c r="E455" s="2798">
        <v>2484.54</v>
      </c>
    </row>
    <row r="456" spans="1:5">
      <c r="A456" s="2801">
        <v>45022</v>
      </c>
      <c r="B456" s="2798">
        <v>32945.9</v>
      </c>
      <c r="C456" s="2798">
        <v>356.89</v>
      </c>
      <c r="D456" s="2798">
        <v>12623.35</v>
      </c>
      <c r="E456" s="2798">
        <v>2477.9</v>
      </c>
    </row>
    <row r="457" spans="1:5">
      <c r="A457" s="2801">
        <v>45021</v>
      </c>
      <c r="B457" s="2798" t="s">
        <v>1146</v>
      </c>
      <c r="C457" s="2798" t="s">
        <v>1146</v>
      </c>
      <c r="D457" s="2798">
        <v>12593.01</v>
      </c>
      <c r="E457" s="2798">
        <v>2486.4299999999998</v>
      </c>
    </row>
    <row r="458" spans="1:5">
      <c r="A458" s="2801">
        <v>45020</v>
      </c>
      <c r="B458" s="2798" t="s">
        <v>1146</v>
      </c>
      <c r="C458" s="2798" t="s">
        <v>1146</v>
      </c>
      <c r="D458" s="2798">
        <v>12648.33</v>
      </c>
      <c r="E458" s="2798">
        <v>2485.67</v>
      </c>
    </row>
    <row r="459" spans="1:5">
      <c r="A459" s="2801">
        <v>45019</v>
      </c>
      <c r="B459" s="2798" t="s">
        <v>1146</v>
      </c>
      <c r="C459" s="2798" t="s">
        <v>1146</v>
      </c>
      <c r="D459" s="2798">
        <v>12678.5</v>
      </c>
      <c r="E459" s="2798">
        <v>2488.6999999999998</v>
      </c>
    </row>
    <row r="460" spans="1:5">
      <c r="A460" s="2801">
        <v>45018</v>
      </c>
      <c r="B460" s="2798" t="s">
        <v>1146</v>
      </c>
      <c r="C460" s="2798" t="s">
        <v>1146</v>
      </c>
      <c r="D460" s="2798" t="s">
        <v>1146</v>
      </c>
      <c r="E460" s="2798" t="s">
        <v>1146</v>
      </c>
    </row>
    <row r="461" spans="1:5">
      <c r="A461" s="2801">
        <v>45017</v>
      </c>
      <c r="B461" s="2798" t="s">
        <v>1146</v>
      </c>
      <c r="C461" s="2798" t="s">
        <v>1146</v>
      </c>
      <c r="D461" s="2798" t="s">
        <v>1146</v>
      </c>
      <c r="E461" s="2798" t="s">
        <v>1146</v>
      </c>
    </row>
    <row r="462" spans="1:5">
      <c r="A462" s="2801">
        <v>45016</v>
      </c>
      <c r="B462" s="2798">
        <v>33065.279999999999</v>
      </c>
      <c r="C462" s="2798">
        <v>357.63</v>
      </c>
      <c r="D462" s="2798">
        <v>12622.66</v>
      </c>
      <c r="E462" s="2798">
        <v>2491.1</v>
      </c>
    </row>
    <row r="463" spans="1:5">
      <c r="A463" s="2801">
        <v>45015</v>
      </c>
      <c r="B463" s="2798">
        <v>33026.44</v>
      </c>
      <c r="C463" s="2798">
        <v>356.78</v>
      </c>
      <c r="D463" s="2798">
        <v>12478.59</v>
      </c>
      <c r="E463" s="2798">
        <v>2479.7600000000002</v>
      </c>
    </row>
    <row r="464" spans="1:5">
      <c r="A464" s="2801">
        <v>45014</v>
      </c>
      <c r="B464" s="2798">
        <v>32851.870000000003</v>
      </c>
      <c r="C464" s="2798">
        <v>353.51</v>
      </c>
      <c r="D464" s="2798">
        <v>12375.05</v>
      </c>
      <c r="E464" s="2798">
        <v>2464.5300000000002</v>
      </c>
    </row>
    <row r="465" spans="1:5">
      <c r="A465" s="2801">
        <v>45013</v>
      </c>
      <c r="B465" s="2798">
        <v>32704.51</v>
      </c>
      <c r="C465" s="2798">
        <v>354.46</v>
      </c>
      <c r="D465" s="2798">
        <v>12217.82</v>
      </c>
      <c r="E465" s="2798">
        <v>2440.1</v>
      </c>
    </row>
    <row r="466" spans="1:5">
      <c r="A466" s="2801">
        <v>45012</v>
      </c>
      <c r="B466" s="2798">
        <v>32972.26</v>
      </c>
      <c r="C466" s="2798">
        <v>359.46</v>
      </c>
      <c r="D466" s="2798">
        <v>12206.91</v>
      </c>
      <c r="E466" s="2798">
        <v>2423.16</v>
      </c>
    </row>
    <row r="467" spans="1:5">
      <c r="A467" s="2801">
        <v>45011</v>
      </c>
      <c r="B467" s="2798" t="s">
        <v>1146</v>
      </c>
      <c r="C467" s="2798" t="s">
        <v>1146</v>
      </c>
      <c r="D467" s="2798" t="s">
        <v>1146</v>
      </c>
      <c r="E467" s="2798" t="s">
        <v>1146</v>
      </c>
    </row>
    <row r="468" spans="1:5">
      <c r="A468" s="2801">
        <v>45010</v>
      </c>
      <c r="B468" s="2798" t="s">
        <v>1146</v>
      </c>
      <c r="C468" s="2798" t="s">
        <v>1146</v>
      </c>
      <c r="D468" s="2798" t="s">
        <v>1146</v>
      </c>
      <c r="E468" s="2798" t="s">
        <v>1146</v>
      </c>
    </row>
    <row r="469" spans="1:5">
      <c r="A469" s="2801">
        <v>45009</v>
      </c>
      <c r="B469" s="2798">
        <v>33148.03</v>
      </c>
      <c r="C469" s="2798">
        <v>358.95</v>
      </c>
      <c r="D469" s="2798">
        <v>12161.66</v>
      </c>
      <c r="E469" s="2798">
        <v>2443.13</v>
      </c>
    </row>
    <row r="470" spans="1:5">
      <c r="A470" s="2801">
        <v>45008</v>
      </c>
      <c r="B470" s="2798">
        <v>33039.480000000003</v>
      </c>
      <c r="C470" s="2798">
        <v>357.15</v>
      </c>
      <c r="D470" s="2798">
        <v>12179.75</v>
      </c>
      <c r="E470" s="2798">
        <v>2456.4499999999998</v>
      </c>
    </row>
    <row r="471" spans="1:5">
      <c r="A471" s="2801">
        <v>45007</v>
      </c>
      <c r="B471" s="2798">
        <v>32823.67</v>
      </c>
      <c r="C471" s="2798">
        <v>355.1</v>
      </c>
      <c r="D471" s="2798">
        <v>12129.81</v>
      </c>
      <c r="E471" s="2798">
        <v>2415.52</v>
      </c>
    </row>
    <row r="472" spans="1:5">
      <c r="A472" s="2801">
        <v>45006</v>
      </c>
      <c r="B472" s="2798">
        <v>32309.24</v>
      </c>
      <c r="C472" s="2798">
        <v>349.83</v>
      </c>
      <c r="D472" s="2798">
        <v>12244.79</v>
      </c>
      <c r="E472" s="2798">
        <v>2392.39</v>
      </c>
    </row>
    <row r="473" spans="1:5">
      <c r="A473" s="2801">
        <v>45005</v>
      </c>
      <c r="B473" s="2798">
        <v>32114.54</v>
      </c>
      <c r="C473" s="2798">
        <v>348.93</v>
      </c>
      <c r="D473" s="2798">
        <v>12092.6</v>
      </c>
      <c r="E473" s="2798">
        <v>2368.39</v>
      </c>
    </row>
    <row r="474" spans="1:5">
      <c r="A474" s="2801">
        <v>45004</v>
      </c>
      <c r="B474" s="2798" t="s">
        <v>1146</v>
      </c>
      <c r="C474" s="2798" t="s">
        <v>1146</v>
      </c>
      <c r="D474" s="2798" t="s">
        <v>1146</v>
      </c>
      <c r="E474" s="2798" t="s">
        <v>1146</v>
      </c>
    </row>
    <row r="475" spans="1:5">
      <c r="A475" s="2801">
        <v>45003</v>
      </c>
      <c r="B475" s="2798" t="s">
        <v>1146</v>
      </c>
      <c r="C475" s="2798" t="s">
        <v>1146</v>
      </c>
      <c r="D475" s="2798" t="s">
        <v>1146</v>
      </c>
      <c r="E475" s="2798" t="s">
        <v>1146</v>
      </c>
    </row>
    <row r="476" spans="1:5">
      <c r="A476" s="2801">
        <v>45002</v>
      </c>
      <c r="B476" s="2798">
        <v>32183.27</v>
      </c>
      <c r="C476" s="2798">
        <v>346.91</v>
      </c>
      <c r="D476" s="2798">
        <v>11992.59</v>
      </c>
      <c r="E476" s="2798">
        <v>2389.66</v>
      </c>
    </row>
    <row r="477" spans="1:5">
      <c r="A477" s="2801">
        <v>45001</v>
      </c>
      <c r="B477" s="2798">
        <v>31700.05</v>
      </c>
      <c r="C477" s="2798">
        <v>341.18</v>
      </c>
      <c r="D477" s="2798">
        <v>12090.57</v>
      </c>
      <c r="E477" s="2798">
        <v>2363.9899999999998</v>
      </c>
    </row>
    <row r="478" spans="1:5">
      <c r="A478" s="2801">
        <v>45000</v>
      </c>
      <c r="B478" s="2798">
        <v>31988.75</v>
      </c>
      <c r="C478" s="2798">
        <v>344.59</v>
      </c>
      <c r="D478" s="2798">
        <v>11908.05</v>
      </c>
      <c r="E478" s="2798">
        <v>2376.54</v>
      </c>
    </row>
    <row r="479" spans="1:5">
      <c r="A479" s="2801">
        <v>44999</v>
      </c>
      <c r="B479" s="2798">
        <v>31932.080000000002</v>
      </c>
      <c r="C479" s="2798">
        <v>342.1</v>
      </c>
      <c r="D479" s="2798">
        <v>12069.69</v>
      </c>
      <c r="E479" s="2798">
        <v>2371.64</v>
      </c>
    </row>
    <row r="480" spans="1:5">
      <c r="A480" s="2801">
        <v>44998</v>
      </c>
      <c r="B480" s="2798">
        <v>32348</v>
      </c>
      <c r="C480" s="2798">
        <v>345.08</v>
      </c>
      <c r="D480" s="2798">
        <v>11928.87</v>
      </c>
      <c r="E480" s="2798">
        <v>2411.94</v>
      </c>
    </row>
    <row r="481" spans="1:5">
      <c r="A481" s="2801">
        <v>44997</v>
      </c>
      <c r="B481" s="2798" t="s">
        <v>1146</v>
      </c>
      <c r="C481" s="2798" t="s">
        <v>1146</v>
      </c>
      <c r="D481" s="2798" t="s">
        <v>1146</v>
      </c>
      <c r="E481" s="2798" t="s">
        <v>1146</v>
      </c>
    </row>
    <row r="482" spans="1:5">
      <c r="A482" s="2801">
        <v>44996</v>
      </c>
      <c r="B482" s="2798" t="s">
        <v>1146</v>
      </c>
      <c r="C482" s="2798" t="s">
        <v>1146</v>
      </c>
      <c r="D482" s="2798" t="s">
        <v>1146</v>
      </c>
      <c r="E482" s="2798" t="s">
        <v>1146</v>
      </c>
    </row>
    <row r="483" spans="1:5">
      <c r="A483" s="2801">
        <v>44995</v>
      </c>
      <c r="B483" s="2798">
        <v>32275.79</v>
      </c>
      <c r="C483" s="2798">
        <v>347.33</v>
      </c>
      <c r="D483" s="2798">
        <v>11990.78</v>
      </c>
      <c r="E483" s="2798">
        <v>2395.98</v>
      </c>
    </row>
    <row r="484" spans="1:5">
      <c r="A484" s="2801">
        <v>44994</v>
      </c>
      <c r="B484" s="2798">
        <v>32783.980000000003</v>
      </c>
      <c r="C484" s="2798">
        <v>355.91</v>
      </c>
      <c r="D484" s="2798">
        <v>12142.45</v>
      </c>
      <c r="E484" s="2798">
        <v>2428.6999999999998</v>
      </c>
    </row>
    <row r="485" spans="1:5">
      <c r="A485" s="2801">
        <v>44993</v>
      </c>
      <c r="B485" s="2798">
        <v>32882.800000000003</v>
      </c>
      <c r="C485" s="2798">
        <v>355.79</v>
      </c>
      <c r="D485" s="2798">
        <v>12290.74</v>
      </c>
      <c r="E485" s="2798">
        <v>2452.6999999999998</v>
      </c>
    </row>
    <row r="486" spans="1:5">
      <c r="A486" s="2801">
        <v>44992</v>
      </c>
      <c r="B486" s="2798">
        <v>32965.31</v>
      </c>
      <c r="C486" s="2798">
        <v>354.65</v>
      </c>
      <c r="D486" s="2798">
        <v>12287.15</v>
      </c>
      <c r="E486" s="2798">
        <v>2478.27</v>
      </c>
    </row>
    <row r="487" spans="1:5">
      <c r="A487" s="2801">
        <v>44991</v>
      </c>
      <c r="B487" s="2798">
        <v>32769.120000000003</v>
      </c>
      <c r="C487" s="2798">
        <v>354.04</v>
      </c>
      <c r="D487" s="2798">
        <v>12466.5</v>
      </c>
      <c r="E487" s="2798">
        <v>2491.6999999999998</v>
      </c>
    </row>
    <row r="488" spans="1:5">
      <c r="A488" s="2801">
        <v>44990</v>
      </c>
      <c r="B488" s="2798" t="s">
        <v>1146</v>
      </c>
      <c r="C488" s="2798" t="s">
        <v>1146</v>
      </c>
      <c r="D488" s="2798" t="s">
        <v>1146</v>
      </c>
      <c r="E488" s="2798" t="s">
        <v>1146</v>
      </c>
    </row>
    <row r="489" spans="1:5">
      <c r="A489" s="2801">
        <v>44989</v>
      </c>
      <c r="B489" s="2798" t="s">
        <v>1146</v>
      </c>
      <c r="C489" s="2798" t="s">
        <v>1146</v>
      </c>
      <c r="D489" s="2798" t="s">
        <v>1146</v>
      </c>
      <c r="E489" s="2798" t="s">
        <v>1146</v>
      </c>
    </row>
    <row r="490" spans="1:5">
      <c r="A490" s="2801">
        <v>44988</v>
      </c>
      <c r="B490" s="2798">
        <v>32446.71</v>
      </c>
      <c r="C490" s="2798">
        <v>349.4</v>
      </c>
      <c r="D490" s="2798">
        <v>12435.85</v>
      </c>
      <c r="E490" s="2798">
        <v>2477.36</v>
      </c>
    </row>
    <row r="491" spans="1:5">
      <c r="A491" s="2801">
        <v>44987</v>
      </c>
      <c r="B491" s="2798">
        <v>32426.54</v>
      </c>
      <c r="C491" s="2798">
        <v>348.42</v>
      </c>
      <c r="D491" s="2798">
        <v>12262.44</v>
      </c>
      <c r="E491" s="2798">
        <v>2457.23</v>
      </c>
    </row>
    <row r="492" spans="1:5">
      <c r="A492" s="2801">
        <v>44986</v>
      </c>
      <c r="B492" s="2798">
        <v>32426.080000000002</v>
      </c>
      <c r="C492" s="2798">
        <v>347.66</v>
      </c>
      <c r="D492" s="2798">
        <v>12201.33</v>
      </c>
      <c r="E492" s="2798">
        <v>2467.5</v>
      </c>
    </row>
    <row r="493" spans="1:5">
      <c r="A493" s="2801">
        <v>44985</v>
      </c>
      <c r="B493" s="2798" t="s">
        <v>1146</v>
      </c>
      <c r="C493" s="2798" t="s">
        <v>1146</v>
      </c>
      <c r="D493" s="2798">
        <v>12235.69</v>
      </c>
      <c r="E493" s="2798">
        <v>2416.86</v>
      </c>
    </row>
    <row r="494" spans="1:5">
      <c r="A494" s="2801">
        <v>44984</v>
      </c>
      <c r="B494" s="2798" t="s">
        <v>1146</v>
      </c>
      <c r="C494" s="2798" t="s">
        <v>1146</v>
      </c>
      <c r="D494" s="2798">
        <v>12266.52</v>
      </c>
      <c r="E494" s="2798">
        <v>2424.88</v>
      </c>
    </row>
    <row r="495" spans="1:5">
      <c r="A495" s="2801">
        <v>44983</v>
      </c>
      <c r="B495" s="2798" t="s">
        <v>1146</v>
      </c>
      <c r="C495" s="2798" t="s">
        <v>1146</v>
      </c>
      <c r="D495" s="2798" t="s">
        <v>1146</v>
      </c>
      <c r="E495" s="2798" t="s">
        <v>1146</v>
      </c>
    </row>
    <row r="496" spans="1:5">
      <c r="A496" s="2801">
        <v>44982</v>
      </c>
      <c r="B496" s="2798" t="s">
        <v>1146</v>
      </c>
      <c r="C496" s="2798" t="s">
        <v>1146</v>
      </c>
      <c r="D496" s="2798" t="s">
        <v>1146</v>
      </c>
      <c r="E496" s="2798" t="s">
        <v>1146</v>
      </c>
    </row>
    <row r="497" spans="1:5">
      <c r="A497" s="2801">
        <v>44981</v>
      </c>
      <c r="B497" s="2798">
        <v>32229.200000000001</v>
      </c>
      <c r="C497" s="2798">
        <v>345.79</v>
      </c>
      <c r="D497" s="2798">
        <v>12198.36</v>
      </c>
      <c r="E497" s="2798">
        <v>2436.38</v>
      </c>
    </row>
    <row r="498" spans="1:5">
      <c r="A498" s="2801">
        <v>44980</v>
      </c>
      <c r="B498" s="2798">
        <v>32461.25</v>
      </c>
      <c r="C498" s="2798">
        <v>347.34</v>
      </c>
      <c r="D498" s="2798">
        <v>12335.38</v>
      </c>
      <c r="E498" s="2798">
        <v>2476.04</v>
      </c>
    </row>
    <row r="499" spans="1:5">
      <c r="A499" s="2801">
        <v>44979</v>
      </c>
      <c r="B499" s="2798">
        <v>32052.47</v>
      </c>
      <c r="C499" s="2798">
        <v>341.34</v>
      </c>
      <c r="D499" s="2798">
        <v>12303.76</v>
      </c>
      <c r="E499" s="2798">
        <v>2461.62</v>
      </c>
    </row>
    <row r="500" spans="1:5">
      <c r="A500" s="2801">
        <v>44978</v>
      </c>
      <c r="B500" s="2798">
        <v>32352.28</v>
      </c>
      <c r="C500" s="2798">
        <v>345.27</v>
      </c>
      <c r="D500" s="2798">
        <v>12345.81</v>
      </c>
      <c r="E500" s="2798">
        <v>2494.44</v>
      </c>
    </row>
    <row r="501" spans="1:5">
      <c r="A501" s="2801">
        <v>44977</v>
      </c>
      <c r="B501" s="2798">
        <v>32327.83</v>
      </c>
      <c r="C501" s="2798">
        <v>342.52</v>
      </c>
      <c r="D501" s="2798">
        <v>12538.78</v>
      </c>
      <c r="E501" s="2798">
        <v>2519.5500000000002</v>
      </c>
    </row>
    <row r="502" spans="1:5">
      <c r="A502" s="2801">
        <v>44976</v>
      </c>
      <c r="B502" s="2798" t="s">
        <v>1146</v>
      </c>
      <c r="C502" s="2798" t="s">
        <v>1146</v>
      </c>
      <c r="D502" s="2798" t="s">
        <v>1146</v>
      </c>
      <c r="E502" s="2798" t="s">
        <v>1146</v>
      </c>
    </row>
    <row r="503" spans="1:5">
      <c r="A503" s="2801">
        <v>44975</v>
      </c>
      <c r="B503" s="2798" t="s">
        <v>1146</v>
      </c>
      <c r="C503" s="2798" t="s">
        <v>1146</v>
      </c>
      <c r="D503" s="2798" t="s">
        <v>1146</v>
      </c>
      <c r="E503" s="2798" t="s">
        <v>1146</v>
      </c>
    </row>
    <row r="504" spans="1:5">
      <c r="A504" s="2801">
        <v>44974</v>
      </c>
      <c r="B504" s="2798">
        <v>32179.119999999999</v>
      </c>
      <c r="C504" s="2798">
        <v>340.28</v>
      </c>
      <c r="D504" s="2798">
        <v>12523.32</v>
      </c>
      <c r="E504" s="2798">
        <v>2505.0500000000002</v>
      </c>
    </row>
    <row r="505" spans="1:5">
      <c r="A505" s="2801">
        <v>44973</v>
      </c>
      <c r="B505" s="2798">
        <v>32326.3</v>
      </c>
      <c r="C505" s="2798">
        <v>339.46</v>
      </c>
      <c r="D505" s="2798">
        <v>12570.1</v>
      </c>
      <c r="E505" s="2798">
        <v>2534.39</v>
      </c>
    </row>
    <row r="506" spans="1:5">
      <c r="A506" s="2801">
        <v>44972</v>
      </c>
      <c r="B506" s="2798">
        <v>32081.82</v>
      </c>
      <c r="C506" s="2798">
        <v>334.25</v>
      </c>
      <c r="D506" s="2798">
        <v>12680.04</v>
      </c>
      <c r="E506" s="2798">
        <v>2518.62</v>
      </c>
    </row>
    <row r="507" spans="1:5">
      <c r="A507" s="2801">
        <v>44971</v>
      </c>
      <c r="B507" s="2798">
        <v>32542.47</v>
      </c>
      <c r="C507" s="2798">
        <v>335.9</v>
      </c>
      <c r="D507" s="2798">
        <v>12664.79</v>
      </c>
      <c r="E507" s="2798">
        <v>2542.23</v>
      </c>
    </row>
    <row r="508" spans="1:5">
      <c r="A508" s="2801">
        <v>44970</v>
      </c>
      <c r="B508" s="2798">
        <v>32313.37</v>
      </c>
      <c r="C508" s="2798">
        <v>335.01</v>
      </c>
      <c r="D508" s="2798">
        <v>12652.11</v>
      </c>
      <c r="E508" s="2798">
        <v>2539.7199999999998</v>
      </c>
    </row>
    <row r="509" spans="1:5">
      <c r="A509" s="2801">
        <v>44969</v>
      </c>
      <c r="B509" s="2798" t="s">
        <v>1146</v>
      </c>
      <c r="C509" s="2798" t="s">
        <v>1146</v>
      </c>
      <c r="D509" s="2798" t="s">
        <v>1146</v>
      </c>
      <c r="E509" s="2798" t="s">
        <v>1146</v>
      </c>
    </row>
    <row r="510" spans="1:5">
      <c r="A510" s="2801">
        <v>44968</v>
      </c>
      <c r="B510" s="2798" t="s">
        <v>1146</v>
      </c>
      <c r="C510" s="2798" t="s">
        <v>1146</v>
      </c>
      <c r="D510" s="2798" t="s">
        <v>1146</v>
      </c>
      <c r="E510" s="2798" t="s">
        <v>1146</v>
      </c>
    </row>
    <row r="511" spans="1:5">
      <c r="A511" s="2801">
        <v>44967</v>
      </c>
      <c r="B511" s="2798">
        <v>32401.45</v>
      </c>
      <c r="C511" s="2798">
        <v>336.62</v>
      </c>
      <c r="D511" s="2798">
        <v>12533.23</v>
      </c>
      <c r="E511" s="2798">
        <v>2539.9499999999998</v>
      </c>
    </row>
    <row r="512" spans="1:5">
      <c r="A512" s="2801">
        <v>44966</v>
      </c>
      <c r="B512" s="2798">
        <v>32426.53</v>
      </c>
      <c r="C512" s="2798">
        <v>339.83</v>
      </c>
      <c r="D512" s="2798">
        <v>12560.5</v>
      </c>
      <c r="E512" s="2798">
        <v>2567.11</v>
      </c>
    </row>
    <row r="513" spans="1:5">
      <c r="A513" s="2801">
        <v>44965</v>
      </c>
      <c r="B513" s="2798">
        <v>32466.98</v>
      </c>
      <c r="C513" s="2798">
        <v>340.42</v>
      </c>
      <c r="D513" s="2798">
        <v>12610.63</v>
      </c>
      <c r="E513" s="2798">
        <v>2557.15</v>
      </c>
    </row>
    <row r="514" spans="1:5">
      <c r="A514" s="2801">
        <v>44964</v>
      </c>
      <c r="B514" s="2798">
        <v>32015.35</v>
      </c>
      <c r="C514" s="2798">
        <v>337.26</v>
      </c>
      <c r="D514" s="2798">
        <v>12693.72</v>
      </c>
      <c r="E514" s="2798">
        <v>2544.2600000000002</v>
      </c>
    </row>
    <row r="515" spans="1:5">
      <c r="A515" s="2801">
        <v>44963</v>
      </c>
      <c r="B515" s="2798">
        <v>31998.52</v>
      </c>
      <c r="C515" s="2798">
        <v>334.06</v>
      </c>
      <c r="D515" s="2798">
        <v>12572.48</v>
      </c>
      <c r="E515" s="2798">
        <v>2541.6799999999998</v>
      </c>
    </row>
    <row r="516" spans="1:5">
      <c r="A516" s="2801">
        <v>44962</v>
      </c>
      <c r="B516" s="2798" t="s">
        <v>1146</v>
      </c>
      <c r="C516" s="2798" t="s">
        <v>1146</v>
      </c>
      <c r="D516" s="2798" t="s">
        <v>1146</v>
      </c>
      <c r="E516" s="2798" t="s">
        <v>1146</v>
      </c>
    </row>
    <row r="517" spans="1:5">
      <c r="A517" s="2801">
        <v>44961</v>
      </c>
      <c r="B517" s="2798" t="s">
        <v>1146</v>
      </c>
      <c r="C517" s="2798" t="s">
        <v>1146</v>
      </c>
      <c r="D517" s="2798" t="s">
        <v>1146</v>
      </c>
      <c r="E517" s="2798" t="s">
        <v>1146</v>
      </c>
    </row>
    <row r="518" spans="1:5">
      <c r="A518" s="2801">
        <v>44960</v>
      </c>
      <c r="B518" s="2798">
        <v>32434.73</v>
      </c>
      <c r="C518" s="2798">
        <v>336.15</v>
      </c>
      <c r="D518" s="2798">
        <v>12693.94</v>
      </c>
      <c r="E518" s="2798">
        <v>2602.4299999999998</v>
      </c>
    </row>
    <row r="519" spans="1:5">
      <c r="A519" s="2801">
        <v>44959</v>
      </c>
      <c r="B519" s="2798">
        <v>32419.15</v>
      </c>
      <c r="C519" s="2798">
        <v>335.59</v>
      </c>
      <c r="D519" s="2798">
        <v>12815.31</v>
      </c>
      <c r="E519" s="2798">
        <v>2619.4899999999998</v>
      </c>
    </row>
    <row r="520" spans="1:5">
      <c r="A520" s="2801">
        <v>44958</v>
      </c>
      <c r="B520" s="2798">
        <v>32055.19</v>
      </c>
      <c r="C520" s="2798">
        <v>330.07</v>
      </c>
      <c r="D520" s="2798">
        <v>12644.37</v>
      </c>
      <c r="E520" s="2798">
        <v>2612.54</v>
      </c>
    </row>
    <row r="521" spans="1:5">
      <c r="A521" s="2801">
        <v>44957</v>
      </c>
      <c r="B521" s="2798">
        <v>31733.119999999999</v>
      </c>
      <c r="C521" s="2798">
        <v>327.13</v>
      </c>
      <c r="D521" s="2798">
        <v>12532.09</v>
      </c>
      <c r="E521" s="2798">
        <v>2584.23</v>
      </c>
    </row>
    <row r="522" spans="1:5">
      <c r="A522" s="2801">
        <v>44956</v>
      </c>
      <c r="B522" s="2798">
        <v>32208.37</v>
      </c>
      <c r="C522" s="2798">
        <v>324.51</v>
      </c>
      <c r="D522" s="2798">
        <v>12416.34</v>
      </c>
      <c r="E522" s="2798">
        <v>2615.63</v>
      </c>
    </row>
    <row r="523" spans="1:5">
      <c r="A523" s="2801">
        <v>44955</v>
      </c>
      <c r="B523" s="2798" t="s">
        <v>1146</v>
      </c>
      <c r="C523" s="2798" t="s">
        <v>1146</v>
      </c>
      <c r="D523" s="2798" t="s">
        <v>1146</v>
      </c>
      <c r="E523" s="2798" t="s">
        <v>1146</v>
      </c>
    </row>
    <row r="524" spans="1:5">
      <c r="A524" s="2801">
        <v>44954</v>
      </c>
      <c r="B524" s="2798" t="s">
        <v>1146</v>
      </c>
      <c r="C524" s="2798" t="s">
        <v>1146</v>
      </c>
      <c r="D524" s="2798" t="s">
        <v>1146</v>
      </c>
      <c r="E524" s="2798" t="s">
        <v>1146</v>
      </c>
    </row>
    <row r="525" spans="1:5">
      <c r="A525" s="2801">
        <v>44953</v>
      </c>
      <c r="B525" s="2798" t="s">
        <v>1146</v>
      </c>
      <c r="C525" s="2798" t="s">
        <v>1146</v>
      </c>
      <c r="D525" s="2798">
        <v>12534.83</v>
      </c>
      <c r="E525" s="2798">
        <v>2633.49</v>
      </c>
    </row>
    <row r="526" spans="1:5">
      <c r="A526" s="2801">
        <v>44952</v>
      </c>
      <c r="B526" s="2798" t="s">
        <v>1146</v>
      </c>
      <c r="C526" s="2798" t="s">
        <v>1146</v>
      </c>
      <c r="D526" s="2798">
        <v>12497.51</v>
      </c>
      <c r="E526" s="2798">
        <v>2636.66</v>
      </c>
    </row>
    <row r="527" spans="1:5">
      <c r="A527" s="2801">
        <v>44951</v>
      </c>
      <c r="B527" s="2798" t="s">
        <v>1146</v>
      </c>
      <c r="C527" s="2798" t="s">
        <v>1146</v>
      </c>
      <c r="D527" s="2798">
        <v>12402.97</v>
      </c>
      <c r="E527" s="2798">
        <v>2608.58</v>
      </c>
    </row>
    <row r="528" spans="1:5">
      <c r="A528" s="2801">
        <v>44950</v>
      </c>
      <c r="B528" s="2798" t="s">
        <v>1146</v>
      </c>
      <c r="C528" s="2798" t="s">
        <v>1146</v>
      </c>
      <c r="D528" s="2798">
        <v>12399.1</v>
      </c>
      <c r="E528" s="2798">
        <v>2603.4</v>
      </c>
    </row>
    <row r="529" spans="1:5">
      <c r="A529" s="2801">
        <v>44949</v>
      </c>
      <c r="B529" s="2798" t="s">
        <v>1146</v>
      </c>
      <c r="C529" s="2798" t="s">
        <v>1146</v>
      </c>
      <c r="D529" s="2798">
        <v>12394.39</v>
      </c>
      <c r="E529" s="2798">
        <v>2602.09</v>
      </c>
    </row>
    <row r="530" spans="1:5">
      <c r="A530" s="2801">
        <v>44948</v>
      </c>
      <c r="B530" s="2798" t="s">
        <v>1146</v>
      </c>
      <c r="C530" s="2798" t="s">
        <v>1146</v>
      </c>
      <c r="D530" s="2798" t="s">
        <v>1146</v>
      </c>
      <c r="E530" s="2798" t="s">
        <v>1146</v>
      </c>
    </row>
    <row r="531" spans="1:5">
      <c r="A531" s="2801">
        <v>44947</v>
      </c>
      <c r="B531" s="2798" t="s">
        <v>1146</v>
      </c>
      <c r="C531" s="2798" t="s">
        <v>1146</v>
      </c>
      <c r="D531" s="2798" t="s">
        <v>1146</v>
      </c>
      <c r="E531" s="2798" t="s">
        <v>1146</v>
      </c>
    </row>
    <row r="532" spans="1:5">
      <c r="A532" s="2801">
        <v>44946</v>
      </c>
      <c r="B532" s="2798" t="s">
        <v>1146</v>
      </c>
      <c r="C532" s="2798" t="s">
        <v>1146</v>
      </c>
      <c r="D532" s="2798">
        <v>12260.79</v>
      </c>
      <c r="E532" s="2798">
        <v>2595.9899999999998</v>
      </c>
    </row>
    <row r="533" spans="1:5">
      <c r="A533" s="2801">
        <v>44945</v>
      </c>
      <c r="B533" s="2798" t="s">
        <v>1146</v>
      </c>
      <c r="C533" s="2798" t="s">
        <v>1146</v>
      </c>
      <c r="D533" s="2798">
        <v>12080.31</v>
      </c>
      <c r="E533" s="2798">
        <v>2575.11</v>
      </c>
    </row>
    <row r="534" spans="1:5">
      <c r="A534" s="2801">
        <v>44944</v>
      </c>
      <c r="B534" s="2798" t="s">
        <v>1146</v>
      </c>
      <c r="C534" s="2798" t="s">
        <v>1146</v>
      </c>
      <c r="D534" s="2798">
        <v>12206.16</v>
      </c>
      <c r="E534" s="2798">
        <v>2580.44</v>
      </c>
    </row>
    <row r="535" spans="1:5">
      <c r="A535" s="2801">
        <v>44943</v>
      </c>
      <c r="B535" s="2798">
        <v>31042.400000000001</v>
      </c>
      <c r="C535" s="2798">
        <v>316.56</v>
      </c>
      <c r="D535" s="2798">
        <v>12309.18</v>
      </c>
      <c r="E535" s="2798">
        <v>2573.7199999999998</v>
      </c>
    </row>
    <row r="536" spans="1:5">
      <c r="A536" s="2801">
        <v>44942</v>
      </c>
      <c r="B536" s="2798">
        <v>31030.1</v>
      </c>
      <c r="C536" s="2798">
        <v>315.42</v>
      </c>
      <c r="D536" s="2798">
        <v>12306.6</v>
      </c>
      <c r="E536" s="2798">
        <v>2582.54</v>
      </c>
    </row>
    <row r="537" spans="1:5">
      <c r="A537" s="2801">
        <v>44941</v>
      </c>
      <c r="B537" s="2798" t="s">
        <v>1146</v>
      </c>
      <c r="C537" s="2798" t="s">
        <v>1146</v>
      </c>
      <c r="D537" s="2798" t="s">
        <v>1146</v>
      </c>
      <c r="E537" s="2798" t="s">
        <v>1146</v>
      </c>
    </row>
    <row r="538" spans="1:5">
      <c r="A538" s="2801">
        <v>44940</v>
      </c>
      <c r="B538" s="2798" t="s">
        <v>1146</v>
      </c>
      <c r="C538" s="2798" t="s">
        <v>1146</v>
      </c>
      <c r="D538" s="2798" t="s">
        <v>1146</v>
      </c>
      <c r="E538" s="2798" t="s">
        <v>1146</v>
      </c>
    </row>
    <row r="539" spans="1:5">
      <c r="A539" s="2801">
        <v>44939</v>
      </c>
      <c r="B539" s="2798">
        <v>30816.23</v>
      </c>
      <c r="C539" s="2798">
        <v>312.74</v>
      </c>
      <c r="D539" s="2798">
        <v>12305.77</v>
      </c>
      <c r="E539" s="2798">
        <v>2579.5700000000002</v>
      </c>
    </row>
    <row r="540" spans="1:5">
      <c r="A540" s="2801">
        <v>44938</v>
      </c>
      <c r="B540" s="2798">
        <v>30623.96</v>
      </c>
      <c r="C540" s="2798">
        <v>313.77999999999997</v>
      </c>
      <c r="D540" s="2798">
        <v>12235.19</v>
      </c>
      <c r="E540" s="2798">
        <v>2550.6799999999998</v>
      </c>
    </row>
    <row r="541" spans="1:5">
      <c r="A541" s="2801">
        <v>44937</v>
      </c>
      <c r="B541" s="2798">
        <v>30665.119999999999</v>
      </c>
      <c r="C541" s="2798">
        <v>316.45999999999998</v>
      </c>
      <c r="D541" s="2798">
        <v>12147.1</v>
      </c>
      <c r="E541" s="2798">
        <v>2547.0300000000002</v>
      </c>
    </row>
    <row r="542" spans="1:5">
      <c r="A542" s="2801">
        <v>44936</v>
      </c>
      <c r="B542" s="2798">
        <v>30772.22</v>
      </c>
      <c r="C542" s="2798">
        <v>315.67</v>
      </c>
      <c r="D542" s="2798">
        <v>12014.02</v>
      </c>
      <c r="E542" s="2798">
        <v>2539.9299999999998</v>
      </c>
    </row>
    <row r="543" spans="1:5">
      <c r="A543" s="2801">
        <v>44935</v>
      </c>
      <c r="B543" s="2798">
        <v>30666.73</v>
      </c>
      <c r="C543" s="2798">
        <v>316.02999999999997</v>
      </c>
      <c r="D543" s="2798">
        <v>11977.9</v>
      </c>
      <c r="E543" s="2798">
        <v>2538.52</v>
      </c>
    </row>
    <row r="544" spans="1:5">
      <c r="A544" s="2801">
        <v>44934</v>
      </c>
      <c r="B544" s="2798" t="s">
        <v>1146</v>
      </c>
      <c r="C544" s="2798" t="s">
        <v>1146</v>
      </c>
      <c r="D544" s="2798" t="s">
        <v>1146</v>
      </c>
      <c r="E544" s="2798" t="s">
        <v>1146</v>
      </c>
    </row>
    <row r="545" spans="1:5">
      <c r="A545" s="2801">
        <v>44933</v>
      </c>
      <c r="B545" s="2798" t="s">
        <v>1146</v>
      </c>
      <c r="C545" s="2798" t="s">
        <v>1146</v>
      </c>
      <c r="D545" s="2798" t="s">
        <v>1146</v>
      </c>
      <c r="E545" s="2798" t="s">
        <v>1146</v>
      </c>
    </row>
    <row r="546" spans="1:5">
      <c r="A546" s="2801">
        <v>44932</v>
      </c>
      <c r="B546" s="2798">
        <v>29879.13</v>
      </c>
      <c r="C546" s="2798">
        <v>311.79000000000002</v>
      </c>
      <c r="D546" s="2798">
        <v>11915.75</v>
      </c>
      <c r="E546" s="2798">
        <v>2476.06</v>
      </c>
    </row>
    <row r="547" spans="1:5">
      <c r="A547" s="2801">
        <v>44931</v>
      </c>
      <c r="B547" s="2798">
        <v>29728.86</v>
      </c>
      <c r="C547" s="2798">
        <v>308.47000000000003</v>
      </c>
      <c r="D547" s="2798">
        <v>11667.92</v>
      </c>
      <c r="E547" s="2798">
        <v>2464.36</v>
      </c>
    </row>
    <row r="548" spans="1:5">
      <c r="A548" s="2801">
        <v>44930</v>
      </c>
      <c r="B548" s="2798">
        <v>29516.99</v>
      </c>
      <c r="C548" s="2798">
        <v>307.77999999999997</v>
      </c>
      <c r="D548" s="2798">
        <v>11799.73</v>
      </c>
      <c r="E548" s="2798">
        <v>2439.79</v>
      </c>
    </row>
    <row r="549" spans="1:5">
      <c r="A549" s="2801">
        <v>44929</v>
      </c>
      <c r="B549" s="2798">
        <v>29568.47</v>
      </c>
      <c r="C549" s="2798">
        <v>306.20999999999998</v>
      </c>
      <c r="D549" s="2798">
        <v>11693.93</v>
      </c>
      <c r="E549" s="2798">
        <v>2410.52</v>
      </c>
    </row>
    <row r="550" spans="1:5">
      <c r="A550" s="2801">
        <v>44928</v>
      </c>
      <c r="B550" s="2798" t="s">
        <v>1146</v>
      </c>
      <c r="C550" s="2798" t="s">
        <v>1146</v>
      </c>
      <c r="D550" s="2798">
        <v>11721.94</v>
      </c>
      <c r="E550" s="2798">
        <v>2394.34</v>
      </c>
    </row>
    <row r="551" spans="1:5">
      <c r="A551" s="2801">
        <v>44927</v>
      </c>
      <c r="B551" s="2798" t="s">
        <v>1146</v>
      </c>
      <c r="C551" s="2798" t="s">
        <v>1146</v>
      </c>
      <c r="D551" s="2798" t="s">
        <v>1146</v>
      </c>
      <c r="E551" s="2798" t="s">
        <v>1146</v>
      </c>
    </row>
    <row r="552" spans="1:5">
      <c r="A552" s="2801">
        <v>44925</v>
      </c>
      <c r="B552" s="2798">
        <v>29388.799999999999</v>
      </c>
      <c r="C552" s="2798">
        <v>302.54000000000002</v>
      </c>
      <c r="D552" s="2798">
        <v>11700.99</v>
      </c>
      <c r="E552" s="2798">
        <v>2394.9</v>
      </c>
    </row>
    <row r="553" spans="1:5">
      <c r="A553" s="2801">
        <v>44924</v>
      </c>
      <c r="B553" s="2798">
        <v>29279.32</v>
      </c>
      <c r="C553" s="2798">
        <v>302.83</v>
      </c>
      <c r="D553" s="2798">
        <v>11742.32</v>
      </c>
      <c r="E553" s="2798">
        <v>2397.58</v>
      </c>
    </row>
    <row r="554" spans="1:5">
      <c r="A554" s="2801">
        <v>44923</v>
      </c>
      <c r="B554" s="2798">
        <v>29462.400000000001</v>
      </c>
      <c r="C554" s="2798">
        <v>302.19</v>
      </c>
      <c r="D554" s="2798">
        <v>11573.61</v>
      </c>
      <c r="E554" s="2798">
        <v>2404.38</v>
      </c>
    </row>
    <row r="555" spans="1:5">
      <c r="A555" s="2801">
        <v>44922</v>
      </c>
      <c r="B555" s="2798">
        <v>29785.27</v>
      </c>
      <c r="C555" s="2798">
        <v>307.74</v>
      </c>
      <c r="D555" s="2798">
        <v>11689.45</v>
      </c>
      <c r="E555" s="2798">
        <v>2398.4699999999998</v>
      </c>
    </row>
    <row r="556" spans="1:5">
      <c r="A556" s="2801">
        <v>44921</v>
      </c>
      <c r="B556" s="2798">
        <v>29695.27</v>
      </c>
      <c r="C556" s="2798">
        <v>306.24</v>
      </c>
      <c r="D556" s="2798">
        <v>11709.23</v>
      </c>
      <c r="E556" s="2798">
        <v>2391.15</v>
      </c>
    </row>
    <row r="557" spans="1:5">
      <c r="A557" s="2801">
        <v>44920</v>
      </c>
      <c r="B557" s="2798" t="s">
        <v>1146</v>
      </c>
      <c r="C557" s="2798" t="s">
        <v>1146</v>
      </c>
      <c r="D557" s="2798" t="s">
        <v>1146</v>
      </c>
      <c r="E557" s="2798" t="s">
        <v>1146</v>
      </c>
    </row>
    <row r="558" spans="1:5">
      <c r="A558" s="2801">
        <v>44919</v>
      </c>
      <c r="B558" s="2798" t="s">
        <v>1146</v>
      </c>
      <c r="C558" s="2798" t="s">
        <v>1146</v>
      </c>
      <c r="D558" s="2798" t="s">
        <v>1146</v>
      </c>
      <c r="E558" s="2798" t="s">
        <v>1146</v>
      </c>
    </row>
    <row r="559" spans="1:5">
      <c r="A559" s="2801">
        <v>44918</v>
      </c>
      <c r="B559" s="2798">
        <v>29667.01</v>
      </c>
      <c r="C559" s="2798">
        <v>306.73</v>
      </c>
      <c r="D559" s="2798">
        <v>11707.92</v>
      </c>
      <c r="E559" s="2798">
        <v>2386.87</v>
      </c>
    </row>
    <row r="560" spans="1:5">
      <c r="A560" s="2801">
        <v>44917</v>
      </c>
      <c r="B560" s="2798">
        <v>30023.13</v>
      </c>
      <c r="C560" s="2798">
        <v>307.91000000000003</v>
      </c>
      <c r="D560" s="2798">
        <v>11662.83</v>
      </c>
      <c r="E560" s="2798">
        <v>2409.9499999999998</v>
      </c>
    </row>
    <row r="561" spans="1:5">
      <c r="A561" s="2801">
        <v>44916</v>
      </c>
      <c r="B561" s="2798">
        <v>29589.52</v>
      </c>
      <c r="C561" s="2798">
        <v>304.49</v>
      </c>
      <c r="D561" s="2798">
        <v>11804.72</v>
      </c>
      <c r="E561" s="2798">
        <v>2382.16</v>
      </c>
    </row>
    <row r="562" spans="1:5">
      <c r="A562" s="2801">
        <v>44915</v>
      </c>
      <c r="B562" s="2798">
        <v>29455.72</v>
      </c>
      <c r="C562" s="2798">
        <v>303.35000000000002</v>
      </c>
      <c r="D562" s="2798">
        <v>11650.61</v>
      </c>
      <c r="E562" s="2798">
        <v>2377.41</v>
      </c>
    </row>
    <row r="563" spans="1:5">
      <c r="A563" s="2801">
        <v>44914</v>
      </c>
      <c r="B563" s="2798">
        <v>30003.02</v>
      </c>
      <c r="C563" s="2798">
        <v>312.76</v>
      </c>
      <c r="D563" s="2798">
        <v>11618.98</v>
      </c>
      <c r="E563" s="2798">
        <v>2393.5100000000002</v>
      </c>
    </row>
    <row r="564" spans="1:5">
      <c r="A564" s="2801">
        <v>44913</v>
      </c>
      <c r="B564" s="2798" t="s">
        <v>1146</v>
      </c>
      <c r="C564" s="2798" t="s">
        <v>1146</v>
      </c>
      <c r="D564" s="2798" t="s">
        <v>1146</v>
      </c>
      <c r="E564" s="2798" t="s">
        <v>1146</v>
      </c>
    </row>
    <row r="565" spans="1:5">
      <c r="A565" s="2801">
        <v>44912</v>
      </c>
      <c r="B565" s="2798" t="s">
        <v>1146</v>
      </c>
      <c r="C565" s="2798" t="s">
        <v>1146</v>
      </c>
      <c r="D565" s="2798" t="s">
        <v>1146</v>
      </c>
      <c r="E565" s="2798" t="s">
        <v>1146</v>
      </c>
    </row>
    <row r="566" spans="1:5">
      <c r="A566" s="2801">
        <v>44911</v>
      </c>
      <c r="B566" s="2798">
        <v>30200.61</v>
      </c>
      <c r="C566" s="2798">
        <v>312.77999999999997</v>
      </c>
      <c r="D566" s="2798">
        <v>11708.81</v>
      </c>
      <c r="E566" s="2798">
        <v>2392.56</v>
      </c>
    </row>
    <row r="567" spans="1:5">
      <c r="A567" s="2801">
        <v>44910</v>
      </c>
      <c r="B567" s="2798">
        <v>30627.96</v>
      </c>
      <c r="C567" s="2798">
        <v>317.38</v>
      </c>
      <c r="D567" s="2798">
        <v>11847.05</v>
      </c>
      <c r="E567" s="2798">
        <v>2399.85</v>
      </c>
    </row>
    <row r="568" spans="1:5">
      <c r="A568" s="2801">
        <v>44909</v>
      </c>
      <c r="B568" s="2798">
        <v>30590.6</v>
      </c>
      <c r="C568" s="2798">
        <v>317.52</v>
      </c>
      <c r="D568" s="2798">
        <v>12153.45</v>
      </c>
      <c r="E568" s="2798">
        <v>2432.69</v>
      </c>
    </row>
    <row r="569" spans="1:5">
      <c r="A569" s="2801">
        <v>44908</v>
      </c>
      <c r="B569" s="2798">
        <v>30141.47</v>
      </c>
      <c r="C569" s="2798">
        <v>312.27999999999997</v>
      </c>
      <c r="D569" s="2798">
        <v>12197.45</v>
      </c>
      <c r="E569" s="2798">
        <v>2411.41</v>
      </c>
    </row>
    <row r="570" spans="1:5">
      <c r="A570" s="2801">
        <v>44907</v>
      </c>
      <c r="B570" s="2798">
        <v>30327.49</v>
      </c>
      <c r="C570" s="2798">
        <v>314.05</v>
      </c>
      <c r="D570" s="2798">
        <v>12053.5</v>
      </c>
      <c r="E570" s="2798">
        <v>2407.1</v>
      </c>
    </row>
    <row r="571" spans="1:5">
      <c r="A571" s="2801">
        <v>44906</v>
      </c>
      <c r="B571" s="2798" t="s">
        <v>1146</v>
      </c>
      <c r="C571" s="2798" t="s">
        <v>1146</v>
      </c>
      <c r="D571" s="2798" t="s">
        <v>1146</v>
      </c>
      <c r="E571" s="2798" t="s">
        <v>1146</v>
      </c>
    </row>
    <row r="572" spans="1:5">
      <c r="A572" s="2801">
        <v>44905</v>
      </c>
      <c r="B572" s="2798" t="s">
        <v>1146</v>
      </c>
      <c r="C572" s="2798" t="s">
        <v>1146</v>
      </c>
      <c r="D572" s="2798" t="s">
        <v>1146</v>
      </c>
      <c r="E572" s="2798" t="s">
        <v>1146</v>
      </c>
    </row>
    <row r="573" spans="1:5">
      <c r="A573" s="2801">
        <v>44904</v>
      </c>
      <c r="B573" s="2798">
        <v>30520.19</v>
      </c>
      <c r="C573" s="2798">
        <v>315.22000000000003</v>
      </c>
      <c r="D573" s="2798">
        <v>11960.43</v>
      </c>
      <c r="E573" s="2798">
        <v>2443.54</v>
      </c>
    </row>
    <row r="574" spans="1:5">
      <c r="A574" s="2801">
        <v>44903</v>
      </c>
      <c r="B574" s="2798">
        <v>30203.919999999998</v>
      </c>
      <c r="C574" s="2798">
        <v>314.74</v>
      </c>
      <c r="D574" s="2798">
        <v>11993.38</v>
      </c>
      <c r="E574" s="2798">
        <v>2420.63</v>
      </c>
    </row>
    <row r="575" spans="1:5">
      <c r="A575" s="2801">
        <v>44902</v>
      </c>
      <c r="B575" s="2798">
        <v>30363.66</v>
      </c>
      <c r="C575" s="2798">
        <v>313.77</v>
      </c>
      <c r="D575" s="2798">
        <v>11920.61</v>
      </c>
      <c r="E575" s="2798">
        <v>2394.52</v>
      </c>
    </row>
    <row r="576" spans="1:5">
      <c r="A576" s="2801">
        <v>44901</v>
      </c>
      <c r="B576" s="2798">
        <v>30568.76</v>
      </c>
      <c r="C576" s="2798">
        <v>318.41000000000003</v>
      </c>
      <c r="D576" s="2798">
        <v>11954.96</v>
      </c>
      <c r="E576" s="2798">
        <v>2429.84</v>
      </c>
    </row>
    <row r="577" spans="1:5">
      <c r="A577" s="2801">
        <v>44900</v>
      </c>
      <c r="B577" s="2798">
        <v>31091.43</v>
      </c>
      <c r="C577" s="2798">
        <v>323.33999999999997</v>
      </c>
      <c r="D577" s="2798">
        <v>12107.69</v>
      </c>
      <c r="E577" s="2798">
        <v>2457.75</v>
      </c>
    </row>
    <row r="578" spans="1:5">
      <c r="A578" s="2801">
        <v>44899</v>
      </c>
      <c r="B578" s="2798" t="s">
        <v>1146</v>
      </c>
      <c r="C578" s="2798" t="s">
        <v>1146</v>
      </c>
      <c r="D578" s="2798" t="s">
        <v>1146</v>
      </c>
      <c r="E578" s="2798" t="s">
        <v>1146</v>
      </c>
    </row>
    <row r="579" spans="1:5">
      <c r="A579" s="2801">
        <v>44898</v>
      </c>
      <c r="B579" s="2798" t="s">
        <v>1146</v>
      </c>
      <c r="C579" s="2798" t="s">
        <v>1146</v>
      </c>
      <c r="D579" s="2798" t="s">
        <v>1146</v>
      </c>
      <c r="E579" s="2798" t="s">
        <v>1146</v>
      </c>
    </row>
    <row r="580" spans="1:5">
      <c r="A580" s="2801">
        <v>44897</v>
      </c>
      <c r="B580" s="2798">
        <v>31070.560000000001</v>
      </c>
      <c r="C580" s="2798">
        <v>321.49</v>
      </c>
      <c r="D580" s="2798">
        <v>12272.37</v>
      </c>
      <c r="E580" s="2798">
        <v>2431.75</v>
      </c>
    </row>
    <row r="581" spans="1:5">
      <c r="A581" s="2801">
        <v>44896</v>
      </c>
      <c r="B581" s="2798">
        <v>31157.86</v>
      </c>
      <c r="C581" s="2798">
        <v>318.89999999999998</v>
      </c>
      <c r="D581" s="2798">
        <v>12307.77</v>
      </c>
      <c r="E581" s="2798">
        <v>2442.83</v>
      </c>
    </row>
    <row r="582" spans="1:5">
      <c r="A582" s="2801">
        <v>44895</v>
      </c>
      <c r="B582" s="2798">
        <v>30881.32</v>
      </c>
      <c r="C582" s="2798">
        <v>313.91000000000003</v>
      </c>
      <c r="D582" s="2798">
        <v>12215.11</v>
      </c>
      <c r="E582" s="2798">
        <v>2427.71</v>
      </c>
    </row>
    <row r="583" spans="1:5">
      <c r="A583" s="2801">
        <v>44894</v>
      </c>
      <c r="B583" s="2798">
        <v>30528.67</v>
      </c>
      <c r="C583" s="2798">
        <v>309.82</v>
      </c>
      <c r="D583" s="2798">
        <v>11954.06</v>
      </c>
      <c r="E583" s="2798">
        <v>2379.3200000000002</v>
      </c>
    </row>
    <row r="584" spans="1:5">
      <c r="A584" s="2801">
        <v>44893</v>
      </c>
      <c r="B584" s="2798">
        <v>30211.62</v>
      </c>
      <c r="C584" s="2798">
        <v>310.58999999999997</v>
      </c>
      <c r="D584" s="2798">
        <v>11976.51</v>
      </c>
      <c r="E584" s="2798">
        <v>2323.8000000000002</v>
      </c>
    </row>
    <row r="585" spans="1:5">
      <c r="A585" s="2801">
        <v>44892</v>
      </c>
      <c r="B585" s="2798" t="s">
        <v>1146</v>
      </c>
      <c r="C585" s="2798" t="s">
        <v>1146</v>
      </c>
      <c r="D585" s="2798" t="s">
        <v>1146</v>
      </c>
      <c r="E585" s="2798" t="s">
        <v>1146</v>
      </c>
    </row>
    <row r="586" spans="1:5">
      <c r="A586" s="2801">
        <v>44891</v>
      </c>
      <c r="B586" s="2798" t="s">
        <v>1146</v>
      </c>
      <c r="C586" s="2798" t="s">
        <v>1146</v>
      </c>
      <c r="D586" s="2798" t="s">
        <v>1146</v>
      </c>
      <c r="E586" s="2798" t="s">
        <v>1146</v>
      </c>
    </row>
    <row r="587" spans="1:5">
      <c r="A587" s="2801">
        <v>44890</v>
      </c>
      <c r="B587" s="2798">
        <v>30671.45</v>
      </c>
      <c r="C587" s="2798">
        <v>308.83</v>
      </c>
      <c r="D587" s="2798">
        <v>12134.53</v>
      </c>
      <c r="E587" s="2798">
        <v>2349.2800000000002</v>
      </c>
    </row>
    <row r="588" spans="1:5">
      <c r="A588" s="2801">
        <v>44889</v>
      </c>
      <c r="B588" s="2798">
        <v>30682.84</v>
      </c>
      <c r="C588" s="2798">
        <v>312.52</v>
      </c>
      <c r="D588" s="2798">
        <v>12144.65</v>
      </c>
      <c r="E588" s="2798">
        <v>2360.2600000000002</v>
      </c>
    </row>
    <row r="589" spans="1:5">
      <c r="A589" s="2801">
        <v>44888</v>
      </c>
      <c r="B589" s="2798">
        <v>30318.69</v>
      </c>
      <c r="C589" s="2798">
        <v>308.83999999999997</v>
      </c>
      <c r="D589" s="2798">
        <v>12105.21</v>
      </c>
      <c r="E589" s="2798">
        <v>2327.08</v>
      </c>
    </row>
    <row r="590" spans="1:5">
      <c r="A590" s="2801">
        <v>44887</v>
      </c>
      <c r="B590" s="2798">
        <v>30181.01</v>
      </c>
      <c r="C590" s="2798">
        <v>306.3</v>
      </c>
      <c r="D590" s="2798">
        <v>12006.39</v>
      </c>
      <c r="E590" s="2798">
        <v>2314.83</v>
      </c>
    </row>
    <row r="591" spans="1:5">
      <c r="A591" s="2801">
        <v>44886</v>
      </c>
      <c r="B591" s="2798">
        <v>29988.31</v>
      </c>
      <c r="C591" s="2798">
        <v>307.20999999999998</v>
      </c>
      <c r="D591" s="2798">
        <v>11848.94</v>
      </c>
      <c r="E591" s="2798">
        <v>2321.64</v>
      </c>
    </row>
    <row r="592" spans="1:5">
      <c r="A592" s="2801">
        <v>44885</v>
      </c>
      <c r="B592" s="2798" t="s">
        <v>1146</v>
      </c>
      <c r="C592" s="2798" t="s">
        <v>1146</v>
      </c>
      <c r="D592" s="2798" t="s">
        <v>1146</v>
      </c>
      <c r="E592" s="2798" t="s">
        <v>1146</v>
      </c>
    </row>
    <row r="593" spans="1:5">
      <c r="A593" s="2801">
        <v>44884</v>
      </c>
      <c r="B593" s="2798" t="s">
        <v>1146</v>
      </c>
      <c r="C593" s="2798" t="s">
        <v>1146</v>
      </c>
      <c r="D593" s="2798" t="s">
        <v>1146</v>
      </c>
      <c r="E593" s="2798" t="s">
        <v>1146</v>
      </c>
    </row>
    <row r="594" spans="1:5">
      <c r="A594" s="2801">
        <v>44883</v>
      </c>
      <c r="B594" s="2798">
        <v>30103.62</v>
      </c>
      <c r="C594" s="2798">
        <v>308</v>
      </c>
      <c r="D594" s="2798">
        <v>11929.98</v>
      </c>
      <c r="E594" s="2798">
        <v>2351.29</v>
      </c>
    </row>
    <row r="595" spans="1:5">
      <c r="A595" s="2801">
        <v>44882</v>
      </c>
      <c r="B595" s="2798">
        <v>30166.400000000001</v>
      </c>
      <c r="C595" s="2798">
        <v>310.12</v>
      </c>
      <c r="D595" s="2798">
        <v>11855.26</v>
      </c>
      <c r="E595" s="2798">
        <v>2349.66</v>
      </c>
    </row>
    <row r="596" spans="1:5">
      <c r="A596" s="2801">
        <v>44881</v>
      </c>
      <c r="B596" s="2798">
        <v>30170.51</v>
      </c>
      <c r="C596" s="2798">
        <v>307.10000000000002</v>
      </c>
      <c r="D596" s="2798">
        <v>11921.01</v>
      </c>
      <c r="E596" s="2798">
        <v>2379.3200000000002</v>
      </c>
    </row>
    <row r="597" spans="1:5">
      <c r="A597" s="2801">
        <v>44880</v>
      </c>
      <c r="B597" s="2798">
        <v>30189.11</v>
      </c>
      <c r="C597" s="2798">
        <v>304.33</v>
      </c>
      <c r="D597" s="2798">
        <v>12011.72</v>
      </c>
      <c r="E597" s="2798">
        <v>2395.09</v>
      </c>
    </row>
    <row r="598" spans="1:5">
      <c r="A598" s="2801">
        <v>44879</v>
      </c>
      <c r="B598" s="2798">
        <v>29418.21</v>
      </c>
      <c r="C598" s="2798">
        <v>302.31</v>
      </c>
      <c r="D598" s="2798">
        <v>11901.68</v>
      </c>
      <c r="E598" s="2798">
        <v>2342.92</v>
      </c>
    </row>
    <row r="599" spans="1:5">
      <c r="A599" s="2801">
        <v>44878</v>
      </c>
      <c r="B599" s="2798" t="s">
        <v>1146</v>
      </c>
      <c r="C599" s="2798" t="s">
        <v>1146</v>
      </c>
      <c r="D599" s="2798" t="s">
        <v>1146</v>
      </c>
      <c r="E599" s="2798" t="s">
        <v>1146</v>
      </c>
    </row>
    <row r="600" spans="1:5">
      <c r="A600" s="2801">
        <v>44877</v>
      </c>
      <c r="B600" s="2798" t="s">
        <v>1146</v>
      </c>
      <c r="C600" s="2798" t="s">
        <v>1146</v>
      </c>
      <c r="D600" s="2798" t="s">
        <v>1146</v>
      </c>
      <c r="E600" s="2798" t="s">
        <v>1146</v>
      </c>
    </row>
    <row r="601" spans="1:5">
      <c r="A601" s="2801">
        <v>44876</v>
      </c>
      <c r="B601" s="2798">
        <v>29070.92</v>
      </c>
      <c r="C601" s="2798">
        <v>299.95</v>
      </c>
      <c r="D601" s="2798">
        <v>11989.7</v>
      </c>
      <c r="E601" s="2798">
        <v>2332.7399999999998</v>
      </c>
    </row>
    <row r="602" spans="1:5">
      <c r="A602" s="2801">
        <v>44875</v>
      </c>
      <c r="B602" s="2798">
        <v>28025.33</v>
      </c>
      <c r="C602" s="2798">
        <v>293.33</v>
      </c>
      <c r="D602" s="2798">
        <v>11821.13</v>
      </c>
      <c r="E602" s="2798">
        <v>2217.7600000000002</v>
      </c>
    </row>
    <row r="603" spans="1:5">
      <c r="A603" s="2801">
        <v>44874</v>
      </c>
      <c r="B603" s="2798">
        <v>28305.61</v>
      </c>
      <c r="C603" s="2798">
        <v>293.68</v>
      </c>
      <c r="D603" s="2798">
        <v>11251.38</v>
      </c>
      <c r="E603" s="2798">
        <v>2244.4</v>
      </c>
    </row>
    <row r="604" spans="1:5">
      <c r="A604" s="2801">
        <v>44873</v>
      </c>
      <c r="B604" s="2798">
        <v>27701.59</v>
      </c>
      <c r="C604" s="2798">
        <v>289.39999999999998</v>
      </c>
      <c r="D604" s="2798">
        <v>11451.98</v>
      </c>
      <c r="E604" s="2798">
        <v>2243.5100000000002</v>
      </c>
    </row>
    <row r="605" spans="1:5">
      <c r="A605" s="2801">
        <v>44872</v>
      </c>
      <c r="B605" s="2798">
        <v>27443.89</v>
      </c>
      <c r="C605" s="2798">
        <v>289.75</v>
      </c>
      <c r="D605" s="2798">
        <v>11356.51</v>
      </c>
      <c r="E605" s="2798">
        <v>2236.9299999999998</v>
      </c>
    </row>
    <row r="606" spans="1:5">
      <c r="A606" s="2801">
        <v>44871</v>
      </c>
      <c r="B606" s="2798" t="s">
        <v>1146</v>
      </c>
      <c r="C606" s="2798" t="s">
        <v>1146</v>
      </c>
      <c r="D606" s="2798" t="s">
        <v>1146</v>
      </c>
      <c r="E606" s="2798" t="s">
        <v>1146</v>
      </c>
    </row>
    <row r="607" spans="1:5">
      <c r="A607" s="2801">
        <v>44870</v>
      </c>
      <c r="B607" s="2798" t="s">
        <v>1146</v>
      </c>
      <c r="C607" s="2798" t="s">
        <v>1146</v>
      </c>
      <c r="D607" s="2798" t="s">
        <v>1146</v>
      </c>
      <c r="E607" s="2798" t="s">
        <v>1146</v>
      </c>
    </row>
    <row r="608" spans="1:5">
      <c r="A608" s="2801">
        <v>44869</v>
      </c>
      <c r="B608" s="2798">
        <v>27035.01</v>
      </c>
      <c r="C608" s="2798">
        <v>287.58</v>
      </c>
      <c r="D608" s="2798">
        <v>11237.3</v>
      </c>
      <c r="E608" s="2798">
        <v>2206.02</v>
      </c>
    </row>
    <row r="609" spans="1:5">
      <c r="A609" s="2801">
        <v>44868</v>
      </c>
      <c r="B609" s="2798">
        <v>26951.77</v>
      </c>
      <c r="C609" s="2798">
        <v>285.31</v>
      </c>
      <c r="D609" s="2798">
        <v>11059.32</v>
      </c>
      <c r="E609" s="2798">
        <v>2145.94</v>
      </c>
    </row>
    <row r="610" spans="1:5">
      <c r="A610" s="2801">
        <v>44867</v>
      </c>
      <c r="B610" s="2798">
        <v>27187.46</v>
      </c>
      <c r="C610" s="2798">
        <v>282.99</v>
      </c>
      <c r="D610" s="2798">
        <v>11201.16</v>
      </c>
      <c r="E610" s="2798">
        <v>2175.94</v>
      </c>
    </row>
    <row r="611" spans="1:5">
      <c r="A611" s="2801">
        <v>44866</v>
      </c>
      <c r="B611" s="2798">
        <v>27056.79</v>
      </c>
      <c r="C611" s="2798">
        <v>279.45999999999998</v>
      </c>
      <c r="D611" s="2798">
        <v>11409.92</v>
      </c>
      <c r="E611" s="2798">
        <v>2162.37</v>
      </c>
    </row>
    <row r="612" spans="1:5">
      <c r="A612" s="2801">
        <v>44865</v>
      </c>
      <c r="B612" s="2798">
        <v>26875.279999999999</v>
      </c>
      <c r="C612" s="2798">
        <v>275.36</v>
      </c>
      <c r="D612" s="2798">
        <v>11415.73</v>
      </c>
      <c r="E612" s="2798">
        <v>2113.86</v>
      </c>
    </row>
    <row r="613" spans="1:5">
      <c r="A613" s="2801">
        <v>44864</v>
      </c>
      <c r="B613" s="2798" t="s">
        <v>1146</v>
      </c>
      <c r="C613" s="2798" t="s">
        <v>1146</v>
      </c>
      <c r="D613" s="2798" t="s">
        <v>1146</v>
      </c>
      <c r="E613" s="2798" t="s">
        <v>1146</v>
      </c>
    </row>
    <row r="614" spans="1:5">
      <c r="A614" s="2801">
        <v>44863</v>
      </c>
      <c r="B614" s="2798" t="s">
        <v>1146</v>
      </c>
      <c r="C614" s="2798" t="s">
        <v>1146</v>
      </c>
      <c r="D614" s="2798" t="s">
        <v>1146</v>
      </c>
      <c r="E614" s="2798" t="s">
        <v>1146</v>
      </c>
    </row>
    <row r="615" spans="1:5">
      <c r="A615" s="2801">
        <v>44862</v>
      </c>
      <c r="B615" s="2798">
        <v>26540.47</v>
      </c>
      <c r="C615" s="2798">
        <v>271.77</v>
      </c>
      <c r="D615" s="2798">
        <v>11474.56</v>
      </c>
      <c r="E615" s="2798">
        <v>2107.35</v>
      </c>
    </row>
    <row r="616" spans="1:5">
      <c r="A616" s="2801">
        <v>44861</v>
      </c>
      <c r="B616" s="2798">
        <v>26826.77</v>
      </c>
      <c r="C616" s="2798">
        <v>274.69</v>
      </c>
      <c r="D616" s="2798">
        <v>11305.8</v>
      </c>
      <c r="E616" s="2798">
        <v>2141.96</v>
      </c>
    </row>
    <row r="617" spans="1:5">
      <c r="A617" s="2801">
        <v>44860</v>
      </c>
      <c r="B617" s="2798">
        <v>26417.25</v>
      </c>
      <c r="C617" s="2798">
        <v>266.82</v>
      </c>
      <c r="D617" s="2798">
        <v>11359.73</v>
      </c>
      <c r="E617" s="2798">
        <v>2122.66</v>
      </c>
    </row>
    <row r="618" spans="1:5">
      <c r="A618" s="2801">
        <v>44859</v>
      </c>
      <c r="B618" s="2798">
        <v>26286.65</v>
      </c>
      <c r="C618" s="2798">
        <v>266.77999999999997</v>
      </c>
      <c r="D618" s="2798">
        <v>11367.75</v>
      </c>
      <c r="E618" s="2798">
        <v>2104.4</v>
      </c>
    </row>
    <row r="619" spans="1:5">
      <c r="A619" s="2801">
        <v>44858</v>
      </c>
      <c r="B619" s="2798">
        <v>26682.76</v>
      </c>
      <c r="C619" s="2798">
        <v>271.95999999999998</v>
      </c>
      <c r="D619" s="2798">
        <v>11168.17</v>
      </c>
      <c r="E619" s="2798">
        <v>2100.04</v>
      </c>
    </row>
    <row r="620" spans="1:5">
      <c r="A620" s="2801">
        <v>44857</v>
      </c>
      <c r="B620" s="2798" t="s">
        <v>1146</v>
      </c>
      <c r="C620" s="2798" t="s">
        <v>1146</v>
      </c>
      <c r="D620" s="2798" t="s">
        <v>1146</v>
      </c>
      <c r="E620" s="2798" t="s">
        <v>1146</v>
      </c>
    </row>
    <row r="621" spans="1:5">
      <c r="A621" s="2801">
        <v>44856</v>
      </c>
      <c r="B621" s="2798" t="s">
        <v>1146</v>
      </c>
      <c r="C621" s="2798" t="s">
        <v>1146</v>
      </c>
      <c r="D621" s="2798" t="s">
        <v>1146</v>
      </c>
      <c r="E621" s="2798" t="s">
        <v>1146</v>
      </c>
    </row>
    <row r="622" spans="1:5">
      <c r="A622" s="2801">
        <v>44855</v>
      </c>
      <c r="B622" s="2798">
        <v>26604.35</v>
      </c>
      <c r="C622" s="2798">
        <v>270.7</v>
      </c>
      <c r="D622" s="2798">
        <v>11030.85</v>
      </c>
      <c r="E622" s="2798">
        <v>2155.5500000000002</v>
      </c>
    </row>
    <row r="623" spans="1:5">
      <c r="A623" s="2801">
        <v>44854</v>
      </c>
      <c r="B623" s="2798">
        <v>26867.69</v>
      </c>
      <c r="C623" s="2798">
        <v>275.57</v>
      </c>
      <c r="D623" s="2798">
        <v>10882.1</v>
      </c>
      <c r="E623" s="2798">
        <v>2154.86</v>
      </c>
    </row>
    <row r="624" spans="1:5">
      <c r="A624" s="2801">
        <v>44853</v>
      </c>
      <c r="B624" s="2798">
        <v>26931.3</v>
      </c>
      <c r="C624" s="2798">
        <v>277.79000000000002</v>
      </c>
      <c r="D624" s="2798">
        <v>10926.09</v>
      </c>
      <c r="E624" s="2798">
        <v>2157.69</v>
      </c>
    </row>
    <row r="625" spans="1:5">
      <c r="A625" s="2801">
        <v>44852</v>
      </c>
      <c r="B625" s="2798">
        <v>27238.3</v>
      </c>
      <c r="C625" s="2798">
        <v>280.25</v>
      </c>
      <c r="D625" s="2798">
        <v>11009.2</v>
      </c>
      <c r="E625" s="2798">
        <v>2190.39</v>
      </c>
    </row>
    <row r="626" spans="1:5">
      <c r="A626" s="2801">
        <v>44851</v>
      </c>
      <c r="B626" s="2798">
        <v>26908.03</v>
      </c>
      <c r="C626" s="2798">
        <v>278.94</v>
      </c>
      <c r="D626" s="2798">
        <v>10892.46</v>
      </c>
      <c r="E626" s="2798">
        <v>2157.2399999999998</v>
      </c>
    </row>
    <row r="627" spans="1:5">
      <c r="A627" s="2801">
        <v>44850</v>
      </c>
      <c r="B627" s="2798" t="s">
        <v>1146</v>
      </c>
      <c r="C627" s="2798" t="s">
        <v>1146</v>
      </c>
      <c r="D627" s="2798" t="s">
        <v>1146</v>
      </c>
      <c r="E627" s="2798" t="s">
        <v>1146</v>
      </c>
    </row>
    <row r="628" spans="1:5">
      <c r="A628" s="2801">
        <v>44849</v>
      </c>
      <c r="B628" s="2798" t="s">
        <v>1146</v>
      </c>
      <c r="C628" s="2798" t="s">
        <v>1146</v>
      </c>
      <c r="D628" s="2798" t="s">
        <v>1146</v>
      </c>
      <c r="E628" s="2798" t="s">
        <v>1146</v>
      </c>
    </row>
    <row r="629" spans="1:5">
      <c r="A629" s="2801">
        <v>44848</v>
      </c>
      <c r="B629" s="2798">
        <v>27244.35</v>
      </c>
      <c r="C629" s="2798">
        <v>280.47000000000003</v>
      </c>
      <c r="D629" s="2798">
        <v>10645.24</v>
      </c>
      <c r="E629" s="2798">
        <v>2151.1</v>
      </c>
    </row>
    <row r="630" spans="1:5">
      <c r="A630" s="2801">
        <v>44847</v>
      </c>
      <c r="B630" s="2798">
        <v>26585.61</v>
      </c>
      <c r="C630" s="2798">
        <v>272.39999999999998</v>
      </c>
      <c r="D630" s="2798">
        <v>10801.9</v>
      </c>
      <c r="E630" s="2798">
        <v>2129.13</v>
      </c>
    </row>
    <row r="631" spans="1:5">
      <c r="A631" s="2801">
        <v>44846</v>
      </c>
      <c r="B631" s="2798">
        <v>27146.98</v>
      </c>
      <c r="C631" s="2798">
        <v>283.06</v>
      </c>
      <c r="D631" s="2798">
        <v>10603.69</v>
      </c>
      <c r="E631" s="2798">
        <v>2156.06</v>
      </c>
    </row>
    <row r="632" spans="1:5">
      <c r="A632" s="2801">
        <v>44845</v>
      </c>
      <c r="B632" s="2798">
        <v>27198.43</v>
      </c>
      <c r="C632" s="2798">
        <v>282.12</v>
      </c>
      <c r="D632" s="2798">
        <v>10642.01</v>
      </c>
      <c r="E632" s="2798">
        <v>2153.91</v>
      </c>
    </row>
    <row r="633" spans="1:5">
      <c r="A633" s="2801">
        <v>44844</v>
      </c>
      <c r="B633" s="2798" t="s">
        <v>1146</v>
      </c>
      <c r="C633" s="2798" t="s">
        <v>1146</v>
      </c>
      <c r="D633" s="2798">
        <v>10728.43</v>
      </c>
      <c r="E633" s="2798">
        <v>2204.09</v>
      </c>
    </row>
    <row r="634" spans="1:5">
      <c r="A634" s="2801">
        <v>44843</v>
      </c>
      <c r="B634" s="2798" t="s">
        <v>1146</v>
      </c>
      <c r="C634" s="2798" t="s">
        <v>1146</v>
      </c>
      <c r="D634" s="2798" t="s">
        <v>1146</v>
      </c>
      <c r="E634" s="2798" t="s">
        <v>1146</v>
      </c>
    </row>
    <row r="635" spans="1:5">
      <c r="A635" s="2801">
        <v>44842</v>
      </c>
      <c r="B635" s="2798" t="s">
        <v>1146</v>
      </c>
      <c r="C635" s="2798" t="s">
        <v>1146</v>
      </c>
      <c r="D635" s="2798" t="s">
        <v>1146</v>
      </c>
      <c r="E635" s="2798" t="s">
        <v>1146</v>
      </c>
    </row>
    <row r="636" spans="1:5">
      <c r="A636" s="2801">
        <v>44841</v>
      </c>
      <c r="B636" s="2798">
        <v>28435.8</v>
      </c>
      <c r="C636" s="2798">
        <v>295.98</v>
      </c>
      <c r="D636" s="2798">
        <v>10827.39</v>
      </c>
      <c r="E636" s="2798">
        <v>2236.3200000000002</v>
      </c>
    </row>
    <row r="637" spans="1:5">
      <c r="A637" s="2801">
        <v>44840</v>
      </c>
      <c r="B637" s="2798">
        <v>28829.62</v>
      </c>
      <c r="C637" s="2798">
        <v>298.45</v>
      </c>
      <c r="D637" s="2798">
        <v>11098.79</v>
      </c>
      <c r="E637" s="2798">
        <v>2268.23</v>
      </c>
    </row>
    <row r="638" spans="1:5">
      <c r="A638" s="2801">
        <v>44839</v>
      </c>
      <c r="B638" s="2798">
        <v>28641.56</v>
      </c>
      <c r="C638" s="2798">
        <v>297.27</v>
      </c>
      <c r="D638" s="2798">
        <v>11193.48</v>
      </c>
      <c r="E638" s="2798">
        <v>2265.54</v>
      </c>
    </row>
    <row r="639" spans="1:5">
      <c r="A639" s="2801">
        <v>44838</v>
      </c>
      <c r="B639" s="2798">
        <v>28174.81</v>
      </c>
      <c r="C639" s="2798">
        <v>296.29000000000002</v>
      </c>
      <c r="D639" s="2798">
        <v>11244.86</v>
      </c>
      <c r="E639" s="2798">
        <v>2225.94</v>
      </c>
    </row>
    <row r="640" spans="1:5">
      <c r="A640" s="2801">
        <v>44837</v>
      </c>
      <c r="B640" s="2798">
        <v>27601.9</v>
      </c>
      <c r="C640" s="2798">
        <v>288.75</v>
      </c>
      <c r="D640" s="2798">
        <v>10877.94</v>
      </c>
      <c r="E640" s="2798">
        <v>2182.3200000000002</v>
      </c>
    </row>
    <row r="641" spans="1:5">
      <c r="A641" s="2801">
        <v>44836</v>
      </c>
      <c r="B641" s="2798" t="s">
        <v>1146</v>
      </c>
      <c r="C641" s="2798" t="s">
        <v>1146</v>
      </c>
      <c r="D641" s="2798" t="s">
        <v>1146</v>
      </c>
      <c r="E641" s="2798" t="s">
        <v>1146</v>
      </c>
    </row>
    <row r="642" spans="1:5">
      <c r="A642" s="2801">
        <v>44835</v>
      </c>
      <c r="B642" s="2798" t="s">
        <v>1146</v>
      </c>
      <c r="C642" s="2798" t="s">
        <v>1146</v>
      </c>
      <c r="D642" s="2798" t="s">
        <v>1146</v>
      </c>
      <c r="E642" s="2798" t="s">
        <v>1146</v>
      </c>
    </row>
    <row r="643" spans="1:5">
      <c r="A643" s="2801">
        <v>44834</v>
      </c>
      <c r="B643" s="2798">
        <v>27859.42</v>
      </c>
      <c r="C643" s="2798">
        <v>290.45999999999998</v>
      </c>
      <c r="D643" s="2798">
        <v>10648.16</v>
      </c>
      <c r="E643" s="2798">
        <v>2181.3000000000002</v>
      </c>
    </row>
    <row r="644" spans="1:5">
      <c r="A644" s="2801">
        <v>44833</v>
      </c>
      <c r="B644" s="2798">
        <v>28087.05</v>
      </c>
      <c r="C644" s="2798">
        <v>288</v>
      </c>
      <c r="D644" s="2798">
        <v>10749.33</v>
      </c>
      <c r="E644" s="2798">
        <v>2175.0700000000002</v>
      </c>
    </row>
    <row r="645" spans="1:5">
      <c r="A645" s="2801">
        <v>44832</v>
      </c>
      <c r="B645" s="2798">
        <v>27945.29</v>
      </c>
      <c r="C645" s="2798">
        <v>284.06</v>
      </c>
      <c r="D645" s="2798">
        <v>10908.18</v>
      </c>
      <c r="E645" s="2798">
        <v>2180.5500000000002</v>
      </c>
    </row>
    <row r="646" spans="1:5">
      <c r="A646" s="2801">
        <v>44831</v>
      </c>
      <c r="B646" s="2798">
        <v>28693.45</v>
      </c>
      <c r="C646" s="2798">
        <v>298.04000000000002</v>
      </c>
      <c r="D646" s="2798">
        <v>10751.3</v>
      </c>
      <c r="E646" s="2798">
        <v>2219.9299999999998</v>
      </c>
    </row>
    <row r="647" spans="1:5">
      <c r="A647" s="2801">
        <v>44830</v>
      </c>
      <c r="B647" s="2798">
        <v>28592.98</v>
      </c>
      <c r="C647" s="2798">
        <v>296.20999999999998</v>
      </c>
      <c r="D647" s="2798">
        <v>10771.12</v>
      </c>
      <c r="E647" s="2798">
        <v>2211.65</v>
      </c>
    </row>
    <row r="648" spans="1:5">
      <c r="A648" s="2801">
        <v>44829</v>
      </c>
      <c r="B648" s="2798" t="s">
        <v>1146</v>
      </c>
      <c r="C648" s="2798" t="s">
        <v>1146</v>
      </c>
      <c r="D648" s="2798" t="s">
        <v>1146</v>
      </c>
      <c r="E648" s="2798" t="s">
        <v>1146</v>
      </c>
    </row>
    <row r="649" spans="1:5">
      <c r="A649" s="2801">
        <v>44828</v>
      </c>
      <c r="B649" s="2798" t="s">
        <v>1146</v>
      </c>
      <c r="C649" s="2798" t="s">
        <v>1146</v>
      </c>
      <c r="D649" s="2798" t="s">
        <v>1146</v>
      </c>
      <c r="E649" s="2798" t="s">
        <v>1146</v>
      </c>
    </row>
    <row r="650" spans="1:5">
      <c r="A650" s="2801">
        <v>44827</v>
      </c>
      <c r="B650" s="2798">
        <v>29294.27</v>
      </c>
      <c r="C650" s="2798">
        <v>309.38</v>
      </c>
      <c r="D650" s="2798">
        <v>10905.51</v>
      </c>
      <c r="E650" s="2798">
        <v>2254.5500000000002</v>
      </c>
    </row>
    <row r="651" spans="1:5">
      <c r="A651" s="2801">
        <v>44826</v>
      </c>
      <c r="B651" s="2798">
        <v>29639.23</v>
      </c>
      <c r="C651" s="2798">
        <v>316.12</v>
      </c>
      <c r="D651" s="2798">
        <v>11132.73</v>
      </c>
      <c r="E651" s="2798">
        <v>2296.25</v>
      </c>
    </row>
    <row r="652" spans="1:5">
      <c r="A652" s="2801">
        <v>44825</v>
      </c>
      <c r="B652" s="2798">
        <v>29928.95</v>
      </c>
      <c r="C652" s="2798">
        <v>315.35000000000002</v>
      </c>
      <c r="D652" s="2798">
        <v>11254.12</v>
      </c>
      <c r="E652" s="2798">
        <v>2319.75</v>
      </c>
    </row>
    <row r="653" spans="1:5">
      <c r="A653" s="2801">
        <v>44824</v>
      </c>
      <c r="B653" s="2798">
        <v>30187.51</v>
      </c>
      <c r="C653" s="2798">
        <v>318.25</v>
      </c>
      <c r="D653" s="2798">
        <v>11420.12</v>
      </c>
      <c r="E653" s="2798">
        <v>2354.46</v>
      </c>
    </row>
    <row r="654" spans="1:5">
      <c r="A654" s="2801">
        <v>44823</v>
      </c>
      <c r="B654" s="2798">
        <v>29930.43</v>
      </c>
      <c r="C654" s="2798">
        <v>316.2</v>
      </c>
      <c r="D654" s="2798">
        <v>11538.61</v>
      </c>
      <c r="E654" s="2798">
        <v>2335.13</v>
      </c>
    </row>
    <row r="655" spans="1:5">
      <c r="A655" s="2801">
        <v>44822</v>
      </c>
      <c r="B655" s="2798" t="s">
        <v>1146</v>
      </c>
      <c r="C655" s="2798" t="s">
        <v>1146</v>
      </c>
      <c r="D655" s="2798" t="s">
        <v>1146</v>
      </c>
      <c r="E655" s="2798" t="s">
        <v>1146</v>
      </c>
    </row>
    <row r="656" spans="1:5">
      <c r="A656" s="2801">
        <v>44821</v>
      </c>
      <c r="B656" s="2798" t="s">
        <v>1146</v>
      </c>
      <c r="C656" s="2798" t="s">
        <v>1146</v>
      </c>
      <c r="D656" s="2798" t="s">
        <v>1146</v>
      </c>
      <c r="E656" s="2798" t="s">
        <v>1146</v>
      </c>
    </row>
    <row r="657" spans="1:5">
      <c r="A657" s="2801">
        <v>44820</v>
      </c>
      <c r="B657" s="2798">
        <v>30212.2</v>
      </c>
      <c r="C657" s="2798">
        <v>320.64</v>
      </c>
      <c r="D657" s="2798">
        <v>11488.04</v>
      </c>
      <c r="E657" s="2798">
        <v>2348.86</v>
      </c>
    </row>
    <row r="658" spans="1:5">
      <c r="A658" s="2801">
        <v>44819</v>
      </c>
      <c r="B658" s="2798">
        <v>30436.31</v>
      </c>
      <c r="C658" s="2798">
        <v>324.63</v>
      </c>
      <c r="D658" s="2798">
        <v>11589.36</v>
      </c>
      <c r="E658" s="2798">
        <v>2384.7600000000002</v>
      </c>
    </row>
    <row r="659" spans="1:5">
      <c r="A659" s="2801">
        <v>44818</v>
      </c>
      <c r="B659" s="2798">
        <v>30363.77</v>
      </c>
      <c r="C659" s="2798">
        <v>326.58</v>
      </c>
      <c r="D659" s="2798">
        <v>11703.56</v>
      </c>
      <c r="E659" s="2798">
        <v>2393.77</v>
      </c>
    </row>
    <row r="660" spans="1:5">
      <c r="A660" s="2801">
        <v>44817</v>
      </c>
      <c r="B660" s="2798">
        <v>30852.69</v>
      </c>
      <c r="C660" s="2798">
        <v>326.87</v>
      </c>
      <c r="D660" s="2798">
        <v>11708.65</v>
      </c>
      <c r="E660" s="2798">
        <v>2436.4</v>
      </c>
    </row>
    <row r="661" spans="1:5">
      <c r="A661" s="2801">
        <v>44816</v>
      </c>
      <c r="B661" s="2798">
        <v>30672.46</v>
      </c>
      <c r="C661" s="2798">
        <v>326.11</v>
      </c>
      <c r="D661" s="2798">
        <v>12153.2</v>
      </c>
      <c r="E661" s="2798">
        <v>2434.1</v>
      </c>
    </row>
    <row r="662" spans="1:5">
      <c r="A662" s="2801">
        <v>44815</v>
      </c>
      <c r="B662" s="2798" t="s">
        <v>1146</v>
      </c>
      <c r="C662" s="2798" t="s">
        <v>1146</v>
      </c>
      <c r="D662" s="2798" t="s">
        <v>1146</v>
      </c>
      <c r="E662" s="2798" t="s">
        <v>1146</v>
      </c>
    </row>
    <row r="663" spans="1:5">
      <c r="A663" s="2801">
        <v>44814</v>
      </c>
      <c r="B663" s="2798" t="s">
        <v>1146</v>
      </c>
      <c r="C663" s="2798" t="s">
        <v>1146</v>
      </c>
      <c r="D663" s="2798" t="s">
        <v>1146</v>
      </c>
      <c r="E663" s="2798" t="s">
        <v>1146</v>
      </c>
    </row>
    <row r="664" spans="1:5">
      <c r="A664" s="2801">
        <v>44813</v>
      </c>
      <c r="B664" s="2798" t="s">
        <v>1146</v>
      </c>
      <c r="C664" s="2798" t="s">
        <v>1146</v>
      </c>
      <c r="D664" s="2798">
        <v>11991.77</v>
      </c>
      <c r="E664" s="2798">
        <v>2411.91</v>
      </c>
    </row>
    <row r="665" spans="1:5">
      <c r="A665" s="2801">
        <v>44812</v>
      </c>
      <c r="B665" s="2798">
        <v>30197.78</v>
      </c>
      <c r="C665" s="2798">
        <v>322.99</v>
      </c>
      <c r="D665" s="2798">
        <v>11782.08</v>
      </c>
      <c r="E665" s="2798">
        <v>2379.12</v>
      </c>
    </row>
    <row r="666" spans="1:5">
      <c r="A666" s="2801">
        <v>44811</v>
      </c>
      <c r="B666" s="2798">
        <v>29838.1</v>
      </c>
      <c r="C666" s="2798">
        <v>316.14999999999998</v>
      </c>
      <c r="D666" s="2798">
        <v>11681.84</v>
      </c>
      <c r="E666" s="2798">
        <v>2377.0500000000002</v>
      </c>
    </row>
    <row r="667" spans="1:5">
      <c r="A667" s="2801">
        <v>44810</v>
      </c>
      <c r="B667" s="2798">
        <v>30389.34</v>
      </c>
      <c r="C667" s="2798">
        <v>319.2</v>
      </c>
      <c r="D667" s="2798">
        <v>11551.22</v>
      </c>
      <c r="E667" s="2798">
        <v>2398.36</v>
      </c>
    </row>
    <row r="668" spans="1:5">
      <c r="A668" s="2801">
        <v>44809</v>
      </c>
      <c r="B668" s="2798">
        <v>30353.919999999998</v>
      </c>
      <c r="C668" s="2798">
        <v>324.08</v>
      </c>
      <c r="D668" s="2798">
        <v>11602.98</v>
      </c>
      <c r="E668" s="2798">
        <v>2404.6799999999998</v>
      </c>
    </row>
    <row r="669" spans="1:5">
      <c r="A669" s="2801">
        <v>44808</v>
      </c>
      <c r="B669" s="2798" t="s">
        <v>1146</v>
      </c>
      <c r="C669" s="2798" t="s">
        <v>1146</v>
      </c>
      <c r="D669" s="2798" t="s">
        <v>1146</v>
      </c>
      <c r="E669" s="2798" t="s">
        <v>1146</v>
      </c>
    </row>
    <row r="670" spans="1:5">
      <c r="A670" s="2801">
        <v>44807</v>
      </c>
      <c r="B670" s="2798" t="s">
        <v>1146</v>
      </c>
      <c r="C670" s="2798" t="s">
        <v>1146</v>
      </c>
      <c r="D670" s="2798" t="s">
        <v>1146</v>
      </c>
      <c r="E670" s="2798" t="s">
        <v>1146</v>
      </c>
    </row>
    <row r="671" spans="1:5">
      <c r="A671" s="2801">
        <v>44806</v>
      </c>
      <c r="B671" s="2798">
        <v>30372.86</v>
      </c>
      <c r="C671" s="2798">
        <v>329</v>
      </c>
      <c r="D671" s="2798">
        <v>11640.54</v>
      </c>
      <c r="E671" s="2798">
        <v>2414.96</v>
      </c>
    </row>
    <row r="672" spans="1:5">
      <c r="A672" s="2801">
        <v>44805</v>
      </c>
      <c r="B672" s="2798">
        <v>30639.3</v>
      </c>
      <c r="C672" s="2798">
        <v>328.73</v>
      </c>
      <c r="D672" s="2798">
        <v>11662.26</v>
      </c>
      <c r="E672" s="2798">
        <v>2425.12</v>
      </c>
    </row>
    <row r="673" spans="1:5">
      <c r="A673" s="2801">
        <v>44804</v>
      </c>
      <c r="B673" s="2798">
        <v>31245.85</v>
      </c>
      <c r="C673" s="2798">
        <v>333.46</v>
      </c>
      <c r="D673" s="2798">
        <v>11734.16</v>
      </c>
      <c r="E673" s="2798">
        <v>2469.58</v>
      </c>
    </row>
    <row r="674" spans="1:5">
      <c r="A674" s="2801">
        <v>44803</v>
      </c>
      <c r="B674" s="2798">
        <v>30952.11</v>
      </c>
      <c r="C674" s="2798">
        <v>330.61</v>
      </c>
      <c r="D674" s="2798">
        <v>11812.74</v>
      </c>
      <c r="E674" s="2798">
        <v>2466.09</v>
      </c>
    </row>
    <row r="675" spans="1:5">
      <c r="A675" s="2801">
        <v>44802</v>
      </c>
      <c r="B675" s="2798">
        <v>30892.09</v>
      </c>
      <c r="C675" s="2798">
        <v>326.17</v>
      </c>
      <c r="D675" s="2798">
        <v>11916.03</v>
      </c>
      <c r="E675" s="2798">
        <v>2463.2800000000002</v>
      </c>
    </row>
    <row r="676" spans="1:5">
      <c r="A676" s="2801">
        <v>44801</v>
      </c>
      <c r="B676" s="2798" t="s">
        <v>1146</v>
      </c>
      <c r="C676" s="2798" t="s">
        <v>1146</v>
      </c>
      <c r="D676" s="2798" t="s">
        <v>1146</v>
      </c>
      <c r="E676" s="2798" t="s">
        <v>1146</v>
      </c>
    </row>
    <row r="677" spans="1:5">
      <c r="A677" s="2801">
        <v>44800</v>
      </c>
      <c r="B677" s="2798" t="s">
        <v>1146</v>
      </c>
      <c r="C677" s="2798" t="s">
        <v>1146</v>
      </c>
      <c r="D677" s="2798" t="s">
        <v>1146</v>
      </c>
      <c r="E677" s="2798" t="s">
        <v>1146</v>
      </c>
    </row>
    <row r="678" spans="1:5">
      <c r="A678" s="2801">
        <v>44799</v>
      </c>
      <c r="B678" s="2798">
        <v>31619.42</v>
      </c>
      <c r="C678" s="2798">
        <v>331.92</v>
      </c>
      <c r="D678" s="2798">
        <v>12030.84</v>
      </c>
      <c r="E678" s="2798">
        <v>2500.11</v>
      </c>
    </row>
    <row r="679" spans="1:5">
      <c r="A679" s="2801">
        <v>44798</v>
      </c>
      <c r="B679" s="2798">
        <v>31453.34</v>
      </c>
      <c r="C679" s="2798">
        <v>330.07</v>
      </c>
      <c r="D679" s="2798">
        <v>12360.22</v>
      </c>
      <c r="E679" s="2798">
        <v>2492.4499999999998</v>
      </c>
    </row>
    <row r="680" spans="1:5">
      <c r="A680" s="2801">
        <v>44797</v>
      </c>
      <c r="B680" s="2798">
        <v>31170.55</v>
      </c>
      <c r="C680" s="2798">
        <v>325.45</v>
      </c>
      <c r="D680" s="2798">
        <v>12214.52</v>
      </c>
      <c r="E680" s="2798">
        <v>2446.52</v>
      </c>
    </row>
    <row r="681" spans="1:5">
      <c r="A681" s="2801">
        <v>44796</v>
      </c>
      <c r="B681" s="2798">
        <v>31217.56</v>
      </c>
      <c r="C681" s="2798">
        <v>323.98</v>
      </c>
      <c r="D681" s="2798">
        <v>12188.99</v>
      </c>
      <c r="E681" s="2798">
        <v>2457.2399999999998</v>
      </c>
    </row>
    <row r="682" spans="1:5">
      <c r="A682" s="2801">
        <v>44795</v>
      </c>
      <c r="B682" s="2798">
        <v>31524.04</v>
      </c>
      <c r="C682" s="2798">
        <v>323.77999999999997</v>
      </c>
      <c r="D682" s="2798">
        <v>12214.35</v>
      </c>
      <c r="E682" s="2798">
        <v>2462.9</v>
      </c>
    </row>
    <row r="683" spans="1:5">
      <c r="A683" s="2801">
        <v>44794</v>
      </c>
      <c r="B683" s="2798" t="s">
        <v>1146</v>
      </c>
      <c r="C683" s="2798" t="s">
        <v>1146</v>
      </c>
      <c r="D683" s="2798" t="s">
        <v>1146</v>
      </c>
      <c r="E683" s="2798" t="s">
        <v>1146</v>
      </c>
    </row>
    <row r="684" spans="1:5">
      <c r="A684" s="2801">
        <v>44793</v>
      </c>
      <c r="B684" s="2798" t="s">
        <v>1146</v>
      </c>
      <c r="C684" s="2798" t="s">
        <v>1146</v>
      </c>
      <c r="D684" s="2798" t="s">
        <v>1146</v>
      </c>
      <c r="E684" s="2798" t="s">
        <v>1146</v>
      </c>
    </row>
    <row r="685" spans="1:5">
      <c r="A685" s="2801">
        <v>44792</v>
      </c>
      <c r="B685" s="2798">
        <v>31861.63</v>
      </c>
      <c r="C685" s="2798">
        <v>325.61</v>
      </c>
      <c r="D685" s="2798">
        <v>12443.27</v>
      </c>
      <c r="E685" s="2798">
        <v>2486.5100000000002</v>
      </c>
    </row>
    <row r="686" spans="1:5">
      <c r="A686" s="2801">
        <v>44791</v>
      </c>
      <c r="B686" s="2798">
        <v>31833.17</v>
      </c>
      <c r="C686" s="2798">
        <v>323.08999999999997</v>
      </c>
      <c r="D686" s="2798">
        <v>12615.76</v>
      </c>
      <c r="E686" s="2798">
        <v>2506.38</v>
      </c>
    </row>
    <row r="687" spans="1:5">
      <c r="A687" s="2801">
        <v>44790</v>
      </c>
      <c r="B687" s="2798">
        <v>31971.14</v>
      </c>
      <c r="C687" s="2798">
        <v>319.31</v>
      </c>
      <c r="D687" s="2798">
        <v>12596.87</v>
      </c>
      <c r="E687" s="2798">
        <v>2521</v>
      </c>
    </row>
    <row r="688" spans="1:5">
      <c r="A688" s="2801">
        <v>44789</v>
      </c>
      <c r="B688" s="2798">
        <v>31871.72</v>
      </c>
      <c r="C688" s="2798">
        <v>317.74</v>
      </c>
      <c r="D688" s="2798">
        <v>12690.87</v>
      </c>
      <c r="E688" s="2798">
        <v>2517.44</v>
      </c>
    </row>
    <row r="689" spans="1:5">
      <c r="A689" s="2801">
        <v>44788</v>
      </c>
      <c r="B689" s="2798">
        <v>31862.57</v>
      </c>
      <c r="C689" s="2798">
        <v>316.89</v>
      </c>
      <c r="D689" s="2798">
        <v>12681.64</v>
      </c>
      <c r="E689" s="2798">
        <v>2519.19</v>
      </c>
    </row>
    <row r="690" spans="1:5">
      <c r="A690" s="2801">
        <v>44787</v>
      </c>
      <c r="B690" s="2798" t="s">
        <v>1146</v>
      </c>
      <c r="C690" s="2798" t="s">
        <v>1146</v>
      </c>
      <c r="D690" s="2798" t="s">
        <v>1146</v>
      </c>
      <c r="E690" s="2798" t="s">
        <v>1146</v>
      </c>
    </row>
    <row r="691" spans="1:5">
      <c r="A691" s="2801">
        <v>44786</v>
      </c>
      <c r="B691" s="2798" t="s">
        <v>1146</v>
      </c>
      <c r="C691" s="2798" t="s">
        <v>1146</v>
      </c>
      <c r="D691" s="2798" t="s">
        <v>1146</v>
      </c>
      <c r="E691" s="2798" t="s">
        <v>1146</v>
      </c>
    </row>
    <row r="692" spans="1:5">
      <c r="A692" s="2801">
        <v>44785</v>
      </c>
      <c r="B692" s="2798">
        <v>31597.15</v>
      </c>
      <c r="C692" s="2798">
        <v>311.19</v>
      </c>
      <c r="D692" s="2798">
        <v>12645.58</v>
      </c>
      <c r="E692" s="2798">
        <v>2523.58</v>
      </c>
    </row>
    <row r="693" spans="1:5">
      <c r="A693" s="2801">
        <v>44784</v>
      </c>
      <c r="B693" s="2798">
        <v>31406.04</v>
      </c>
      <c r="C693" s="2798">
        <v>307.73</v>
      </c>
      <c r="D693" s="2798">
        <v>12499.57</v>
      </c>
      <c r="E693" s="2798">
        <v>2511.91</v>
      </c>
    </row>
    <row r="694" spans="1:5">
      <c r="A694" s="2801">
        <v>44783</v>
      </c>
      <c r="B694" s="2798">
        <v>30845.08</v>
      </c>
      <c r="C694" s="2798">
        <v>303.7</v>
      </c>
      <c r="D694" s="2798">
        <v>12500.06</v>
      </c>
      <c r="E694" s="2798">
        <v>2469.15</v>
      </c>
    </row>
    <row r="695" spans="1:5">
      <c r="A695" s="2801">
        <v>44782</v>
      </c>
      <c r="B695" s="2798">
        <v>31058.17</v>
      </c>
      <c r="C695" s="2798">
        <v>306.02999999999997</v>
      </c>
      <c r="D695" s="2798">
        <v>12233.25</v>
      </c>
      <c r="E695" s="2798">
        <v>2479.64</v>
      </c>
    </row>
    <row r="696" spans="1:5">
      <c r="A696" s="2801">
        <v>44781</v>
      </c>
      <c r="B696" s="2798">
        <v>30990.22</v>
      </c>
      <c r="C696" s="2798">
        <v>304.98</v>
      </c>
      <c r="D696" s="2798">
        <v>12300.06</v>
      </c>
      <c r="E696" s="2798">
        <v>2479.88</v>
      </c>
    </row>
    <row r="697" spans="1:5">
      <c r="A697" s="2801">
        <v>44780</v>
      </c>
      <c r="B697" s="2798" t="s">
        <v>1146</v>
      </c>
      <c r="C697" s="2798" t="s">
        <v>1146</v>
      </c>
      <c r="D697" s="2798" t="s">
        <v>1146</v>
      </c>
      <c r="E697" s="2798" t="s">
        <v>1146</v>
      </c>
    </row>
    <row r="698" spans="1:5">
      <c r="A698" s="2801">
        <v>44779</v>
      </c>
      <c r="B698" s="2798" t="s">
        <v>1146</v>
      </c>
      <c r="C698" s="2798" t="s">
        <v>1146</v>
      </c>
      <c r="D698" s="2798" t="s">
        <v>1146</v>
      </c>
      <c r="E698" s="2798" t="s">
        <v>1146</v>
      </c>
    </row>
    <row r="699" spans="1:5">
      <c r="A699" s="2801">
        <v>44778</v>
      </c>
      <c r="B699" s="2798">
        <v>31021.45</v>
      </c>
      <c r="C699" s="2798">
        <v>303.99</v>
      </c>
      <c r="D699" s="2798">
        <v>12269.81</v>
      </c>
      <c r="E699" s="2798">
        <v>2482.3000000000002</v>
      </c>
    </row>
    <row r="700" spans="1:5">
      <c r="A700" s="2801">
        <v>44777</v>
      </c>
      <c r="B700" s="2798">
        <v>30332.58</v>
      </c>
      <c r="C700" s="2798">
        <v>296.98</v>
      </c>
      <c r="D700" s="2798">
        <v>12311.44</v>
      </c>
      <c r="E700" s="2798">
        <v>2461.6799999999998</v>
      </c>
    </row>
    <row r="701" spans="1:5">
      <c r="A701" s="2801">
        <v>44776</v>
      </c>
      <c r="B701" s="2798">
        <v>30453.48</v>
      </c>
      <c r="C701" s="2798">
        <v>296.74</v>
      </c>
      <c r="D701" s="2798">
        <v>12281.08</v>
      </c>
      <c r="E701" s="2798">
        <v>2439.5700000000002</v>
      </c>
    </row>
    <row r="702" spans="1:5">
      <c r="A702" s="2801">
        <v>44775</v>
      </c>
      <c r="B702" s="2798">
        <v>30382.48</v>
      </c>
      <c r="C702" s="2798">
        <v>298.52999999999997</v>
      </c>
      <c r="D702" s="2798">
        <v>12160.75</v>
      </c>
      <c r="E702" s="2798">
        <v>2435.63</v>
      </c>
    </row>
    <row r="703" spans="1:5">
      <c r="A703" s="2801">
        <v>44774</v>
      </c>
      <c r="B703" s="2798">
        <v>30862.41</v>
      </c>
      <c r="C703" s="2798">
        <v>304.20999999999998</v>
      </c>
      <c r="D703" s="2798">
        <v>12254.11</v>
      </c>
      <c r="E703" s="2798">
        <v>2462.0300000000002</v>
      </c>
    </row>
    <row r="704" spans="1:5">
      <c r="A704" s="2801">
        <v>44773</v>
      </c>
      <c r="B704" s="2798" t="s">
        <v>1146</v>
      </c>
      <c r="C704" s="2798" t="s">
        <v>1146</v>
      </c>
      <c r="D704" s="2798" t="s">
        <v>1146</v>
      </c>
      <c r="E704" s="2798" t="s">
        <v>1146</v>
      </c>
    </row>
    <row r="705" spans="1:5">
      <c r="A705" s="2801">
        <v>44772</v>
      </c>
      <c r="B705" s="2798" t="s">
        <v>1146</v>
      </c>
      <c r="C705" s="2798" t="s">
        <v>1146</v>
      </c>
      <c r="D705" s="2798" t="s">
        <v>1146</v>
      </c>
      <c r="E705" s="2798" t="s">
        <v>1146</v>
      </c>
    </row>
    <row r="706" spans="1:5">
      <c r="A706" s="2801">
        <v>44771</v>
      </c>
      <c r="B706" s="2798">
        <v>30879.57</v>
      </c>
      <c r="C706" s="2798">
        <v>305.55</v>
      </c>
      <c r="D706" s="2798">
        <v>12241.14</v>
      </c>
      <c r="E706" s="2798">
        <v>2458.4</v>
      </c>
    </row>
    <row r="707" spans="1:5">
      <c r="A707" s="2801">
        <v>44770</v>
      </c>
      <c r="B707" s="2798">
        <v>30630.82</v>
      </c>
      <c r="C707" s="2798">
        <v>302.27999999999997</v>
      </c>
      <c r="D707" s="2798">
        <v>12076.48</v>
      </c>
      <c r="E707" s="2798">
        <v>2467.4499999999998</v>
      </c>
    </row>
    <row r="708" spans="1:5">
      <c r="A708" s="2801">
        <v>44769</v>
      </c>
      <c r="B708" s="2798">
        <v>30656.81</v>
      </c>
      <c r="C708" s="2798">
        <v>302.55</v>
      </c>
      <c r="D708" s="2798">
        <v>11920.43</v>
      </c>
      <c r="E708" s="2798">
        <v>2448.0300000000002</v>
      </c>
    </row>
    <row r="709" spans="1:5">
      <c r="A709" s="2801">
        <v>44768</v>
      </c>
      <c r="B709" s="2798">
        <v>30390.400000000001</v>
      </c>
      <c r="C709" s="2798">
        <v>299.41000000000003</v>
      </c>
      <c r="D709" s="2798">
        <v>11694.89</v>
      </c>
      <c r="E709" s="2798">
        <v>2447.7600000000002</v>
      </c>
    </row>
    <row r="710" spans="1:5">
      <c r="A710" s="2801">
        <v>44767</v>
      </c>
      <c r="B710" s="2798">
        <v>30615.98</v>
      </c>
      <c r="C710" s="2798">
        <v>303.54000000000002</v>
      </c>
      <c r="D710" s="2798">
        <v>11813.93</v>
      </c>
      <c r="E710" s="2798">
        <v>2440.04</v>
      </c>
    </row>
    <row r="711" spans="1:5">
      <c r="A711" s="2801">
        <v>44766</v>
      </c>
      <c r="B711" s="2798" t="s">
        <v>1146</v>
      </c>
      <c r="C711" s="2798" t="s">
        <v>1146</v>
      </c>
      <c r="D711" s="2798" t="s">
        <v>1146</v>
      </c>
      <c r="E711" s="2798" t="s">
        <v>1146</v>
      </c>
    </row>
    <row r="712" spans="1:5">
      <c r="A712" s="2801">
        <v>44765</v>
      </c>
      <c r="B712" s="2798" t="s">
        <v>1146</v>
      </c>
      <c r="C712" s="2798" t="s">
        <v>1146</v>
      </c>
      <c r="D712" s="2798" t="s">
        <v>1146</v>
      </c>
      <c r="E712" s="2798" t="s">
        <v>1146</v>
      </c>
    </row>
    <row r="713" spans="1:5">
      <c r="A713" s="2801">
        <v>44764</v>
      </c>
      <c r="B713" s="2798">
        <v>30634.92</v>
      </c>
      <c r="C713" s="2798">
        <v>303.91000000000003</v>
      </c>
      <c r="D713" s="2798">
        <v>11811.78</v>
      </c>
      <c r="E713" s="2798">
        <v>2448.0500000000002</v>
      </c>
    </row>
    <row r="714" spans="1:5">
      <c r="A714" s="2801">
        <v>44763</v>
      </c>
      <c r="B714" s="2798">
        <v>30609.71</v>
      </c>
      <c r="C714" s="2798">
        <v>304.12</v>
      </c>
      <c r="D714" s="2798">
        <v>11869.68</v>
      </c>
      <c r="E714" s="2798">
        <v>2448.75</v>
      </c>
    </row>
    <row r="715" spans="1:5">
      <c r="A715" s="2801">
        <v>44762</v>
      </c>
      <c r="B715" s="2798">
        <v>30175.46</v>
      </c>
      <c r="C715" s="2798">
        <v>298.25</v>
      </c>
      <c r="D715" s="2798">
        <v>11780.3</v>
      </c>
      <c r="E715" s="2798">
        <v>2438.21</v>
      </c>
    </row>
    <row r="716" spans="1:5">
      <c r="A716" s="2801">
        <v>44761</v>
      </c>
      <c r="B716" s="2798">
        <v>30071.97</v>
      </c>
      <c r="C716" s="2798">
        <v>294.79000000000002</v>
      </c>
      <c r="D716" s="2798">
        <v>11710.67</v>
      </c>
      <c r="E716" s="2798">
        <v>2421.62</v>
      </c>
    </row>
    <row r="717" spans="1:5">
      <c r="A717" s="2801">
        <v>44760</v>
      </c>
      <c r="B717" s="2798">
        <v>30113.26</v>
      </c>
      <c r="C717" s="2798">
        <v>295</v>
      </c>
      <c r="D717" s="2798">
        <v>11440.08</v>
      </c>
      <c r="E717" s="2798">
        <v>2422.8200000000002</v>
      </c>
    </row>
    <row r="718" spans="1:5">
      <c r="A718" s="2801">
        <v>44759</v>
      </c>
      <c r="B718" s="2798" t="s">
        <v>1146</v>
      </c>
      <c r="C718" s="2798" t="s">
        <v>1146</v>
      </c>
      <c r="D718" s="2798" t="s">
        <v>1146</v>
      </c>
      <c r="E718" s="2798" t="s">
        <v>1146</v>
      </c>
    </row>
    <row r="719" spans="1:5">
      <c r="A719" s="2801">
        <v>44758</v>
      </c>
      <c r="B719" s="2798" t="s">
        <v>1146</v>
      </c>
      <c r="C719" s="2798" t="s">
        <v>1146</v>
      </c>
      <c r="D719" s="2798" t="s">
        <v>1146</v>
      </c>
      <c r="E719" s="2798" t="s">
        <v>1146</v>
      </c>
    </row>
    <row r="720" spans="1:5">
      <c r="A720" s="2801">
        <v>44757</v>
      </c>
      <c r="B720" s="2798">
        <v>29765.040000000001</v>
      </c>
      <c r="C720" s="2798">
        <v>289.82</v>
      </c>
      <c r="D720" s="2798">
        <v>11443.97</v>
      </c>
      <c r="E720" s="2798">
        <v>2376.67</v>
      </c>
    </row>
    <row r="721" spans="1:5">
      <c r="A721" s="2801">
        <v>44756</v>
      </c>
      <c r="B721" s="2798">
        <v>29527.24</v>
      </c>
      <c r="C721" s="2798">
        <v>286.97000000000003</v>
      </c>
      <c r="D721" s="2798">
        <v>11231.36</v>
      </c>
      <c r="E721" s="2798">
        <v>2385.15</v>
      </c>
    </row>
    <row r="722" spans="1:5">
      <c r="A722" s="2801">
        <v>44755</v>
      </c>
      <c r="B722" s="2798">
        <v>29243.18</v>
      </c>
      <c r="C722" s="2798">
        <v>281.81</v>
      </c>
      <c r="D722" s="2798">
        <v>11336.17</v>
      </c>
      <c r="E722" s="2798">
        <v>2396.59</v>
      </c>
    </row>
    <row r="723" spans="1:5">
      <c r="A723" s="2801">
        <v>44754</v>
      </c>
      <c r="B723" s="2798">
        <v>28472.79</v>
      </c>
      <c r="C723" s="2798">
        <v>278.19</v>
      </c>
      <c r="D723" s="2798">
        <v>11378.37</v>
      </c>
      <c r="E723" s="2798">
        <v>2388.63</v>
      </c>
    </row>
    <row r="724" spans="1:5">
      <c r="A724" s="2801">
        <v>44753</v>
      </c>
      <c r="B724" s="2798">
        <v>29239.1</v>
      </c>
      <c r="C724" s="2798">
        <v>285.89999999999998</v>
      </c>
      <c r="D724" s="2798">
        <v>11459.07</v>
      </c>
      <c r="E724" s="2798">
        <v>2422.19</v>
      </c>
    </row>
    <row r="725" spans="1:5">
      <c r="A725" s="2801">
        <v>44752</v>
      </c>
      <c r="B725" s="2798" t="s">
        <v>1146</v>
      </c>
      <c r="C725" s="2798" t="s">
        <v>1146</v>
      </c>
      <c r="D725" s="2798" t="s">
        <v>1146</v>
      </c>
      <c r="E725" s="2798" t="s">
        <v>1146</v>
      </c>
    </row>
    <row r="726" spans="1:5">
      <c r="A726" s="2801">
        <v>44751</v>
      </c>
      <c r="B726" s="2798" t="s">
        <v>1146</v>
      </c>
      <c r="C726" s="2798" t="s">
        <v>1146</v>
      </c>
      <c r="D726" s="2798" t="s">
        <v>1146</v>
      </c>
      <c r="E726" s="2798" t="s">
        <v>1146</v>
      </c>
    </row>
    <row r="727" spans="1:5">
      <c r="A727" s="2801">
        <v>44750</v>
      </c>
      <c r="B727" s="2798">
        <v>29479.35</v>
      </c>
      <c r="C727" s="2798">
        <v>286.67</v>
      </c>
      <c r="D727" s="2798">
        <v>11598.32</v>
      </c>
      <c r="E727" s="2798">
        <v>2467.37</v>
      </c>
    </row>
    <row r="728" spans="1:5">
      <c r="A728" s="2801">
        <v>44749</v>
      </c>
      <c r="B728" s="2798">
        <v>29198.38</v>
      </c>
      <c r="C728" s="2798">
        <v>281.98</v>
      </c>
      <c r="D728" s="2798">
        <v>11590.63</v>
      </c>
      <c r="E728" s="2798">
        <v>2454.09</v>
      </c>
    </row>
    <row r="729" spans="1:5">
      <c r="A729" s="2801">
        <v>44748</v>
      </c>
      <c r="B729" s="2798">
        <v>28467.18</v>
      </c>
      <c r="C729" s="2798">
        <v>274.88</v>
      </c>
      <c r="D729" s="2798">
        <v>11407.16</v>
      </c>
      <c r="E729" s="2798">
        <v>2419.0700000000002</v>
      </c>
    </row>
    <row r="730" spans="1:5">
      <c r="A730" s="2801">
        <v>44747</v>
      </c>
      <c r="B730" s="2798">
        <v>29142.05</v>
      </c>
      <c r="C730" s="2798">
        <v>283.47000000000003</v>
      </c>
      <c r="D730" s="2798">
        <v>11374.68</v>
      </c>
      <c r="E730" s="2798">
        <v>2443.8000000000002</v>
      </c>
    </row>
    <row r="731" spans="1:5">
      <c r="A731" s="2801">
        <v>44746</v>
      </c>
      <c r="B731" s="2798">
        <v>28828.92</v>
      </c>
      <c r="C731" s="2798">
        <v>279.62</v>
      </c>
      <c r="D731" s="2798">
        <v>11434.85</v>
      </c>
      <c r="E731" s="2798">
        <v>2446.1999999999998</v>
      </c>
    </row>
    <row r="732" spans="1:5">
      <c r="A732" s="2801">
        <v>44745</v>
      </c>
      <c r="B732" s="2798" t="s">
        <v>1146</v>
      </c>
      <c r="C732" s="2798" t="s">
        <v>1146</v>
      </c>
      <c r="D732" s="2798" t="s">
        <v>1146</v>
      </c>
      <c r="E732" s="2798" t="s">
        <v>1146</v>
      </c>
    </row>
    <row r="733" spans="1:5">
      <c r="A733" s="2801">
        <v>44744</v>
      </c>
      <c r="B733" s="2798" t="s">
        <v>1146</v>
      </c>
      <c r="C733" s="2798" t="s">
        <v>1146</v>
      </c>
      <c r="D733" s="2798" t="s">
        <v>1146</v>
      </c>
      <c r="E733" s="2798" t="s">
        <v>1146</v>
      </c>
    </row>
    <row r="734" spans="1:5">
      <c r="A734" s="2801">
        <v>44743</v>
      </c>
      <c r="B734" s="2798">
        <v>28984.28</v>
      </c>
      <c r="C734" s="2798">
        <v>282.38</v>
      </c>
      <c r="D734" s="2798">
        <v>11399.15</v>
      </c>
      <c r="E734" s="2798">
        <v>2443.3000000000002</v>
      </c>
    </row>
    <row r="735" spans="1:5">
      <c r="A735" s="2801">
        <v>44742</v>
      </c>
      <c r="B735" s="2798">
        <v>29955.51</v>
      </c>
      <c r="C735" s="2798">
        <v>295.41000000000003</v>
      </c>
      <c r="D735" s="2798">
        <v>11337.72</v>
      </c>
      <c r="E735" s="2798">
        <v>2462.39</v>
      </c>
    </row>
    <row r="736" spans="1:5">
      <c r="A736" s="2801">
        <v>44741</v>
      </c>
      <c r="B736" s="2798">
        <v>30742.89</v>
      </c>
      <c r="C736" s="2798">
        <v>305.79000000000002</v>
      </c>
      <c r="D736" s="2798">
        <v>11462.24</v>
      </c>
      <c r="E736" s="2798">
        <v>2492.48</v>
      </c>
    </row>
    <row r="737" spans="1:5">
      <c r="A737" s="2801">
        <v>44740</v>
      </c>
      <c r="B737" s="2798">
        <v>31044.99</v>
      </c>
      <c r="C737" s="2798">
        <v>306.12</v>
      </c>
      <c r="D737" s="2798">
        <v>11503</v>
      </c>
      <c r="E737" s="2798">
        <v>2529.0700000000002</v>
      </c>
    </row>
    <row r="738" spans="1:5">
      <c r="A738" s="2801">
        <v>44739</v>
      </c>
      <c r="B738" s="2798">
        <v>31220.3</v>
      </c>
      <c r="C738" s="2798">
        <v>311.36</v>
      </c>
      <c r="D738" s="2798">
        <v>11676.34</v>
      </c>
      <c r="E738" s="2798">
        <v>2522.34</v>
      </c>
    </row>
    <row r="739" spans="1:5">
      <c r="A739" s="2801">
        <v>44738</v>
      </c>
      <c r="B739" s="2798"/>
      <c r="C739" s="2798"/>
      <c r="D739" s="2798"/>
      <c r="E739" s="2798"/>
    </row>
    <row r="740" spans="1:5">
      <c r="A740" s="2801">
        <v>44737</v>
      </c>
      <c r="B740" s="2798"/>
      <c r="C740" s="2798"/>
      <c r="D740" s="2798"/>
      <c r="E740" s="2798"/>
    </row>
    <row r="741" spans="1:5">
      <c r="A741" s="2801">
        <v>44736</v>
      </c>
      <c r="B741" s="2798">
        <v>30677.22</v>
      </c>
      <c r="C741" s="2798">
        <v>304.17</v>
      </c>
      <c r="D741" s="2798">
        <v>11659.41</v>
      </c>
      <c r="E741" s="2798">
        <v>2481.38</v>
      </c>
    </row>
    <row r="742" spans="1:5">
      <c r="A742" s="2801">
        <v>44735</v>
      </c>
      <c r="B742" s="2798">
        <v>30418.720000000001</v>
      </c>
      <c r="C742" s="2798">
        <v>301.75</v>
      </c>
      <c r="D742" s="2798">
        <v>11345.72</v>
      </c>
      <c r="E742" s="2798">
        <v>2442.37</v>
      </c>
    </row>
    <row r="743" spans="1:5">
      <c r="A743" s="2801">
        <v>44734</v>
      </c>
      <c r="B743" s="2798">
        <v>30677.99</v>
      </c>
      <c r="C743" s="2798">
        <v>301.61</v>
      </c>
      <c r="D743" s="2798">
        <v>11292.65</v>
      </c>
      <c r="E743" s="2798">
        <v>2436.15</v>
      </c>
    </row>
    <row r="744" spans="1:5">
      <c r="A744" s="2801">
        <v>44733</v>
      </c>
      <c r="B744" s="2798">
        <v>31405.9</v>
      </c>
      <c r="C744" s="2798">
        <v>310.57</v>
      </c>
      <c r="D744" s="2798">
        <v>11319.67</v>
      </c>
      <c r="E744" s="2798">
        <v>2492.7399999999998</v>
      </c>
    </row>
    <row r="745" spans="1:5">
      <c r="A745" s="2801">
        <v>44732</v>
      </c>
      <c r="B745" s="2798">
        <v>30656.95</v>
      </c>
      <c r="C745" s="2798">
        <v>302.86</v>
      </c>
      <c r="D745" s="2798">
        <v>11103.57</v>
      </c>
      <c r="E745" s="2798">
        <v>2451.6</v>
      </c>
    </row>
    <row r="746" spans="1:5">
      <c r="A746" s="2801">
        <v>44731</v>
      </c>
      <c r="B746" s="2798"/>
      <c r="C746" s="2798"/>
      <c r="D746" s="2798"/>
      <c r="E746" s="2798"/>
    </row>
    <row r="747" spans="1:5">
      <c r="A747" s="2801">
        <v>44730</v>
      </c>
      <c r="B747" s="2798"/>
      <c r="C747" s="2798"/>
      <c r="D747" s="2798"/>
      <c r="E747" s="2798"/>
    </row>
    <row r="748" spans="1:5">
      <c r="A748" s="2801">
        <v>44729</v>
      </c>
      <c r="B748" s="2798">
        <v>31194.99</v>
      </c>
      <c r="C748" s="2798">
        <v>313.43</v>
      </c>
      <c r="D748" s="2798">
        <v>11062.29</v>
      </c>
      <c r="E748" s="2798">
        <v>2461.39</v>
      </c>
    </row>
    <row r="749" spans="1:5">
      <c r="A749" s="2801">
        <v>44728</v>
      </c>
      <c r="B749" s="2798">
        <v>31584.23</v>
      </c>
      <c r="C749" s="2798">
        <v>317.05</v>
      </c>
      <c r="D749" s="2798">
        <v>11083.19</v>
      </c>
      <c r="E749" s="2798">
        <v>2469.73</v>
      </c>
    </row>
    <row r="750" spans="1:5">
      <c r="A750" s="2801">
        <v>44727</v>
      </c>
      <c r="B750" s="2798">
        <v>31844.32</v>
      </c>
      <c r="C750" s="2798">
        <v>322.3</v>
      </c>
      <c r="D750" s="2798">
        <v>11376.25</v>
      </c>
      <c r="E750" s="2798">
        <v>2497.84</v>
      </c>
    </row>
    <row r="751" spans="1:5">
      <c r="A751" s="2801">
        <v>44726</v>
      </c>
      <c r="B751" s="2798">
        <v>31936.87</v>
      </c>
      <c r="C751" s="2798">
        <v>323.24</v>
      </c>
      <c r="D751" s="2798">
        <v>11238.87</v>
      </c>
      <c r="E751" s="2798">
        <v>2491.75</v>
      </c>
    </row>
    <row r="752" spans="1:5">
      <c r="A752" s="2801">
        <v>44725</v>
      </c>
      <c r="B752" s="2798">
        <v>31982.73</v>
      </c>
      <c r="C752" s="2798">
        <v>324.02</v>
      </c>
      <c r="D752" s="2798">
        <v>11321.37</v>
      </c>
      <c r="E752" s="2798">
        <v>2488.21</v>
      </c>
    </row>
    <row r="753" spans="1:5">
      <c r="A753" s="2801">
        <v>44724</v>
      </c>
      <c r="B753" s="2798"/>
      <c r="C753" s="2798"/>
      <c r="D753" s="2798"/>
      <c r="E753" s="2798"/>
    </row>
    <row r="754" spans="1:5">
      <c r="A754" s="2801">
        <v>44723</v>
      </c>
      <c r="B754" s="2798"/>
      <c r="C754" s="2798"/>
      <c r="D754" s="2798"/>
      <c r="E754" s="2798"/>
    </row>
    <row r="755" spans="1:5">
      <c r="A755" s="2801">
        <v>44722</v>
      </c>
      <c r="B755" s="2798">
        <v>32757.15</v>
      </c>
      <c r="C755" s="2798">
        <v>332.88</v>
      </c>
      <c r="D755" s="2798">
        <v>11751.25</v>
      </c>
      <c r="E755" s="2798">
        <v>2581.52</v>
      </c>
    </row>
    <row r="756" spans="1:5">
      <c r="A756" s="2801">
        <v>44721</v>
      </c>
      <c r="B756" s="2798">
        <v>33076.129999999997</v>
      </c>
      <c r="C756" s="2798">
        <v>332.2</v>
      </c>
      <c r="D756" s="2798">
        <v>12107.42</v>
      </c>
      <c r="E756" s="2798">
        <v>2611.87</v>
      </c>
    </row>
    <row r="757" spans="1:5">
      <c r="A757" s="2801">
        <v>44720</v>
      </c>
      <c r="B757" s="2798">
        <v>33166.379999999997</v>
      </c>
      <c r="C757" s="2798">
        <v>329.42</v>
      </c>
      <c r="D757" s="2798">
        <v>12379.57</v>
      </c>
      <c r="E757" s="2798">
        <v>2627.78</v>
      </c>
    </row>
    <row r="758" spans="1:5">
      <c r="A758" s="2801">
        <v>44719</v>
      </c>
      <c r="B758" s="2798">
        <v>32848.69</v>
      </c>
      <c r="C758" s="2798">
        <v>328.4</v>
      </c>
      <c r="D758" s="2798">
        <v>12477.11</v>
      </c>
      <c r="E758" s="2798">
        <v>2596.34</v>
      </c>
    </row>
    <row r="759" spans="1:5">
      <c r="A759" s="2801">
        <v>44718</v>
      </c>
      <c r="B759" s="2798">
        <v>33033.839999999997</v>
      </c>
      <c r="C759" s="2798">
        <v>328.67</v>
      </c>
      <c r="D759" s="2798">
        <v>12407.51</v>
      </c>
      <c r="E759" s="2798">
        <v>2621.27</v>
      </c>
    </row>
    <row r="760" spans="1:5">
      <c r="A760" s="2801">
        <v>44717</v>
      </c>
      <c r="B760" s="2798"/>
      <c r="C760" s="2798"/>
      <c r="D760" s="2798"/>
      <c r="E760" s="2798"/>
    </row>
    <row r="761" spans="1:5">
      <c r="A761" s="2801">
        <v>44716</v>
      </c>
      <c r="B761" s="2798"/>
      <c r="C761" s="2798"/>
      <c r="D761" s="2798"/>
      <c r="E761" s="2798"/>
    </row>
    <row r="762" spans="1:5">
      <c r="A762" s="2801">
        <v>44715</v>
      </c>
      <c r="B762" s="2798"/>
      <c r="C762" s="2798"/>
      <c r="D762" s="2798">
        <v>12359.28</v>
      </c>
      <c r="E762" s="2798">
        <v>2595.11</v>
      </c>
    </row>
    <row r="763" spans="1:5">
      <c r="A763" s="2801">
        <v>44714</v>
      </c>
      <c r="B763" s="2798">
        <v>32926.800000000003</v>
      </c>
      <c r="C763" s="2798">
        <v>328.93</v>
      </c>
      <c r="D763" s="2798">
        <v>12513.83</v>
      </c>
      <c r="E763" s="2798">
        <v>2596.77</v>
      </c>
    </row>
    <row r="764" spans="1:5">
      <c r="A764" s="2801">
        <v>44713</v>
      </c>
      <c r="B764" s="2798">
        <v>33169.15</v>
      </c>
      <c r="C764" s="2798">
        <v>330.08</v>
      </c>
      <c r="D764" s="2798">
        <v>12318.41</v>
      </c>
      <c r="E764" s="2798">
        <v>2612.16</v>
      </c>
    </row>
    <row r="765" spans="1:5">
      <c r="A765" s="2801">
        <v>44712</v>
      </c>
      <c r="B765" s="2798">
        <v>33432.03</v>
      </c>
      <c r="C765" s="2798">
        <v>328.3</v>
      </c>
      <c r="D765" s="2798">
        <v>12408.09</v>
      </c>
      <c r="E765" s="2798">
        <v>2635.33</v>
      </c>
    </row>
    <row r="766" spans="1:5">
      <c r="A766" s="2801">
        <v>44711</v>
      </c>
      <c r="B766" s="2798">
        <v>33038.79</v>
      </c>
      <c r="C766" s="2798">
        <v>326.11</v>
      </c>
      <c r="D766" s="2798">
        <v>12512.65</v>
      </c>
      <c r="E766" s="2798">
        <v>2603.37</v>
      </c>
    </row>
    <row r="767" spans="1:5">
      <c r="A767" s="2801">
        <v>44710</v>
      </c>
      <c r="B767" s="2798"/>
      <c r="C767" s="2798"/>
      <c r="D767" s="2798"/>
      <c r="E767" s="2798"/>
    </row>
    <row r="768" spans="1:5">
      <c r="A768" s="2801">
        <v>44709</v>
      </c>
      <c r="B768" s="2798"/>
      <c r="C768" s="2798"/>
      <c r="D768" s="2798"/>
      <c r="E768" s="2798"/>
    </row>
    <row r="769" spans="1:5">
      <c r="A769" s="2801">
        <v>44708</v>
      </c>
      <c r="B769" s="2798">
        <v>32353.78</v>
      </c>
      <c r="C769" s="2798">
        <v>319.27</v>
      </c>
      <c r="D769" s="2798">
        <v>12457.68</v>
      </c>
      <c r="E769" s="2798">
        <v>2549.61</v>
      </c>
    </row>
    <row r="770" spans="1:5">
      <c r="A770" s="2801">
        <v>44707</v>
      </c>
      <c r="B770" s="2798">
        <v>31762</v>
      </c>
      <c r="C770" s="2798">
        <v>313.45</v>
      </c>
      <c r="D770" s="2798">
        <v>12195.57</v>
      </c>
      <c r="E770" s="2798">
        <v>2499.7600000000002</v>
      </c>
    </row>
    <row r="771" spans="1:5">
      <c r="A771" s="2801">
        <v>44706</v>
      </c>
      <c r="B771" s="2798">
        <v>32030.51</v>
      </c>
      <c r="C771" s="2798">
        <v>315.63</v>
      </c>
      <c r="D771" s="2798">
        <v>11999.86</v>
      </c>
      <c r="E771" s="2798">
        <v>2491.41</v>
      </c>
    </row>
    <row r="772" spans="1:5">
      <c r="A772" s="2801">
        <v>44705</v>
      </c>
      <c r="B772" s="2798">
        <v>31751.26</v>
      </c>
      <c r="C772" s="2798">
        <v>312.22000000000003</v>
      </c>
      <c r="D772" s="2798">
        <v>11912.13</v>
      </c>
      <c r="E772" s="2798">
        <v>2484.86</v>
      </c>
    </row>
    <row r="773" spans="1:5">
      <c r="A773" s="2801">
        <v>44704</v>
      </c>
      <c r="B773" s="2798">
        <v>32133.18</v>
      </c>
      <c r="C773" s="2798">
        <v>319.45</v>
      </c>
      <c r="D773" s="2798">
        <v>12008.04</v>
      </c>
      <c r="E773" s="2798">
        <v>2524.77</v>
      </c>
    </row>
    <row r="774" spans="1:5">
      <c r="A774" s="2801">
        <v>44703</v>
      </c>
      <c r="B774" s="2798"/>
      <c r="C774" s="2798"/>
      <c r="D774" s="2798"/>
      <c r="E774" s="2798"/>
    </row>
    <row r="775" spans="1:5">
      <c r="A775" s="2801">
        <v>44702</v>
      </c>
      <c r="B775" s="2798"/>
      <c r="C775" s="2798"/>
      <c r="D775" s="2798"/>
      <c r="E775" s="2798"/>
    </row>
    <row r="776" spans="1:5">
      <c r="A776" s="2801">
        <v>44701</v>
      </c>
      <c r="B776" s="2798">
        <v>32110.18</v>
      </c>
      <c r="C776" s="2798">
        <v>320.45999999999998</v>
      </c>
      <c r="D776" s="2798">
        <v>11798.6</v>
      </c>
      <c r="E776" s="2798">
        <v>2526.48</v>
      </c>
    </row>
    <row r="777" spans="1:5">
      <c r="A777" s="2801">
        <v>44700</v>
      </c>
      <c r="B777" s="2798">
        <v>31862.52</v>
      </c>
      <c r="C777" s="2798">
        <v>319.56</v>
      </c>
      <c r="D777" s="2798">
        <v>11778.82</v>
      </c>
      <c r="E777" s="2798">
        <v>2476.0500000000002</v>
      </c>
    </row>
    <row r="778" spans="1:5">
      <c r="A778" s="2801">
        <v>44699</v>
      </c>
      <c r="B778" s="2798">
        <v>32412.52</v>
      </c>
      <c r="C778" s="2798">
        <v>320.56</v>
      </c>
      <c r="D778" s="2798">
        <v>11835.33</v>
      </c>
      <c r="E778" s="2798">
        <v>2520</v>
      </c>
    </row>
    <row r="779" spans="1:5">
      <c r="A779" s="2801">
        <v>44698</v>
      </c>
      <c r="B779" s="2798">
        <v>31933.66</v>
      </c>
      <c r="C779" s="2798">
        <v>317.72000000000003</v>
      </c>
      <c r="D779" s="2798">
        <v>12196.44</v>
      </c>
      <c r="E779" s="2798">
        <v>2514.17</v>
      </c>
    </row>
    <row r="780" spans="1:5">
      <c r="A780" s="2801">
        <v>44697</v>
      </c>
      <c r="B780" s="2798">
        <v>31625.29</v>
      </c>
      <c r="C780" s="2798">
        <v>312.57</v>
      </c>
      <c r="D780" s="2798">
        <v>11960.51</v>
      </c>
      <c r="E780" s="2798">
        <v>2457.1</v>
      </c>
    </row>
    <row r="781" spans="1:5">
      <c r="A781" s="2801">
        <v>44696</v>
      </c>
      <c r="B781" s="2798"/>
      <c r="C781" s="2798"/>
      <c r="D781" s="2798"/>
      <c r="E781" s="2798"/>
    </row>
    <row r="782" spans="1:5">
      <c r="A782" s="2801">
        <v>44695</v>
      </c>
      <c r="B782" s="2798"/>
      <c r="C782" s="2798"/>
      <c r="D782" s="2798"/>
      <c r="E782" s="2798"/>
    </row>
    <row r="783" spans="1:5">
      <c r="A783" s="2801">
        <v>44694</v>
      </c>
      <c r="B783" s="2798">
        <v>31489.040000000001</v>
      </c>
      <c r="C783" s="2798">
        <v>311.7</v>
      </c>
      <c r="D783" s="2798">
        <v>11991.77</v>
      </c>
      <c r="E783" s="2798">
        <v>2449.69</v>
      </c>
    </row>
    <row r="784" spans="1:5">
      <c r="A784" s="2801">
        <v>44693</v>
      </c>
      <c r="B784" s="2798">
        <v>31059.72</v>
      </c>
      <c r="C784" s="2798">
        <v>304.83999999999997</v>
      </c>
      <c r="D784" s="2798">
        <v>11716.37</v>
      </c>
      <c r="E784" s="2798">
        <v>2408.87</v>
      </c>
    </row>
    <row r="785" spans="1:5">
      <c r="A785" s="2801">
        <v>44692</v>
      </c>
      <c r="B785" s="2798">
        <v>31834.54</v>
      </c>
      <c r="C785" s="2798">
        <v>311.14</v>
      </c>
      <c r="D785" s="2798">
        <v>11768.76</v>
      </c>
      <c r="E785" s="2798">
        <v>2465.8000000000002</v>
      </c>
    </row>
    <row r="786" spans="1:5">
      <c r="A786" s="2801">
        <v>44691</v>
      </c>
      <c r="B786" s="2798">
        <v>31944.81</v>
      </c>
      <c r="C786" s="2798">
        <v>311.81</v>
      </c>
      <c r="D786" s="2798">
        <v>11876.64</v>
      </c>
      <c r="E786" s="2798">
        <v>2456.04</v>
      </c>
    </row>
    <row r="787" spans="1:5">
      <c r="A787" s="2801">
        <v>44690</v>
      </c>
      <c r="B787" s="2798">
        <v>31919.41</v>
      </c>
      <c r="C787" s="2798">
        <v>309.62</v>
      </c>
      <c r="D787" s="2798">
        <v>11851.87</v>
      </c>
      <c r="E787" s="2798">
        <v>2474.1799999999998</v>
      </c>
    </row>
    <row r="788" spans="1:5">
      <c r="A788" s="2801">
        <v>44689</v>
      </c>
      <c r="B788" s="2798"/>
      <c r="C788" s="2798"/>
      <c r="D788" s="2798"/>
      <c r="E788" s="2798"/>
    </row>
    <row r="789" spans="1:5">
      <c r="A789" s="2801">
        <v>44688</v>
      </c>
      <c r="B789" s="2798"/>
      <c r="C789" s="2798"/>
      <c r="D789" s="2798"/>
      <c r="E789" s="2798"/>
    </row>
    <row r="790" spans="1:5">
      <c r="A790" s="2801">
        <v>44687</v>
      </c>
      <c r="B790" s="2798">
        <v>32633.97</v>
      </c>
      <c r="C790" s="2798">
        <v>318.01</v>
      </c>
      <c r="D790" s="2798">
        <v>12250.9</v>
      </c>
      <c r="E790" s="2798">
        <v>2515.12</v>
      </c>
    </row>
    <row r="791" spans="1:5">
      <c r="A791" s="2801">
        <v>44686</v>
      </c>
      <c r="B791" s="2798">
        <v>33206.589999999997</v>
      </c>
      <c r="C791" s="2798">
        <v>321.87</v>
      </c>
      <c r="D791" s="2798">
        <v>12344.85</v>
      </c>
      <c r="E791" s="2798">
        <v>2581.1999999999998</v>
      </c>
    </row>
    <row r="792" spans="1:5">
      <c r="A792" s="2801">
        <v>44685</v>
      </c>
      <c r="B792" s="2798">
        <v>32947.47</v>
      </c>
      <c r="C792" s="2798">
        <v>316.39</v>
      </c>
      <c r="D792" s="2798">
        <v>12698.47</v>
      </c>
      <c r="E792" s="2798">
        <v>2593.54</v>
      </c>
    </row>
    <row r="793" spans="1:5">
      <c r="A793" s="2801">
        <v>44684</v>
      </c>
      <c r="B793" s="2798">
        <v>32814.36</v>
      </c>
      <c r="C793" s="2798">
        <v>316.39</v>
      </c>
      <c r="D793" s="2798">
        <v>12456.03</v>
      </c>
      <c r="E793" s="2798">
        <v>2606.48</v>
      </c>
    </row>
    <row r="794" spans="1:5">
      <c r="A794" s="2801">
        <v>44683</v>
      </c>
      <c r="B794" s="2798"/>
      <c r="C794" s="2798"/>
      <c r="D794" s="2798">
        <v>12395.33</v>
      </c>
      <c r="E794" s="2798">
        <v>2614.5100000000002</v>
      </c>
    </row>
    <row r="795" spans="1:5">
      <c r="A795" s="2801">
        <v>44682</v>
      </c>
      <c r="B795" s="2798"/>
      <c r="C795" s="2798"/>
      <c r="D795" s="2798"/>
      <c r="E795" s="2798"/>
    </row>
    <row r="796" spans="1:5">
      <c r="A796" s="2801">
        <v>44681</v>
      </c>
      <c r="B796" s="2798"/>
      <c r="C796" s="2798"/>
      <c r="D796" s="2798"/>
      <c r="E796" s="2798"/>
    </row>
    <row r="797" spans="1:5">
      <c r="A797" s="2801">
        <v>44680</v>
      </c>
      <c r="B797" s="2798">
        <v>32999.879999999997</v>
      </c>
      <c r="C797" s="2798">
        <v>315.82</v>
      </c>
      <c r="D797" s="2798">
        <v>12389.19</v>
      </c>
      <c r="E797" s="2798">
        <v>2623.13</v>
      </c>
    </row>
    <row r="798" spans="1:5">
      <c r="A798" s="2801">
        <v>44679</v>
      </c>
      <c r="B798" s="2798">
        <v>32656.2</v>
      </c>
      <c r="C798" s="2798">
        <v>313.60000000000002</v>
      </c>
      <c r="D798" s="2798">
        <v>12679.58</v>
      </c>
      <c r="E798" s="2798">
        <v>2568.37</v>
      </c>
    </row>
    <row r="799" spans="1:5">
      <c r="A799" s="2801">
        <v>44678</v>
      </c>
      <c r="B799" s="2798">
        <v>32425.21</v>
      </c>
      <c r="C799" s="2798">
        <v>311.36</v>
      </c>
      <c r="D799" s="2798">
        <v>12438.42</v>
      </c>
      <c r="E799" s="2798">
        <v>2543.54</v>
      </c>
    </row>
    <row r="800" spans="1:5">
      <c r="A800" s="2801">
        <v>44677</v>
      </c>
      <c r="B800" s="2798">
        <v>33104.28</v>
      </c>
      <c r="C800" s="2798">
        <v>315.56</v>
      </c>
      <c r="D800" s="2798">
        <v>12452.6</v>
      </c>
      <c r="E800" s="2798">
        <v>2557.16</v>
      </c>
    </row>
    <row r="801" spans="1:5">
      <c r="A801" s="2801">
        <v>44676</v>
      </c>
      <c r="B801" s="2798">
        <v>33056.78</v>
      </c>
      <c r="C801" s="2798">
        <v>317.83</v>
      </c>
      <c r="D801" s="2798">
        <v>12746.6</v>
      </c>
      <c r="E801" s="2798">
        <v>2548.96</v>
      </c>
    </row>
    <row r="802" spans="1:5">
      <c r="A802" s="2801">
        <v>44675</v>
      </c>
      <c r="B802" s="2798"/>
      <c r="C802" s="2798"/>
      <c r="D802" s="2798"/>
      <c r="E802" s="2798"/>
    </row>
    <row r="803" spans="1:5">
      <c r="A803" s="2801">
        <v>44674</v>
      </c>
      <c r="B803" s="2798"/>
      <c r="C803" s="2798"/>
      <c r="D803" s="2798"/>
      <c r="E803" s="2798"/>
    </row>
    <row r="804" spans="1:5">
      <c r="A804" s="2801">
        <v>44673</v>
      </c>
      <c r="B804" s="2798">
        <v>33860.660000000003</v>
      </c>
      <c r="C804" s="2798">
        <v>329.91</v>
      </c>
      <c r="D804" s="2798">
        <v>12766.81</v>
      </c>
      <c r="E804" s="2798">
        <v>2620.8000000000002</v>
      </c>
    </row>
    <row r="805" spans="1:5">
      <c r="A805" s="2801">
        <v>44672</v>
      </c>
      <c r="B805" s="2798">
        <v>34059.54</v>
      </c>
      <c r="C805" s="2798">
        <v>335.35</v>
      </c>
      <c r="D805" s="2798">
        <v>13109.14</v>
      </c>
      <c r="E805" s="2798">
        <v>2648.26</v>
      </c>
    </row>
    <row r="806" spans="1:5">
      <c r="A806" s="2801">
        <v>44671</v>
      </c>
      <c r="B806" s="2798">
        <v>34097.96</v>
      </c>
      <c r="C806" s="2798">
        <v>332.94</v>
      </c>
      <c r="D806" s="2798">
        <v>13261.36</v>
      </c>
      <c r="E806" s="2798">
        <v>2669.45</v>
      </c>
    </row>
    <row r="807" spans="1:5">
      <c r="A807" s="2801">
        <v>44670</v>
      </c>
      <c r="B807" s="2798">
        <v>33788.800000000003</v>
      </c>
      <c r="C807" s="2798">
        <v>331.73</v>
      </c>
      <c r="D807" s="2798">
        <v>13217.21</v>
      </c>
      <c r="E807" s="2798">
        <v>2670.06</v>
      </c>
    </row>
    <row r="808" spans="1:5">
      <c r="A808" s="2801">
        <v>44669</v>
      </c>
      <c r="B808" s="2798">
        <v>33600.85</v>
      </c>
      <c r="C808" s="2798">
        <v>330.7</v>
      </c>
      <c r="D808" s="2798">
        <v>13079.76</v>
      </c>
      <c r="E808" s="2798">
        <v>2696.03</v>
      </c>
    </row>
    <row r="809" spans="1:5">
      <c r="A809" s="2801">
        <v>44668</v>
      </c>
      <c r="B809" s="2798"/>
      <c r="C809" s="2798"/>
      <c r="D809" s="2798"/>
      <c r="E809" s="2798"/>
    </row>
    <row r="810" spans="1:5">
      <c r="A810" s="2801">
        <v>44667</v>
      </c>
      <c r="B810" s="2798"/>
      <c r="C810" s="2798"/>
      <c r="D810" s="2798"/>
      <c r="E810" s="2798"/>
    </row>
    <row r="811" spans="1:5">
      <c r="A811" s="2801">
        <v>44666</v>
      </c>
      <c r="B811" s="2798">
        <v>33810.230000000003</v>
      </c>
      <c r="C811" s="2798">
        <v>331.02</v>
      </c>
      <c r="D811" s="2798">
        <v>13104.2</v>
      </c>
      <c r="E811" s="2798">
        <v>2710.89</v>
      </c>
    </row>
    <row r="812" spans="1:5">
      <c r="A812" s="2801">
        <v>44665</v>
      </c>
      <c r="B812" s="2798">
        <v>34289.39</v>
      </c>
      <c r="C812" s="2798">
        <v>336.87</v>
      </c>
      <c r="D812" s="2798">
        <v>13108.48</v>
      </c>
      <c r="E812" s="2798">
        <v>2721.77</v>
      </c>
    </row>
    <row r="813" spans="1:5">
      <c r="A813" s="2801">
        <v>44664</v>
      </c>
      <c r="B813" s="2798">
        <v>34398.910000000003</v>
      </c>
      <c r="C813" s="2798">
        <v>336.38</v>
      </c>
      <c r="D813" s="2798">
        <v>13216.23</v>
      </c>
      <c r="E813" s="2798">
        <v>2724.26</v>
      </c>
    </row>
    <row r="814" spans="1:5">
      <c r="A814" s="2801">
        <v>44663</v>
      </c>
      <c r="B814" s="2798">
        <v>33780.76</v>
      </c>
      <c r="C814" s="2798">
        <v>332.34</v>
      </c>
      <c r="D814" s="2798">
        <v>13102.62</v>
      </c>
      <c r="E814" s="2798">
        <v>2702.18</v>
      </c>
    </row>
    <row r="815" spans="1:5">
      <c r="A815" s="2801">
        <v>44662</v>
      </c>
      <c r="B815" s="2798">
        <v>33895</v>
      </c>
      <c r="C815" s="2798">
        <v>334.98</v>
      </c>
      <c r="D815" s="2798">
        <v>13157.8</v>
      </c>
      <c r="E815" s="2798">
        <v>2705.5</v>
      </c>
    </row>
    <row r="816" spans="1:5">
      <c r="A816" s="2801">
        <v>44661</v>
      </c>
      <c r="B816" s="2798"/>
      <c r="C816" s="2798"/>
      <c r="D816" s="2798"/>
      <c r="E816" s="2798"/>
    </row>
    <row r="817" spans="1:5">
      <c r="A817" s="2801">
        <v>44660</v>
      </c>
      <c r="B817" s="2798"/>
      <c r="C817" s="2798"/>
      <c r="D817" s="2798"/>
      <c r="E817" s="2798"/>
    </row>
    <row r="818" spans="1:5">
      <c r="A818" s="2801">
        <v>44659</v>
      </c>
      <c r="B818" s="2798">
        <v>34364.54</v>
      </c>
      <c r="C818" s="2798">
        <v>342.02</v>
      </c>
      <c r="D818" s="2798">
        <v>13331.84</v>
      </c>
      <c r="E818" s="2798">
        <v>2744.61</v>
      </c>
    </row>
    <row r="819" spans="1:5">
      <c r="A819" s="2801">
        <v>44658</v>
      </c>
      <c r="B819" s="2798">
        <v>34153.06</v>
      </c>
      <c r="C819" s="2798">
        <v>340.37</v>
      </c>
      <c r="D819" s="2798">
        <v>13338.55</v>
      </c>
      <c r="E819" s="2798">
        <v>2740.06</v>
      </c>
    </row>
    <row r="820" spans="1:5">
      <c r="A820" s="2801">
        <v>44657</v>
      </c>
      <c r="B820" s="2798">
        <v>34830.44</v>
      </c>
      <c r="C820" s="2798">
        <v>348.1</v>
      </c>
      <c r="D820" s="2798">
        <v>13327.59</v>
      </c>
      <c r="E820" s="2798">
        <v>2779.82</v>
      </c>
    </row>
    <row r="821" spans="1:5">
      <c r="A821" s="2801">
        <v>44656</v>
      </c>
      <c r="B821" s="2798"/>
      <c r="C821" s="2798"/>
      <c r="D821" s="2798">
        <v>13491.54</v>
      </c>
      <c r="E821" s="2798">
        <v>2813.96</v>
      </c>
    </row>
    <row r="822" spans="1:5">
      <c r="A822" s="2801">
        <v>44655</v>
      </c>
      <c r="B822" s="2798"/>
      <c r="C822" s="2798"/>
      <c r="D822" s="2798">
        <v>13631.52</v>
      </c>
      <c r="E822" s="2798">
        <v>2825.68</v>
      </c>
    </row>
    <row r="823" spans="1:5">
      <c r="A823" s="2801">
        <v>44654</v>
      </c>
      <c r="B823" s="2798"/>
      <c r="C823" s="2798"/>
      <c r="D823" s="2798"/>
      <c r="E823" s="2798"/>
    </row>
    <row r="824" spans="1:5">
      <c r="A824" s="2801">
        <v>44653</v>
      </c>
      <c r="B824" s="2798"/>
      <c r="C824" s="2798"/>
      <c r="D824" s="2798"/>
      <c r="E824" s="2798"/>
    </row>
    <row r="825" spans="1:5">
      <c r="A825" s="2801">
        <v>44652</v>
      </c>
      <c r="B825" s="2798">
        <v>35035.360000000001</v>
      </c>
      <c r="C825" s="2798">
        <v>350.39</v>
      </c>
      <c r="D825" s="2798">
        <v>13523.65</v>
      </c>
      <c r="E825" s="2798">
        <v>2787.11</v>
      </c>
    </row>
    <row r="826" spans="1:5">
      <c r="A826" s="2801">
        <v>44651</v>
      </c>
      <c r="B826" s="2798">
        <v>35170.14</v>
      </c>
      <c r="C826" s="2798">
        <v>351.2</v>
      </c>
      <c r="D826" s="2798">
        <v>13505.74</v>
      </c>
      <c r="E826" s="2798">
        <v>2777.19</v>
      </c>
    </row>
    <row r="827" spans="1:5">
      <c r="A827" s="2801">
        <v>44650</v>
      </c>
      <c r="B827" s="2798">
        <v>35261.35</v>
      </c>
      <c r="C827" s="2798">
        <v>353.26</v>
      </c>
      <c r="D827" s="2798">
        <v>13697.22</v>
      </c>
      <c r="E827" s="2798">
        <v>2795.47</v>
      </c>
    </row>
    <row r="828" spans="1:5">
      <c r="A828" s="2801">
        <v>44649</v>
      </c>
      <c r="B828" s="2798">
        <v>34879.65</v>
      </c>
      <c r="C828" s="2798">
        <v>351</v>
      </c>
      <c r="D828" s="2798">
        <v>13748.97</v>
      </c>
      <c r="E828" s="2798">
        <v>2763.01</v>
      </c>
    </row>
    <row r="829" spans="1:5">
      <c r="A829" s="2801">
        <v>44648</v>
      </c>
      <c r="B829" s="2798">
        <v>34822.699999999997</v>
      </c>
      <c r="C829" s="2798">
        <v>348.52</v>
      </c>
      <c r="D829" s="2798">
        <v>13531.42</v>
      </c>
      <c r="E829" s="2798">
        <v>2734.52</v>
      </c>
    </row>
    <row r="830" spans="1:5">
      <c r="A830" s="2801">
        <v>44647</v>
      </c>
      <c r="B830" s="2798"/>
      <c r="C830" s="2798"/>
      <c r="D830" s="2798"/>
      <c r="E830" s="2798"/>
    </row>
    <row r="831" spans="1:5">
      <c r="A831" s="2801">
        <v>44646</v>
      </c>
      <c r="B831" s="2798"/>
      <c r="C831" s="2798"/>
      <c r="D831" s="2798"/>
      <c r="E831" s="2798"/>
    </row>
    <row r="832" spans="1:5">
      <c r="A832" s="2801">
        <v>44645</v>
      </c>
      <c r="B832" s="2798">
        <v>35134.44</v>
      </c>
      <c r="C832" s="2798">
        <v>349.99</v>
      </c>
      <c r="D832" s="2798">
        <v>13475.54</v>
      </c>
      <c r="E832" s="2798">
        <v>2734.64</v>
      </c>
    </row>
    <row r="833" spans="1:5">
      <c r="A833" s="2801">
        <v>44644</v>
      </c>
      <c r="B833" s="2798">
        <v>35172.9</v>
      </c>
      <c r="C833" s="2798">
        <v>352.07</v>
      </c>
      <c r="D833" s="2798">
        <v>13440.36</v>
      </c>
      <c r="E833" s="2798">
        <v>2763.37</v>
      </c>
    </row>
    <row r="834" spans="1:5">
      <c r="A834" s="2801">
        <v>44643</v>
      </c>
      <c r="B834" s="2798">
        <v>35233.75</v>
      </c>
      <c r="C834" s="2798">
        <v>350.68</v>
      </c>
      <c r="D834" s="2798">
        <v>13311.91</v>
      </c>
      <c r="E834" s="2798">
        <v>2772.44</v>
      </c>
    </row>
    <row r="835" spans="1:5">
      <c r="A835" s="2801">
        <v>44642</v>
      </c>
      <c r="B835" s="2798">
        <v>34892.65</v>
      </c>
      <c r="C835" s="2798">
        <v>347.45</v>
      </c>
      <c r="D835" s="2798">
        <v>13432.92</v>
      </c>
      <c r="E835" s="2798">
        <v>2749.4</v>
      </c>
    </row>
    <row r="836" spans="1:5">
      <c r="A836" s="2801">
        <v>44641</v>
      </c>
      <c r="B836" s="2798">
        <v>34893.919999999998</v>
      </c>
      <c r="C836" s="2798">
        <v>345.62</v>
      </c>
      <c r="D836" s="2798">
        <v>13298.66</v>
      </c>
      <c r="E836" s="2798">
        <v>2710</v>
      </c>
    </row>
    <row r="837" spans="1:5">
      <c r="A837" s="2801">
        <v>44640</v>
      </c>
      <c r="B837" s="2798"/>
      <c r="C837" s="2798"/>
      <c r="D837" s="2798"/>
      <c r="E837" s="2798"/>
    </row>
    <row r="838" spans="1:5">
      <c r="A838" s="2801">
        <v>44639</v>
      </c>
      <c r="B838" s="2798"/>
      <c r="C838" s="2798"/>
      <c r="D838" s="2798"/>
      <c r="E838" s="2798"/>
    </row>
    <row r="839" spans="1:5">
      <c r="A839" s="2801">
        <v>44638</v>
      </c>
      <c r="B839" s="2798">
        <v>34687.58</v>
      </c>
      <c r="C839" s="2798">
        <v>344.93</v>
      </c>
      <c r="D839" s="2798">
        <v>13300.4</v>
      </c>
      <c r="E839" s="2798">
        <v>2728.48</v>
      </c>
    </row>
    <row r="840" spans="1:5">
      <c r="A840" s="2801">
        <v>44637</v>
      </c>
      <c r="B840" s="2798">
        <v>34667.35</v>
      </c>
      <c r="C840" s="2798">
        <v>342.08</v>
      </c>
      <c r="D840" s="2798">
        <v>13170.86</v>
      </c>
      <c r="E840" s="2798">
        <v>2723.42</v>
      </c>
    </row>
    <row r="841" spans="1:5">
      <c r="A841" s="2801">
        <v>44636</v>
      </c>
      <c r="B841" s="2798">
        <v>33658.870000000003</v>
      </c>
      <c r="C841" s="2798">
        <v>330.27</v>
      </c>
      <c r="D841" s="2798">
        <v>12968.81</v>
      </c>
      <c r="E841" s="2798">
        <v>2626.34</v>
      </c>
    </row>
    <row r="842" spans="1:5">
      <c r="A842" s="2801">
        <v>44635</v>
      </c>
      <c r="B842" s="2798">
        <v>33582.800000000003</v>
      </c>
      <c r="C842" s="2798">
        <v>328.61</v>
      </c>
      <c r="D842" s="2798">
        <v>12656.56</v>
      </c>
      <c r="E842" s="2798">
        <v>2493.34</v>
      </c>
    </row>
    <row r="843" spans="1:5">
      <c r="A843" s="2801">
        <v>44634</v>
      </c>
      <c r="B843" s="2798">
        <v>34247.9</v>
      </c>
      <c r="C843" s="2798">
        <v>339.37</v>
      </c>
      <c r="D843" s="2798">
        <v>12482.26</v>
      </c>
      <c r="E843" s="2798">
        <v>2561.73</v>
      </c>
    </row>
    <row r="844" spans="1:5">
      <c r="A844" s="2801">
        <v>44633</v>
      </c>
      <c r="B844" s="2798"/>
      <c r="C844" s="2798"/>
      <c r="D844" s="2798"/>
      <c r="E844" s="2798"/>
    </row>
    <row r="845" spans="1:5">
      <c r="A845" s="2801">
        <v>44632</v>
      </c>
      <c r="B845" s="2798"/>
      <c r="C845" s="2798"/>
      <c r="D845" s="2798"/>
      <c r="E845" s="2798"/>
    </row>
    <row r="846" spans="1:5">
      <c r="A846" s="2801">
        <v>44631</v>
      </c>
      <c r="B846" s="2798">
        <v>34251.26</v>
      </c>
      <c r="C846" s="2798">
        <v>339.3</v>
      </c>
      <c r="D846" s="2798">
        <v>12540.02</v>
      </c>
      <c r="E846" s="2798">
        <v>2635.94</v>
      </c>
    </row>
    <row r="847" spans="1:5">
      <c r="A847" s="2801">
        <v>44630</v>
      </c>
      <c r="B847" s="2798">
        <v>34585.32</v>
      </c>
      <c r="C847" s="2798">
        <v>341.34</v>
      </c>
      <c r="D847" s="2798">
        <v>12678.4</v>
      </c>
      <c r="E847" s="2798">
        <v>2676.85</v>
      </c>
    </row>
    <row r="848" spans="1:5">
      <c r="A848" s="2801">
        <v>44629</v>
      </c>
      <c r="B848" s="2798">
        <v>33756.370000000003</v>
      </c>
      <c r="C848" s="2798">
        <v>334.82</v>
      </c>
      <c r="D848" s="2798">
        <v>12720.01</v>
      </c>
      <c r="E848" s="2798">
        <v>2647.42</v>
      </c>
    </row>
    <row r="849" spans="1:5">
      <c r="A849" s="2801">
        <v>44628</v>
      </c>
      <c r="B849" s="2798">
        <v>33379.22</v>
      </c>
      <c r="C849" s="2798">
        <v>328.9</v>
      </c>
      <c r="D849" s="2798">
        <v>12347.3</v>
      </c>
      <c r="E849" s="2798">
        <v>2658.65</v>
      </c>
    </row>
    <row r="850" spans="1:5">
      <c r="A850" s="2801">
        <v>44627</v>
      </c>
      <c r="B850" s="2798">
        <v>34080.400000000001</v>
      </c>
      <c r="C850" s="2798">
        <v>337.31</v>
      </c>
      <c r="D850" s="2798">
        <v>12441.75</v>
      </c>
      <c r="E850" s="2798">
        <v>2685.88</v>
      </c>
    </row>
    <row r="851" spans="1:5">
      <c r="A851" s="2801">
        <v>44626</v>
      </c>
      <c r="B851" s="2798"/>
      <c r="C851" s="2798"/>
      <c r="D851" s="2798"/>
      <c r="E851" s="2798"/>
    </row>
    <row r="852" spans="1:5">
      <c r="A852" s="2801">
        <v>44625</v>
      </c>
      <c r="B852" s="2798"/>
      <c r="C852" s="2798"/>
      <c r="D852" s="2798"/>
      <c r="E852" s="2798"/>
    </row>
    <row r="853" spans="1:5">
      <c r="A853" s="2801">
        <v>44624</v>
      </c>
      <c r="B853" s="2798">
        <v>35187.07</v>
      </c>
      <c r="C853" s="2798">
        <v>351.1</v>
      </c>
      <c r="D853" s="2798">
        <v>12781.08</v>
      </c>
      <c r="E853" s="2798">
        <v>2776.86</v>
      </c>
    </row>
    <row r="854" spans="1:5">
      <c r="A854" s="2801">
        <v>44623</v>
      </c>
      <c r="B854" s="2798">
        <v>35579.629999999997</v>
      </c>
      <c r="C854" s="2798">
        <v>355.07</v>
      </c>
      <c r="D854" s="2798">
        <v>12983.02</v>
      </c>
      <c r="E854" s="2798">
        <v>2843.75</v>
      </c>
    </row>
    <row r="855" spans="1:5">
      <c r="A855" s="2801">
        <v>44622</v>
      </c>
      <c r="B855" s="2798">
        <v>35447.120000000003</v>
      </c>
      <c r="C855" s="2798">
        <v>354.13</v>
      </c>
      <c r="D855" s="2798">
        <v>13077.55</v>
      </c>
      <c r="E855" s="2798">
        <v>2833.47</v>
      </c>
    </row>
    <row r="856" spans="1:5">
      <c r="A856" s="2801">
        <v>44621</v>
      </c>
      <c r="B856" s="2798">
        <v>35507.910000000003</v>
      </c>
      <c r="C856" s="2798">
        <v>353.14</v>
      </c>
      <c r="D856" s="2798">
        <v>12929.27</v>
      </c>
      <c r="E856" s="2798">
        <v>2852.81</v>
      </c>
    </row>
    <row r="857" spans="1:5">
      <c r="A857" s="2801">
        <v>44620</v>
      </c>
      <c r="B857" s="2798"/>
      <c r="C857" s="2798"/>
      <c r="D857" s="2798">
        <v>13137.03</v>
      </c>
      <c r="E857" s="2798">
        <v>2840.36</v>
      </c>
    </row>
    <row r="858" spans="1:5">
      <c r="A858" s="2801">
        <v>44619</v>
      </c>
      <c r="B858" s="2798"/>
      <c r="C858" s="2798"/>
      <c r="D858" s="2798"/>
      <c r="E858" s="2798"/>
    </row>
    <row r="859" spans="1:5">
      <c r="A859" s="2801">
        <v>44618</v>
      </c>
      <c r="B859" s="2798"/>
      <c r="C859" s="2798"/>
      <c r="D859" s="2798"/>
      <c r="E859" s="2798"/>
    </row>
    <row r="860" spans="1:5">
      <c r="A860" s="2801">
        <v>44617</v>
      </c>
      <c r="B860" s="2798">
        <v>35019.74</v>
      </c>
      <c r="C860" s="2798">
        <v>347.34</v>
      </c>
      <c r="D860" s="2798">
        <v>13145.72</v>
      </c>
      <c r="E860" s="2798">
        <v>2841.8</v>
      </c>
    </row>
    <row r="861" spans="1:5">
      <c r="A861" s="2801">
        <v>44616</v>
      </c>
      <c r="B861" s="2798">
        <v>34905.410000000003</v>
      </c>
      <c r="C861" s="2798">
        <v>342.74</v>
      </c>
      <c r="D861" s="2798">
        <v>12816.78</v>
      </c>
      <c r="E861" s="2798">
        <v>2800.26</v>
      </c>
    </row>
    <row r="862" spans="1:5">
      <c r="A862" s="2801">
        <v>44615</v>
      </c>
      <c r="B862" s="2798">
        <v>35817.599999999999</v>
      </c>
      <c r="C862" s="2798">
        <v>353.54</v>
      </c>
      <c r="D862" s="2798">
        <v>12827.4</v>
      </c>
      <c r="E862" s="2798">
        <v>2926.31</v>
      </c>
    </row>
    <row r="863" spans="1:5">
      <c r="A863" s="2801">
        <v>44614</v>
      </c>
      <c r="B863" s="2798">
        <v>35646.120000000003</v>
      </c>
      <c r="C863" s="2798">
        <v>350.52</v>
      </c>
      <c r="D863" s="2798">
        <v>13005.04</v>
      </c>
      <c r="E863" s="2798">
        <v>2925.66</v>
      </c>
    </row>
    <row r="864" spans="1:5">
      <c r="A864" s="2801">
        <v>44613</v>
      </c>
      <c r="B864" s="2798">
        <v>36146.410000000003</v>
      </c>
      <c r="C864" s="2798">
        <v>357.2</v>
      </c>
      <c r="D864" s="2798">
        <v>13120.44</v>
      </c>
      <c r="E864" s="2798">
        <v>2956.75</v>
      </c>
    </row>
    <row r="865" spans="1:5">
      <c r="A865" s="2801">
        <v>44612</v>
      </c>
      <c r="B865" s="2798"/>
      <c r="C865" s="2798"/>
      <c r="D865" s="2798"/>
      <c r="E865" s="2798"/>
    </row>
    <row r="866" spans="1:5">
      <c r="A866" s="2801">
        <v>44611</v>
      </c>
      <c r="B866" s="2798"/>
      <c r="C866" s="2798"/>
      <c r="D866" s="2798"/>
      <c r="E866" s="2798"/>
    </row>
    <row r="867" spans="1:5">
      <c r="A867" s="2801">
        <v>44610</v>
      </c>
      <c r="B867" s="2798">
        <v>36167.96</v>
      </c>
      <c r="C867" s="2798">
        <v>357.62</v>
      </c>
      <c r="D867" s="2798">
        <v>13154.17</v>
      </c>
      <c r="E867" s="2798">
        <v>2986.49</v>
      </c>
    </row>
    <row r="868" spans="1:5">
      <c r="A868" s="2801">
        <v>44609</v>
      </c>
      <c r="B868" s="2798">
        <v>36239.81</v>
      </c>
      <c r="C868" s="2798">
        <v>355.84</v>
      </c>
      <c r="D868" s="2798">
        <v>13265.26</v>
      </c>
      <c r="E868" s="2798">
        <v>3013.44</v>
      </c>
    </row>
    <row r="869" spans="1:5">
      <c r="A869" s="2801">
        <v>44608</v>
      </c>
      <c r="B869" s="2798">
        <v>36166.21</v>
      </c>
      <c r="C869" s="2798">
        <v>356.81</v>
      </c>
      <c r="D869" s="2798">
        <v>13488.93</v>
      </c>
      <c r="E869" s="2798">
        <v>3016.49</v>
      </c>
    </row>
    <row r="870" spans="1:5">
      <c r="A870" s="2801">
        <v>44607</v>
      </c>
      <c r="B870" s="2798">
        <v>35611.449999999997</v>
      </c>
      <c r="C870" s="2798">
        <v>351.93</v>
      </c>
      <c r="D870" s="2798">
        <v>13460.66</v>
      </c>
      <c r="E870" s="2798">
        <v>2979.69</v>
      </c>
    </row>
    <row r="871" spans="1:5">
      <c r="A871" s="2801">
        <v>44606</v>
      </c>
      <c r="B871" s="2798">
        <v>35702.410000000003</v>
      </c>
      <c r="C871" s="2798">
        <v>350.57</v>
      </c>
      <c r="D871" s="2798">
        <v>13270.95</v>
      </c>
      <c r="E871" s="2798">
        <v>2958.51</v>
      </c>
    </row>
    <row r="872" spans="1:5">
      <c r="A872" s="2801">
        <v>44605</v>
      </c>
      <c r="B872" s="2798"/>
      <c r="C872" s="2798"/>
      <c r="D872" s="2798"/>
      <c r="E872" s="2798"/>
    </row>
    <row r="873" spans="1:5">
      <c r="A873" s="2801">
        <v>44604</v>
      </c>
      <c r="B873" s="2798"/>
      <c r="C873" s="2798"/>
      <c r="D873" s="2798"/>
      <c r="E873" s="2798"/>
    </row>
    <row r="874" spans="1:5">
      <c r="A874" s="2801">
        <v>44603</v>
      </c>
      <c r="B874" s="2798">
        <v>36323.85</v>
      </c>
      <c r="C874" s="2798">
        <v>359.12</v>
      </c>
      <c r="D874" s="2798">
        <v>13391.97</v>
      </c>
      <c r="E874" s="2798">
        <v>3006.63</v>
      </c>
    </row>
    <row r="875" spans="1:5">
      <c r="A875" s="2801">
        <v>44602</v>
      </c>
      <c r="B875" s="2798">
        <v>36377.64</v>
      </c>
      <c r="C875" s="2798">
        <v>359.2</v>
      </c>
      <c r="D875" s="2798">
        <v>13605.79</v>
      </c>
      <c r="E875" s="2798">
        <v>3032.21</v>
      </c>
    </row>
    <row r="876" spans="1:5">
      <c r="A876" s="2801">
        <v>44601</v>
      </c>
      <c r="B876" s="2798">
        <v>36008.1</v>
      </c>
      <c r="C876" s="2798">
        <v>357.34</v>
      </c>
      <c r="D876" s="2798">
        <v>13767.35</v>
      </c>
      <c r="E876" s="2798">
        <v>3004.52</v>
      </c>
    </row>
    <row r="877" spans="1:5">
      <c r="A877" s="2801">
        <v>44600</v>
      </c>
      <c r="B877" s="2798">
        <v>35640.699999999997</v>
      </c>
      <c r="C877" s="2798">
        <v>353.54</v>
      </c>
      <c r="D877" s="2798">
        <v>13555.69</v>
      </c>
      <c r="E877" s="2798">
        <v>2956.01</v>
      </c>
    </row>
    <row r="878" spans="1:5">
      <c r="A878" s="2801">
        <v>44599</v>
      </c>
      <c r="B878" s="2798">
        <v>35509.26</v>
      </c>
      <c r="C878" s="2798">
        <v>350.86</v>
      </c>
      <c r="D878" s="2798">
        <v>13477.65</v>
      </c>
      <c r="E878" s="2798">
        <v>2954.85</v>
      </c>
    </row>
    <row r="879" spans="1:5">
      <c r="A879" s="2801">
        <v>44598</v>
      </c>
      <c r="B879" s="2798"/>
      <c r="C879" s="2798"/>
      <c r="D879" s="2798"/>
      <c r="E879" s="2798"/>
    </row>
    <row r="880" spans="1:5">
      <c r="A880" s="2801">
        <v>44597</v>
      </c>
      <c r="B880" s="2798"/>
      <c r="C880" s="2798"/>
      <c r="D880" s="2798"/>
      <c r="E880" s="2798"/>
    </row>
    <row r="881" spans="1:5">
      <c r="A881" s="2801">
        <v>44596</v>
      </c>
      <c r="B881" s="2798"/>
      <c r="C881" s="2798"/>
      <c r="D881" s="2798">
        <v>13486.38</v>
      </c>
      <c r="E881" s="2798">
        <v>2959.13</v>
      </c>
    </row>
    <row r="882" spans="1:5">
      <c r="A882" s="2801">
        <v>44595</v>
      </c>
      <c r="B882" s="2798"/>
      <c r="C882" s="2798"/>
      <c r="D882" s="2798">
        <v>13445.13</v>
      </c>
      <c r="E882" s="2798">
        <v>2932.83</v>
      </c>
    </row>
    <row r="883" spans="1:5">
      <c r="A883" s="2801">
        <v>44594</v>
      </c>
      <c r="B883" s="2798"/>
      <c r="C883" s="2798"/>
      <c r="D883" s="2798">
        <v>13714.89</v>
      </c>
      <c r="E883" s="2798">
        <v>2939.67</v>
      </c>
    </row>
    <row r="884" spans="1:5">
      <c r="A884" s="2801">
        <v>44593</v>
      </c>
      <c r="B884" s="2798"/>
      <c r="C884" s="2798"/>
      <c r="D884" s="2798">
        <v>13594.9</v>
      </c>
      <c r="E884" s="2798">
        <v>2941.54</v>
      </c>
    </row>
    <row r="885" spans="1:5">
      <c r="A885" s="2801">
        <v>44592</v>
      </c>
      <c r="B885" s="2798"/>
      <c r="C885" s="2798"/>
      <c r="D885" s="2798">
        <v>13473.44</v>
      </c>
      <c r="E885" s="2798">
        <v>2927.51</v>
      </c>
    </row>
    <row r="886" spans="1:5">
      <c r="A886" s="2801">
        <v>44591</v>
      </c>
      <c r="B886" s="2798"/>
      <c r="C886" s="2798"/>
      <c r="D886" s="2798"/>
      <c r="E886" s="2798"/>
    </row>
    <row r="887" spans="1:5">
      <c r="A887" s="2801">
        <v>44590</v>
      </c>
      <c r="B887" s="2798"/>
      <c r="C887" s="2798"/>
      <c r="D887" s="2798"/>
      <c r="E887" s="2798"/>
    </row>
    <row r="888" spans="1:5">
      <c r="A888" s="2801">
        <v>44589</v>
      </c>
      <c r="B888" s="2798"/>
      <c r="C888" s="2798"/>
      <c r="D888" s="2798">
        <v>13237.84</v>
      </c>
      <c r="E888" s="2798">
        <v>2886.09</v>
      </c>
    </row>
    <row r="889" spans="1:5">
      <c r="A889" s="2801">
        <v>44588</v>
      </c>
      <c r="B889" s="2798"/>
      <c r="C889" s="2798"/>
      <c r="D889" s="2798">
        <v>13015.27</v>
      </c>
      <c r="E889" s="2798">
        <v>2888.1</v>
      </c>
    </row>
    <row r="890" spans="1:5">
      <c r="A890" s="2801">
        <v>44587</v>
      </c>
      <c r="B890" s="2798">
        <v>35061.14</v>
      </c>
      <c r="C890" s="2798">
        <v>347.69</v>
      </c>
      <c r="D890" s="2798">
        <v>13121.99</v>
      </c>
      <c r="E890" s="2798">
        <v>2935.01</v>
      </c>
    </row>
    <row r="891" spans="1:5">
      <c r="A891" s="2801">
        <v>44586</v>
      </c>
      <c r="B891" s="2798">
        <v>35114.14</v>
      </c>
      <c r="C891" s="2798">
        <v>347.6</v>
      </c>
      <c r="D891" s="2798">
        <v>13103.33</v>
      </c>
      <c r="E891" s="2798">
        <v>2932.57</v>
      </c>
    </row>
    <row r="892" spans="1:5">
      <c r="A892" s="2801">
        <v>44585</v>
      </c>
      <c r="B892" s="2798">
        <v>35685.29</v>
      </c>
      <c r="C892" s="2798">
        <v>352.8</v>
      </c>
      <c r="D892" s="2798">
        <v>13235.23</v>
      </c>
      <c r="E892" s="2798">
        <v>2960.95</v>
      </c>
    </row>
    <row r="893" spans="1:5">
      <c r="A893" s="2801">
        <v>44584</v>
      </c>
      <c r="B893" s="2798"/>
      <c r="C893" s="2798"/>
      <c r="D893" s="2798"/>
      <c r="E893" s="2798"/>
    </row>
    <row r="894" spans="1:5">
      <c r="A894" s="2801">
        <v>44583</v>
      </c>
      <c r="B894" s="2798"/>
      <c r="C894" s="2798"/>
      <c r="D894" s="2798"/>
      <c r="E894" s="2798"/>
    </row>
    <row r="895" spans="1:5">
      <c r="A895" s="2801">
        <v>44582</v>
      </c>
      <c r="B895" s="2798">
        <v>35507.269999999997</v>
      </c>
      <c r="C895" s="2798">
        <v>351.93</v>
      </c>
      <c r="D895" s="2798">
        <v>13320.91</v>
      </c>
      <c r="E895" s="2798">
        <v>3014.57</v>
      </c>
    </row>
    <row r="896" spans="1:5">
      <c r="A896" s="2801">
        <v>44581</v>
      </c>
      <c r="B896" s="2798">
        <v>36140.050000000003</v>
      </c>
      <c r="C896" s="2798">
        <v>359.13</v>
      </c>
      <c r="D896" s="2798">
        <v>13572.49</v>
      </c>
      <c r="E896" s="2798">
        <v>3042.27</v>
      </c>
    </row>
    <row r="897" spans="1:5">
      <c r="A897" s="2801">
        <v>44580</v>
      </c>
      <c r="B897" s="2798">
        <v>36158.25</v>
      </c>
      <c r="C897" s="2798">
        <v>359.02</v>
      </c>
      <c r="D897" s="2798">
        <v>13643.74</v>
      </c>
      <c r="E897" s="2798">
        <v>3003.66</v>
      </c>
    </row>
    <row r="898" spans="1:5">
      <c r="A898" s="2801">
        <v>44579</v>
      </c>
      <c r="B898" s="2798">
        <v>36458.15</v>
      </c>
      <c r="C898" s="2798">
        <v>361.85</v>
      </c>
      <c r="D898" s="2798">
        <v>13756.26</v>
      </c>
      <c r="E898" s="2798">
        <v>3007.8</v>
      </c>
    </row>
    <row r="899" spans="1:5">
      <c r="A899" s="2801">
        <v>44578</v>
      </c>
      <c r="B899" s="2798">
        <v>36749.360000000001</v>
      </c>
      <c r="C899" s="2798">
        <v>362.49</v>
      </c>
      <c r="D899" s="2798">
        <v>13985.01</v>
      </c>
      <c r="E899" s="2798">
        <v>3038.86</v>
      </c>
    </row>
    <row r="900" spans="1:5">
      <c r="A900" s="2801">
        <v>44577</v>
      </c>
      <c r="B900" s="2798"/>
      <c r="C900" s="2798"/>
      <c r="D900" s="2798"/>
      <c r="E900" s="2798"/>
    </row>
    <row r="901" spans="1:5">
      <c r="A901" s="2801">
        <v>44576</v>
      </c>
      <c r="B901" s="2798"/>
      <c r="C901" s="2798"/>
      <c r="D901" s="2798"/>
      <c r="E901" s="2798"/>
    </row>
    <row r="902" spans="1:5">
      <c r="A902" s="2801">
        <v>44575</v>
      </c>
      <c r="B902" s="2798">
        <v>36507.14</v>
      </c>
      <c r="C902" s="2798">
        <v>359.02</v>
      </c>
      <c r="D902" s="2798">
        <v>13971.49</v>
      </c>
      <c r="E902" s="2798">
        <v>3046.24</v>
      </c>
    </row>
    <row r="903" spans="1:5">
      <c r="A903" s="2801">
        <v>44574</v>
      </c>
      <c r="B903" s="2798">
        <v>36573.78</v>
      </c>
      <c r="C903" s="2798">
        <v>362.23</v>
      </c>
      <c r="D903" s="2798">
        <v>14010.98</v>
      </c>
      <c r="E903" s="2798">
        <v>3060.38</v>
      </c>
    </row>
    <row r="904" spans="1:5">
      <c r="A904" s="2801">
        <v>44573</v>
      </c>
      <c r="B904" s="2798">
        <v>36451.72</v>
      </c>
      <c r="C904" s="2798">
        <v>362.84</v>
      </c>
      <c r="D904" s="2798">
        <v>14151.07</v>
      </c>
      <c r="E904" s="2798">
        <v>3069.68</v>
      </c>
    </row>
    <row r="905" spans="1:5">
      <c r="A905" s="2801">
        <v>44572</v>
      </c>
      <c r="B905" s="2798">
        <v>36276.06</v>
      </c>
      <c r="C905" s="2798">
        <v>362.05</v>
      </c>
      <c r="D905" s="2798">
        <v>14059.12</v>
      </c>
      <c r="E905" s="2798">
        <v>3010.75</v>
      </c>
    </row>
    <row r="906" spans="1:5">
      <c r="A906" s="2801">
        <v>44571</v>
      </c>
      <c r="B906" s="2798">
        <v>36179.21</v>
      </c>
      <c r="C906" s="2798">
        <v>367.93</v>
      </c>
      <c r="D906" s="2798">
        <v>13939.14</v>
      </c>
      <c r="E906" s="2798">
        <v>2984.66</v>
      </c>
    </row>
    <row r="907" spans="1:5">
      <c r="A907" s="2801">
        <v>44570</v>
      </c>
      <c r="B907" s="2798"/>
      <c r="C907" s="2798"/>
      <c r="D907" s="2798"/>
      <c r="E907" s="2798"/>
    </row>
    <row r="908" spans="1:5">
      <c r="A908" s="2801">
        <v>44569</v>
      </c>
      <c r="B908" s="2798"/>
      <c r="C908" s="2798"/>
      <c r="D908" s="2798"/>
      <c r="E908" s="2798"/>
    </row>
    <row r="909" spans="1:5">
      <c r="A909" s="2801">
        <v>44568</v>
      </c>
      <c r="B909" s="2798">
        <v>36041.120000000003</v>
      </c>
      <c r="C909" s="2798">
        <v>366.27</v>
      </c>
      <c r="D909" s="2798">
        <v>13989.32</v>
      </c>
      <c r="E909" s="2798">
        <v>2969.72</v>
      </c>
    </row>
    <row r="910" spans="1:5">
      <c r="A910" s="2801">
        <v>44567</v>
      </c>
      <c r="B910" s="2798">
        <v>36434.19</v>
      </c>
      <c r="C910" s="2798">
        <v>373.73</v>
      </c>
      <c r="D910" s="2798">
        <v>14018.45</v>
      </c>
      <c r="E910" s="2798">
        <v>2947.85</v>
      </c>
    </row>
    <row r="911" spans="1:5">
      <c r="A911" s="2801">
        <v>44566</v>
      </c>
      <c r="B911" s="2798">
        <v>36696.089999999997</v>
      </c>
      <c r="C911" s="2798">
        <v>376.72</v>
      </c>
      <c r="D911" s="2798">
        <v>14098.73</v>
      </c>
      <c r="E911" s="2798">
        <v>2961.39</v>
      </c>
    </row>
    <row r="912" spans="1:5">
      <c r="A912" s="2801">
        <v>44565</v>
      </c>
      <c r="B912" s="2798">
        <v>36748.44</v>
      </c>
      <c r="C912" s="2798">
        <v>380.45</v>
      </c>
      <c r="D912" s="2798">
        <v>14296.44</v>
      </c>
      <c r="E912" s="2798">
        <v>2990.95</v>
      </c>
    </row>
    <row r="913" spans="1:5">
      <c r="A913" s="2801">
        <v>44564</v>
      </c>
      <c r="B913" s="2798">
        <v>36240.959999999999</v>
      </c>
      <c r="C913" s="2798">
        <v>380.24</v>
      </c>
      <c r="D913" s="2798">
        <v>14266.32</v>
      </c>
      <c r="E913" s="2798">
        <v>2987.44</v>
      </c>
    </row>
    <row r="914" spans="1:5">
      <c r="A914" s="2801">
        <v>44563</v>
      </c>
      <c r="B914" s="2798"/>
      <c r="C914" s="2798"/>
      <c r="D914" s="2798"/>
      <c r="E914" s="2798"/>
    </row>
    <row r="915" spans="1:5">
      <c r="A915" s="2801">
        <v>44562</v>
      </c>
      <c r="B915" s="2798"/>
      <c r="C915" s="2798"/>
      <c r="D915" s="2798"/>
      <c r="E915" s="2798"/>
    </row>
    <row r="916" spans="1:5">
      <c r="A916" s="2801">
        <v>44561</v>
      </c>
      <c r="B916" s="2798" t="s">
        <v>1146</v>
      </c>
      <c r="C916" s="2798" t="s">
        <v>1146</v>
      </c>
      <c r="D916" s="2798">
        <v>14223.14</v>
      </c>
      <c r="E916" s="2798">
        <v>2983.77</v>
      </c>
    </row>
    <row r="917" spans="1:5">
      <c r="A917" s="2801">
        <v>44560</v>
      </c>
      <c r="B917" s="2798">
        <v>36138.47</v>
      </c>
      <c r="C917" s="2798">
        <v>383.71</v>
      </c>
      <c r="D917" s="2798">
        <v>14246.01</v>
      </c>
      <c r="E917" s="2798">
        <v>2961.34</v>
      </c>
    </row>
    <row r="918" spans="1:5">
      <c r="A918" s="2801">
        <v>44559</v>
      </c>
      <c r="B918" s="2798">
        <v>36196.870000000003</v>
      </c>
      <c r="C918" s="2798">
        <v>381.64</v>
      </c>
      <c r="D918" s="2798">
        <v>14274.39</v>
      </c>
      <c r="E918" s="2798">
        <v>2949.54</v>
      </c>
    </row>
    <row r="919" spans="1:5">
      <c r="A919" s="2801">
        <v>44558</v>
      </c>
      <c r="B919" s="2798">
        <v>36094.769999999997</v>
      </c>
      <c r="C919" s="2798">
        <v>379.95</v>
      </c>
      <c r="D919" s="2798">
        <v>14252.74</v>
      </c>
      <c r="E919" s="2798">
        <v>2968.37</v>
      </c>
    </row>
    <row r="920" spans="1:5">
      <c r="A920" s="2801">
        <v>44557</v>
      </c>
      <c r="B920" s="2798">
        <v>35801.46</v>
      </c>
      <c r="C920" s="2798">
        <v>377.74</v>
      </c>
      <c r="D920" s="2798">
        <v>14245.78</v>
      </c>
      <c r="E920" s="2798">
        <v>2955.35</v>
      </c>
    </row>
    <row r="921" spans="1:5">
      <c r="A921" s="2801">
        <v>44556</v>
      </c>
      <c r="B921" s="2798" t="s">
        <v>1146</v>
      </c>
      <c r="C921" s="2798" t="s">
        <v>1146</v>
      </c>
      <c r="D921" s="2798"/>
      <c r="E921" s="2798"/>
    </row>
    <row r="922" spans="1:5">
      <c r="A922" s="2801">
        <v>44555</v>
      </c>
      <c r="B922" s="2798" t="s">
        <v>1146</v>
      </c>
      <c r="C922" s="2798" t="s">
        <v>1146</v>
      </c>
      <c r="D922" s="2798"/>
      <c r="E922" s="2798"/>
    </row>
    <row r="923" spans="1:5">
      <c r="A923" s="2801">
        <v>44554</v>
      </c>
      <c r="B923" s="2798">
        <v>35628.29</v>
      </c>
      <c r="C923" s="2798">
        <v>376.69</v>
      </c>
      <c r="D923" s="2798">
        <v>14109.73</v>
      </c>
      <c r="E923" s="2798">
        <v>2952.35</v>
      </c>
    </row>
    <row r="924" spans="1:5">
      <c r="A924" s="2801">
        <v>44553</v>
      </c>
      <c r="B924" s="2798">
        <v>35598.57</v>
      </c>
      <c r="C924" s="2798">
        <v>376.94</v>
      </c>
      <c r="D924" s="2798">
        <v>14106.21</v>
      </c>
      <c r="E924" s="2798">
        <v>2949.96</v>
      </c>
    </row>
    <row r="925" spans="1:5">
      <c r="A925" s="2801">
        <v>44552</v>
      </c>
      <c r="B925" s="2798">
        <v>35360.89</v>
      </c>
      <c r="C925" s="2798">
        <v>374.54</v>
      </c>
      <c r="D925" s="2798">
        <v>14006.79</v>
      </c>
      <c r="E925" s="2798">
        <v>2926.41</v>
      </c>
    </row>
    <row r="926" spans="1:5">
      <c r="A926" s="2801">
        <v>44551</v>
      </c>
      <c r="B926" s="2798">
        <v>35286.39</v>
      </c>
      <c r="C926" s="2798">
        <v>371.96</v>
      </c>
      <c r="D926" s="2798">
        <v>13868.05</v>
      </c>
      <c r="E926" s="2798">
        <v>2911.21</v>
      </c>
    </row>
    <row r="927" spans="1:5">
      <c r="A927" s="2801">
        <v>44550</v>
      </c>
      <c r="B927" s="2798">
        <v>35048.03</v>
      </c>
      <c r="C927" s="2798">
        <v>368.92</v>
      </c>
      <c r="D927" s="2798">
        <v>13639.44</v>
      </c>
      <c r="E927" s="2798">
        <v>2878.14</v>
      </c>
    </row>
    <row r="928" spans="1:5">
      <c r="A928" s="2801">
        <v>44549</v>
      </c>
      <c r="B928" s="2798" t="s">
        <v>1146</v>
      </c>
      <c r="C928" s="2798" t="s">
        <v>1146</v>
      </c>
      <c r="D928" s="2798"/>
      <c r="E928" s="2798"/>
    </row>
    <row r="929" spans="1:5">
      <c r="A929" s="2801">
        <v>44548</v>
      </c>
      <c r="B929" s="2798" t="s">
        <v>1146</v>
      </c>
      <c r="C929" s="2798" t="s">
        <v>1146</v>
      </c>
      <c r="D929" s="2798"/>
      <c r="E929" s="2798"/>
    </row>
    <row r="930" spans="1:5">
      <c r="A930" s="2801">
        <v>44547</v>
      </c>
      <c r="B930" s="2798">
        <v>35332.58</v>
      </c>
      <c r="C930" s="2798">
        <v>372.1</v>
      </c>
      <c r="D930" s="2798">
        <v>13811.99</v>
      </c>
      <c r="E930" s="2798">
        <v>2940.58</v>
      </c>
    </row>
    <row r="931" spans="1:5">
      <c r="A931" s="2801">
        <v>44546</v>
      </c>
      <c r="B931" s="2798">
        <v>35279.33</v>
      </c>
      <c r="C931" s="2798">
        <v>375.72</v>
      </c>
      <c r="D931" s="2798">
        <v>13932.65</v>
      </c>
      <c r="E931" s="2798">
        <v>2958.8</v>
      </c>
    </row>
    <row r="932" spans="1:5">
      <c r="A932" s="2801">
        <v>44545</v>
      </c>
      <c r="B932" s="2798">
        <v>34983.75</v>
      </c>
      <c r="C932" s="2798">
        <v>370.07</v>
      </c>
      <c r="D932" s="2798">
        <v>13966.32</v>
      </c>
      <c r="E932" s="2798">
        <v>2935.07</v>
      </c>
    </row>
    <row r="933" spans="1:5">
      <c r="A933" s="2801">
        <v>44544</v>
      </c>
      <c r="B933" s="2798">
        <v>34863.46</v>
      </c>
      <c r="C933" s="2798">
        <v>366.25</v>
      </c>
      <c r="D933" s="2798">
        <v>13803.13</v>
      </c>
      <c r="E933" s="2798">
        <v>2953.41</v>
      </c>
    </row>
    <row r="934" spans="1:5">
      <c r="A934" s="2801">
        <v>44543</v>
      </c>
      <c r="B934" s="2798">
        <v>35196.71</v>
      </c>
      <c r="C934" s="2798">
        <v>372.96</v>
      </c>
      <c r="D934" s="2798">
        <v>13906.78</v>
      </c>
      <c r="E934" s="2798">
        <v>2973.93</v>
      </c>
    </row>
    <row r="935" spans="1:5">
      <c r="A935" s="2801">
        <v>44542</v>
      </c>
      <c r="B935" s="2798" t="s">
        <v>1146</v>
      </c>
      <c r="C935" s="2798" t="s">
        <v>1146</v>
      </c>
      <c r="D935" s="2798"/>
      <c r="E935" s="2798"/>
    </row>
    <row r="936" spans="1:5">
      <c r="A936" s="2801">
        <v>44541</v>
      </c>
      <c r="B936" s="2798" t="s">
        <v>1146</v>
      </c>
      <c r="C936" s="2798" t="s">
        <v>1146</v>
      </c>
      <c r="D936" s="2798"/>
      <c r="E936" s="2798"/>
    </row>
    <row r="937" spans="1:5">
      <c r="A937" s="2801">
        <v>44540</v>
      </c>
      <c r="B937" s="2798">
        <v>35312.81</v>
      </c>
      <c r="C937" s="2798">
        <v>372.02</v>
      </c>
      <c r="D937" s="2798">
        <v>14021.9</v>
      </c>
      <c r="E937" s="2798">
        <v>2992.92</v>
      </c>
    </row>
    <row r="938" spans="1:5">
      <c r="A938" s="2801">
        <v>44539</v>
      </c>
      <c r="B938" s="2798">
        <v>35486.839999999997</v>
      </c>
      <c r="C938" s="2798">
        <v>371.01</v>
      </c>
      <c r="D938" s="2798">
        <v>13952.44</v>
      </c>
      <c r="E938" s="2798">
        <v>3015.1</v>
      </c>
    </row>
    <row r="939" spans="1:5">
      <c r="A939" s="2801">
        <v>44538</v>
      </c>
      <c r="B939" s="2798">
        <v>35324.839999999997</v>
      </c>
      <c r="C939" s="2798">
        <v>371.08</v>
      </c>
      <c r="D939" s="2798">
        <v>14056.26</v>
      </c>
      <c r="E939" s="2798">
        <v>2998.78</v>
      </c>
    </row>
    <row r="940" spans="1:5">
      <c r="A940" s="2801">
        <v>44537</v>
      </c>
      <c r="B940" s="2798">
        <v>35254.47</v>
      </c>
      <c r="C940" s="2798">
        <v>367.88</v>
      </c>
      <c r="D940" s="2798">
        <v>14002.13</v>
      </c>
      <c r="E940" s="2798">
        <v>2985.57</v>
      </c>
    </row>
    <row r="941" spans="1:5">
      <c r="A941" s="2801">
        <v>44536</v>
      </c>
      <c r="B941" s="2798">
        <v>35039.120000000003</v>
      </c>
      <c r="C941" s="2798">
        <v>368.19</v>
      </c>
      <c r="D941" s="2798">
        <v>13707.92</v>
      </c>
      <c r="E941" s="2798">
        <v>2933.3</v>
      </c>
    </row>
    <row r="942" spans="1:5">
      <c r="A942" s="2801">
        <v>44535</v>
      </c>
      <c r="B942" s="2798" t="s">
        <v>1146</v>
      </c>
      <c r="C942" s="2798" t="s">
        <v>1146</v>
      </c>
      <c r="D942" s="2798"/>
      <c r="E942" s="2798"/>
    </row>
    <row r="943" spans="1:5">
      <c r="A943" s="2801">
        <v>44534</v>
      </c>
      <c r="B943" s="2798" t="s">
        <v>1146</v>
      </c>
      <c r="C943" s="2798" t="s">
        <v>1146</v>
      </c>
      <c r="D943" s="2798"/>
      <c r="E943" s="2798"/>
    </row>
    <row r="944" spans="1:5">
      <c r="A944" s="2801">
        <v>44533</v>
      </c>
      <c r="B944" s="2798">
        <v>35056.82</v>
      </c>
      <c r="C944" s="2798">
        <v>367.89</v>
      </c>
      <c r="D944" s="2798">
        <v>13571.91</v>
      </c>
      <c r="E944" s="2798">
        <v>2958.91</v>
      </c>
    </row>
    <row r="945" spans="1:5">
      <c r="A945" s="2801">
        <v>44532</v>
      </c>
      <c r="B945" s="2798">
        <v>35111.769999999997</v>
      </c>
      <c r="C945" s="2798">
        <v>364.3</v>
      </c>
      <c r="D945" s="2798">
        <v>13680.15</v>
      </c>
      <c r="E945" s="2798">
        <v>2986.82</v>
      </c>
    </row>
    <row r="946" spans="1:5">
      <c r="A946" s="2801">
        <v>44531</v>
      </c>
      <c r="B946" s="2798">
        <v>34836.57</v>
      </c>
      <c r="C946" s="2798">
        <v>365.73</v>
      </c>
      <c r="D946" s="2798">
        <v>13576.29</v>
      </c>
      <c r="E946" s="2798">
        <v>2962.29</v>
      </c>
    </row>
    <row r="947" spans="1:5">
      <c r="A947" s="2801">
        <v>44530</v>
      </c>
      <c r="B947" s="2798">
        <v>34523.129999999997</v>
      </c>
      <c r="C947" s="2798">
        <v>365.29</v>
      </c>
      <c r="D947" s="2798">
        <v>13636.23</v>
      </c>
      <c r="E947" s="2798">
        <v>2927.42</v>
      </c>
    </row>
    <row r="948" spans="1:5">
      <c r="A948" s="2801">
        <v>44529</v>
      </c>
      <c r="B948" s="2798">
        <v>34325.660000000003</v>
      </c>
      <c r="C948" s="2798">
        <v>361.34</v>
      </c>
      <c r="D948" s="2798">
        <v>13871.64</v>
      </c>
      <c r="E948" s="2798">
        <v>2943.21</v>
      </c>
    </row>
    <row r="949" spans="1:5">
      <c r="A949" s="2801">
        <v>44528</v>
      </c>
      <c r="B949" s="2798" t="s">
        <v>1146</v>
      </c>
      <c r="C949" s="2798" t="s">
        <v>1146</v>
      </c>
      <c r="D949" s="2798"/>
      <c r="E949" s="2798"/>
    </row>
    <row r="950" spans="1:5">
      <c r="A950" s="2801">
        <v>44527</v>
      </c>
      <c r="B950" s="2798" t="s">
        <v>1146</v>
      </c>
      <c r="C950" s="2798" t="s">
        <v>1146</v>
      </c>
      <c r="D950" s="2798"/>
      <c r="E950" s="2798"/>
    </row>
    <row r="951" spans="1:5">
      <c r="A951" s="2801">
        <v>44526</v>
      </c>
      <c r="B951" s="2798">
        <v>34407.480000000003</v>
      </c>
      <c r="C951" s="2798">
        <v>359.41</v>
      </c>
      <c r="D951" s="2798">
        <v>13766.39</v>
      </c>
      <c r="E951" s="2798">
        <v>2953.06</v>
      </c>
    </row>
    <row r="952" spans="1:5">
      <c r="A952" s="2801">
        <v>44525</v>
      </c>
      <c r="B952" s="2798">
        <v>34971.550000000003</v>
      </c>
      <c r="C952" s="2798">
        <v>365.26</v>
      </c>
      <c r="D952" s="2798">
        <v>14075.85</v>
      </c>
      <c r="E952" s="2798">
        <v>3029.09</v>
      </c>
    </row>
    <row r="953" spans="1:5">
      <c r="A953" s="2801">
        <v>44524</v>
      </c>
      <c r="B953" s="2798">
        <v>34948.43</v>
      </c>
      <c r="C953" s="2798">
        <v>366.49</v>
      </c>
      <c r="D953" s="2798">
        <v>14056.29</v>
      </c>
      <c r="E953" s="2798">
        <v>3025.36</v>
      </c>
    </row>
    <row r="954" spans="1:5">
      <c r="A954" s="2801">
        <v>44523</v>
      </c>
      <c r="B954" s="2798">
        <v>34994.93</v>
      </c>
      <c r="C954" s="2798">
        <v>364.52</v>
      </c>
      <c r="D954" s="2798">
        <v>14050.39</v>
      </c>
      <c r="E954" s="2798">
        <v>3030.71</v>
      </c>
    </row>
    <row r="955" spans="1:5">
      <c r="A955" s="2801">
        <v>44522</v>
      </c>
      <c r="B955" s="2798">
        <v>35266.959999999999</v>
      </c>
      <c r="C955" s="2798">
        <v>369.95</v>
      </c>
      <c r="D955" s="2798">
        <v>14070.39</v>
      </c>
      <c r="E955" s="2798">
        <v>3045.56</v>
      </c>
    </row>
    <row r="956" spans="1:5">
      <c r="A956" s="2801">
        <v>44521</v>
      </c>
      <c r="B956" s="2798" t="s">
        <v>1146</v>
      </c>
      <c r="C956" s="2798" t="s">
        <v>1146</v>
      </c>
      <c r="D956" s="2798"/>
      <c r="E956" s="2798"/>
    </row>
    <row r="957" spans="1:5">
      <c r="A957" s="2801">
        <v>44520</v>
      </c>
      <c r="B957" s="2798" t="s">
        <v>1146</v>
      </c>
      <c r="C957" s="2798" t="s">
        <v>1146</v>
      </c>
      <c r="D957" s="2798"/>
      <c r="E957" s="2798"/>
    </row>
    <row r="958" spans="1:5">
      <c r="A958" s="2801">
        <v>44519</v>
      </c>
      <c r="B958" s="2798">
        <v>35296.18</v>
      </c>
      <c r="C958" s="2798">
        <v>364.39</v>
      </c>
      <c r="D958" s="2798">
        <v>14149.62</v>
      </c>
      <c r="E958" s="2798">
        <v>3063.8</v>
      </c>
    </row>
    <row r="959" spans="1:5">
      <c r="A959" s="2801">
        <v>44518</v>
      </c>
      <c r="B959" s="2798">
        <v>35341.78</v>
      </c>
      <c r="C959" s="2798">
        <v>363.98</v>
      </c>
      <c r="D959" s="2798">
        <v>14177.78</v>
      </c>
      <c r="E959" s="2798">
        <v>3074.99</v>
      </c>
    </row>
    <row r="960" spans="1:5">
      <c r="A960" s="2801">
        <v>44517</v>
      </c>
      <c r="B960" s="2798">
        <v>35188.589999999997</v>
      </c>
      <c r="C960" s="2798">
        <v>361.7</v>
      </c>
      <c r="D960" s="2798">
        <v>14152.98</v>
      </c>
      <c r="E960" s="2798">
        <v>3106.36</v>
      </c>
    </row>
    <row r="961" spans="1:5">
      <c r="A961" s="2801">
        <v>44516</v>
      </c>
      <c r="B961" s="2798">
        <v>35048.14</v>
      </c>
      <c r="C961" s="2798">
        <v>358.51</v>
      </c>
      <c r="D961" s="2798">
        <v>14199.17</v>
      </c>
      <c r="E961" s="2798">
        <v>3114.99</v>
      </c>
    </row>
    <row r="962" spans="1:5">
      <c r="A962" s="2801">
        <v>44515</v>
      </c>
      <c r="B962" s="2798">
        <v>34931.93</v>
      </c>
      <c r="C962" s="2798">
        <v>357.06</v>
      </c>
      <c r="D962" s="2798">
        <v>14174.35</v>
      </c>
      <c r="E962" s="2798">
        <v>3105.96</v>
      </c>
    </row>
    <row r="963" spans="1:5">
      <c r="A963" s="2801">
        <v>44514</v>
      </c>
      <c r="B963" s="2798" t="s">
        <v>1146</v>
      </c>
      <c r="C963" s="2798" t="s">
        <v>1146</v>
      </c>
      <c r="D963" s="2798"/>
      <c r="E963" s="2798"/>
    </row>
    <row r="964" spans="1:5">
      <c r="A964" s="2801">
        <v>44513</v>
      </c>
      <c r="B964" s="2798" t="s">
        <v>1146</v>
      </c>
      <c r="C964" s="2798" t="s">
        <v>1146</v>
      </c>
      <c r="D964" s="2798"/>
      <c r="E964" s="2798"/>
    </row>
    <row r="965" spans="1:5">
      <c r="A965" s="2801">
        <v>44512</v>
      </c>
      <c r="B965" s="2798">
        <v>34701.480000000003</v>
      </c>
      <c r="C965" s="2798">
        <v>352.6</v>
      </c>
      <c r="D965" s="2798">
        <v>14161.59</v>
      </c>
      <c r="E965" s="2798">
        <v>3102.7</v>
      </c>
    </row>
    <row r="966" spans="1:5">
      <c r="A966" s="2801">
        <v>44511</v>
      </c>
      <c r="B966" s="2798">
        <v>34571.519999999997</v>
      </c>
      <c r="C966" s="2798">
        <v>350.92</v>
      </c>
      <c r="D966" s="2798">
        <v>14064.37</v>
      </c>
      <c r="E966" s="2798">
        <v>3092.82</v>
      </c>
    </row>
    <row r="967" spans="1:5">
      <c r="A967" s="2801">
        <v>44510</v>
      </c>
      <c r="B967" s="2798">
        <v>34783.730000000003</v>
      </c>
      <c r="C967" s="2798">
        <v>351.11</v>
      </c>
      <c r="D967" s="2798">
        <v>14061.71</v>
      </c>
      <c r="E967" s="2798">
        <v>3075.8</v>
      </c>
    </row>
    <row r="968" spans="1:5">
      <c r="A968" s="2801">
        <v>44509</v>
      </c>
      <c r="B968" s="2798">
        <v>34747.5</v>
      </c>
      <c r="C968" s="2798">
        <v>350.17</v>
      </c>
      <c r="D968" s="2798">
        <v>14174.78</v>
      </c>
      <c r="E968" s="2798">
        <v>3072.22</v>
      </c>
    </row>
    <row r="969" spans="1:5">
      <c r="A969" s="2801">
        <v>44508</v>
      </c>
      <c r="B969" s="2798">
        <v>34497.599999999999</v>
      </c>
      <c r="C969" s="2798">
        <v>346.74</v>
      </c>
      <c r="D969" s="2798">
        <v>14217.35</v>
      </c>
      <c r="E969" s="2798">
        <v>3062.19</v>
      </c>
    </row>
    <row r="970" spans="1:5">
      <c r="A970" s="2801">
        <v>44507</v>
      </c>
      <c r="B970" s="2798" t="s">
        <v>1146</v>
      </c>
      <c r="C970" s="2798" t="s">
        <v>1146</v>
      </c>
      <c r="D970" s="2798"/>
      <c r="E970" s="2798"/>
    </row>
    <row r="971" spans="1:5">
      <c r="A971" s="2801">
        <v>44506</v>
      </c>
      <c r="B971" s="2798" t="s">
        <v>1146</v>
      </c>
      <c r="C971" s="2798" t="s">
        <v>1146</v>
      </c>
      <c r="D971" s="2798"/>
      <c r="E971" s="2798"/>
    </row>
    <row r="972" spans="1:5">
      <c r="A972" s="2801">
        <v>44505</v>
      </c>
      <c r="B972" s="2798">
        <v>34263.040000000001</v>
      </c>
      <c r="C972" s="2798">
        <v>348.5</v>
      </c>
      <c r="D972" s="2798">
        <v>14192.9</v>
      </c>
      <c r="E972" s="2798">
        <v>3050.47</v>
      </c>
    </row>
    <row r="973" spans="1:5">
      <c r="A973" s="2801">
        <v>44504</v>
      </c>
      <c r="B973" s="2798">
        <v>33831.129999999997</v>
      </c>
      <c r="C973" s="2798">
        <v>346.6</v>
      </c>
      <c r="D973" s="2798">
        <v>14158.05</v>
      </c>
      <c r="E973" s="2798">
        <v>3060.95</v>
      </c>
    </row>
    <row r="974" spans="1:5">
      <c r="A974" s="2801">
        <v>44503</v>
      </c>
      <c r="B974" s="2798">
        <v>33916.910000000003</v>
      </c>
      <c r="C974" s="2798">
        <v>348.14</v>
      </c>
      <c r="D974" s="2798">
        <v>14102.59</v>
      </c>
      <c r="E974" s="2798">
        <v>3046.24</v>
      </c>
    </row>
    <row r="975" spans="1:5">
      <c r="A975" s="2801">
        <v>44502</v>
      </c>
      <c r="B975" s="2798">
        <v>33805.61</v>
      </c>
      <c r="C975" s="2798">
        <v>347.54</v>
      </c>
      <c r="D975" s="2798">
        <v>14029.3</v>
      </c>
      <c r="E975" s="2798">
        <v>3049.79</v>
      </c>
    </row>
    <row r="976" spans="1:5">
      <c r="A976" s="2801">
        <v>44501</v>
      </c>
      <c r="B976" s="2798">
        <v>33809.74</v>
      </c>
      <c r="C976" s="2798">
        <v>351.01</v>
      </c>
      <c r="D976" s="2798">
        <v>14006.54</v>
      </c>
      <c r="E976" s="2798">
        <v>3051.13</v>
      </c>
    </row>
    <row r="977" spans="1:5">
      <c r="A977" s="2801">
        <v>44500</v>
      </c>
      <c r="B977" s="2798" t="s">
        <v>1146</v>
      </c>
      <c r="C977" s="2798" t="s">
        <v>1146</v>
      </c>
      <c r="D977" s="2798"/>
      <c r="E977" s="2798"/>
    </row>
    <row r="978" spans="1:5">
      <c r="A978" s="2801">
        <v>44499</v>
      </c>
      <c r="B978" s="2798" t="s">
        <v>1146</v>
      </c>
      <c r="C978" s="2798" t="s">
        <v>1146</v>
      </c>
      <c r="D978" s="2798"/>
      <c r="E978" s="2798"/>
    </row>
    <row r="979" spans="1:5">
      <c r="A979" s="2801">
        <v>44498</v>
      </c>
      <c r="B979" s="2798">
        <v>33649.620000000003</v>
      </c>
      <c r="C979" s="2798">
        <v>346</v>
      </c>
      <c r="D979" s="2798">
        <v>13936.99</v>
      </c>
      <c r="E979" s="2798">
        <v>3051.53</v>
      </c>
    </row>
    <row r="980" spans="1:5">
      <c r="A980" s="2801">
        <v>44497</v>
      </c>
      <c r="B980" s="2798">
        <v>33757.019999999997</v>
      </c>
      <c r="C980" s="2798">
        <v>342.86</v>
      </c>
      <c r="D980" s="2798">
        <v>13955.6</v>
      </c>
      <c r="E980" s="2798">
        <v>3078.76</v>
      </c>
    </row>
    <row r="981" spans="1:5">
      <c r="A981" s="2801">
        <v>44496</v>
      </c>
      <c r="B981" s="2798">
        <v>33822.230000000003</v>
      </c>
      <c r="C981" s="2798">
        <v>342.63</v>
      </c>
      <c r="D981" s="2798">
        <v>13834.55</v>
      </c>
      <c r="E981" s="2798">
        <v>3095.19</v>
      </c>
    </row>
    <row r="982" spans="1:5">
      <c r="A982" s="2801">
        <v>44495</v>
      </c>
      <c r="B982" s="2798">
        <v>33742.480000000003</v>
      </c>
      <c r="C982" s="2798">
        <v>336.81</v>
      </c>
      <c r="D982" s="2798">
        <v>13901.82</v>
      </c>
      <c r="E982" s="2798">
        <v>3126.92</v>
      </c>
    </row>
    <row r="983" spans="1:5">
      <c r="A983" s="2801">
        <v>44494</v>
      </c>
      <c r="B983" s="2798">
        <v>33464.870000000003</v>
      </c>
      <c r="C983" s="2798">
        <v>336.2</v>
      </c>
      <c r="D983" s="2798">
        <v>13868.63</v>
      </c>
      <c r="E983" s="2798">
        <v>3129.47</v>
      </c>
    </row>
    <row r="984" spans="1:5">
      <c r="A984" s="2801">
        <v>44493</v>
      </c>
      <c r="B984" s="2798" t="s">
        <v>1146</v>
      </c>
      <c r="C984" s="2798" t="s">
        <v>1146</v>
      </c>
      <c r="D984" s="2798"/>
      <c r="E984" s="2798"/>
    </row>
    <row r="985" spans="1:5">
      <c r="A985" s="2801">
        <v>44492</v>
      </c>
      <c r="B985" s="2798" t="s">
        <v>1146</v>
      </c>
      <c r="C985" s="2798" t="s">
        <v>1146</v>
      </c>
      <c r="D985" s="2798"/>
      <c r="E985" s="2798"/>
    </row>
    <row r="986" spans="1:5">
      <c r="A986" s="2801">
        <v>44491</v>
      </c>
      <c r="B986" s="2798">
        <v>33453.97</v>
      </c>
      <c r="C986" s="2798">
        <v>336.02</v>
      </c>
      <c r="D986" s="2798">
        <v>13829.98</v>
      </c>
      <c r="E986" s="2798">
        <v>3119.46</v>
      </c>
    </row>
    <row r="987" spans="1:5">
      <c r="A987" s="2801">
        <v>44490</v>
      </c>
      <c r="B987" s="2798">
        <v>33455.47</v>
      </c>
      <c r="C987" s="2798">
        <v>334.52</v>
      </c>
      <c r="D987" s="2798">
        <v>13834.82</v>
      </c>
      <c r="E987" s="2798">
        <v>3119.08</v>
      </c>
    </row>
    <row r="988" spans="1:5">
      <c r="A988" s="2801">
        <v>44489</v>
      </c>
      <c r="B988" s="2798">
        <v>33452.129999999997</v>
      </c>
      <c r="C988" s="2798">
        <v>333.97</v>
      </c>
      <c r="D988" s="2798">
        <v>13813.71</v>
      </c>
      <c r="E988" s="2798">
        <v>3138.61</v>
      </c>
    </row>
    <row r="989" spans="1:5">
      <c r="A989" s="2801">
        <v>44488</v>
      </c>
      <c r="B989" s="2798">
        <v>33477.4</v>
      </c>
      <c r="C989" s="2798">
        <v>332.32</v>
      </c>
      <c r="D989" s="2798">
        <v>13763.13</v>
      </c>
      <c r="E989" s="2798">
        <v>3122.65</v>
      </c>
    </row>
    <row r="990" spans="1:5">
      <c r="A990" s="2801">
        <v>44487</v>
      </c>
      <c r="B990" s="2798">
        <v>33090.480000000003</v>
      </c>
      <c r="C990" s="2798">
        <v>326.58</v>
      </c>
      <c r="D990" s="2798">
        <v>13665.63</v>
      </c>
      <c r="E990" s="2798">
        <v>3094.79</v>
      </c>
    </row>
    <row r="991" spans="1:5">
      <c r="A991" s="2801">
        <v>44486</v>
      </c>
      <c r="B991" s="2798" t="s">
        <v>1146</v>
      </c>
      <c r="C991" s="2798" t="s">
        <v>1146</v>
      </c>
      <c r="D991" s="2798"/>
      <c r="E991" s="2798"/>
    </row>
    <row r="992" spans="1:5">
      <c r="A992" s="2801">
        <v>44485</v>
      </c>
      <c r="B992" s="2798" t="s">
        <v>1146</v>
      </c>
      <c r="C992" s="2798" t="s">
        <v>1146</v>
      </c>
      <c r="D992" s="2798"/>
      <c r="E992" s="2798"/>
    </row>
    <row r="993" spans="1:5">
      <c r="A993" s="2801">
        <v>44484</v>
      </c>
      <c r="B993" s="2798">
        <v>33240.43</v>
      </c>
      <c r="C993" s="2798">
        <v>326.05</v>
      </c>
      <c r="D993" s="2798">
        <v>13645.12</v>
      </c>
      <c r="E993" s="2798">
        <v>3096.21</v>
      </c>
    </row>
    <row r="994" spans="1:5">
      <c r="A994" s="2801">
        <v>44483</v>
      </c>
      <c r="B994" s="2798">
        <v>32460.17</v>
      </c>
      <c r="C994" s="2798">
        <v>319.89</v>
      </c>
      <c r="D994" s="2798">
        <v>13535.9</v>
      </c>
      <c r="E994" s="2798">
        <v>3055.17</v>
      </c>
    </row>
    <row r="995" spans="1:5">
      <c r="A995" s="2801">
        <v>44482</v>
      </c>
      <c r="B995" s="2798">
        <v>32381.82</v>
      </c>
      <c r="C995" s="2798">
        <v>317.42</v>
      </c>
      <c r="D995" s="2798">
        <v>13334.8</v>
      </c>
      <c r="E995" s="2798">
        <v>3039.6</v>
      </c>
    </row>
    <row r="996" spans="1:5">
      <c r="A996" s="2801">
        <v>44481</v>
      </c>
      <c r="B996" s="2798">
        <v>32609.200000000001</v>
      </c>
      <c r="C996" s="2798">
        <v>323.97000000000003</v>
      </c>
      <c r="D996" s="2798">
        <v>13271.83</v>
      </c>
      <c r="E996" s="2798">
        <v>3023.44</v>
      </c>
    </row>
    <row r="997" spans="1:5">
      <c r="A997" s="2801">
        <v>44480</v>
      </c>
      <c r="B997" s="2798" t="s">
        <v>1146</v>
      </c>
      <c r="C997" s="2798" t="s">
        <v>1146</v>
      </c>
      <c r="D997" s="2798">
        <v>13301.88</v>
      </c>
      <c r="E997" s="2798">
        <v>3052.41</v>
      </c>
    </row>
    <row r="998" spans="1:5">
      <c r="A998" s="2801">
        <v>44479</v>
      </c>
      <c r="B998" s="2798" t="s">
        <v>1146</v>
      </c>
      <c r="C998" s="2798" t="s">
        <v>1146</v>
      </c>
      <c r="D998" s="2798"/>
      <c r="E998" s="2798"/>
    </row>
    <row r="999" spans="1:5">
      <c r="A999" s="2801">
        <v>44478</v>
      </c>
      <c r="B999" s="2798" t="s">
        <v>1146</v>
      </c>
      <c r="C999" s="2798" t="s">
        <v>1146</v>
      </c>
      <c r="D999" s="2798"/>
      <c r="E999" s="2798"/>
    </row>
    <row r="1000" spans="1:5">
      <c r="A1000" s="2801">
        <v>44477</v>
      </c>
      <c r="B1000" s="2798">
        <v>32960.75</v>
      </c>
      <c r="C1000" s="2798">
        <v>327.71</v>
      </c>
      <c r="D1000" s="2798">
        <v>13355.29</v>
      </c>
      <c r="E1000" s="2798">
        <v>3031.52</v>
      </c>
    </row>
    <row r="1001" spans="1:5">
      <c r="A1001" s="2801">
        <v>44476</v>
      </c>
      <c r="B1001" s="2798">
        <v>33106.019999999997</v>
      </c>
      <c r="C1001" s="2798">
        <v>326.85000000000002</v>
      </c>
      <c r="D1001" s="2798">
        <v>13367.39</v>
      </c>
      <c r="E1001" s="2798">
        <v>3022.15</v>
      </c>
    </row>
    <row r="1002" spans="1:5">
      <c r="A1002" s="2801">
        <v>44475</v>
      </c>
      <c r="B1002" s="2798">
        <v>32469.86</v>
      </c>
      <c r="C1002" s="2798">
        <v>317.82</v>
      </c>
      <c r="D1002" s="2798">
        <v>13230.7</v>
      </c>
      <c r="E1002" s="2798">
        <v>2958.92</v>
      </c>
    </row>
    <row r="1003" spans="1:5">
      <c r="A1003" s="2801">
        <v>44474</v>
      </c>
      <c r="B1003" s="2798">
        <v>32603.51</v>
      </c>
      <c r="C1003" s="2798">
        <v>320.89</v>
      </c>
      <c r="D1003" s="2798">
        <v>13231.73</v>
      </c>
      <c r="E1003" s="2798">
        <v>2981.49</v>
      </c>
    </row>
    <row r="1004" spans="1:5">
      <c r="A1004" s="2801">
        <v>44473</v>
      </c>
      <c r="B1004" s="2798">
        <v>32499.31</v>
      </c>
      <c r="C1004" s="2798">
        <v>317.22000000000003</v>
      </c>
      <c r="D1004" s="2798">
        <v>13128.53</v>
      </c>
      <c r="E1004" s="2798">
        <v>2981.16</v>
      </c>
    </row>
    <row r="1005" spans="1:5">
      <c r="A1005" s="2801">
        <v>44472</v>
      </c>
      <c r="B1005" s="2798" t="s">
        <v>1146</v>
      </c>
      <c r="C1005" s="2798" t="s">
        <v>1146</v>
      </c>
      <c r="D1005" s="2798"/>
      <c r="E1005" s="2798"/>
    </row>
    <row r="1006" spans="1:5">
      <c r="A1006" s="2801">
        <v>44471</v>
      </c>
      <c r="B1006" s="2798" t="s">
        <v>1146</v>
      </c>
      <c r="C1006" s="2798" t="s">
        <v>1146</v>
      </c>
      <c r="D1006" s="2798"/>
      <c r="E1006" s="2798"/>
    </row>
    <row r="1007" spans="1:5">
      <c r="A1007" s="2801">
        <v>44470</v>
      </c>
      <c r="B1007" s="2798">
        <v>32820.68</v>
      </c>
      <c r="C1007" s="2798">
        <v>324.52999999999997</v>
      </c>
      <c r="D1007" s="2798">
        <v>13257.86</v>
      </c>
      <c r="E1007" s="2798">
        <v>3005.69</v>
      </c>
    </row>
    <row r="1008" spans="1:5">
      <c r="A1008" s="2801">
        <v>44469</v>
      </c>
      <c r="B1008" s="2798">
        <v>33541.120000000003</v>
      </c>
      <c r="C1008" s="2798">
        <v>333.25</v>
      </c>
      <c r="D1008" s="2798">
        <v>13186.53</v>
      </c>
      <c r="E1008" s="2798">
        <v>3021.28</v>
      </c>
    </row>
    <row r="1009" spans="1:5">
      <c r="A1009" s="2801">
        <v>44468</v>
      </c>
      <c r="B1009" s="2798">
        <v>33384.01</v>
      </c>
      <c r="C1009" s="2798">
        <v>329.21</v>
      </c>
      <c r="D1009" s="2798">
        <v>13282.47</v>
      </c>
      <c r="E1009" s="2798">
        <v>3016.9</v>
      </c>
    </row>
    <row r="1010" spans="1:5">
      <c r="A1010" s="2801">
        <v>44467</v>
      </c>
      <c r="B1010" s="2798">
        <v>34028.94</v>
      </c>
      <c r="C1010" s="2798">
        <v>339.66</v>
      </c>
      <c r="D1010" s="2798">
        <v>13291.31</v>
      </c>
      <c r="E1010" s="2798">
        <v>3038.79</v>
      </c>
    </row>
    <row r="1011" spans="1:5">
      <c r="A1011" s="2801">
        <v>44466</v>
      </c>
      <c r="B1011" s="2798">
        <v>34291.01</v>
      </c>
      <c r="C1011" s="2798">
        <v>342.77</v>
      </c>
      <c r="D1011" s="2798">
        <v>13565.5</v>
      </c>
      <c r="E1011" s="2798">
        <v>3053.96</v>
      </c>
    </row>
    <row r="1012" spans="1:5">
      <c r="A1012" s="2801">
        <v>44465</v>
      </c>
      <c r="B1012" s="2798" t="s">
        <v>1146</v>
      </c>
      <c r="C1012" s="2798" t="s">
        <v>1146</v>
      </c>
      <c r="D1012" s="2798"/>
      <c r="E1012" s="2798"/>
    </row>
    <row r="1013" spans="1:5">
      <c r="A1013" s="2801">
        <v>44464</v>
      </c>
      <c r="B1013" s="2798" t="s">
        <v>1146</v>
      </c>
      <c r="C1013" s="2798" t="s">
        <v>1146</v>
      </c>
      <c r="D1013" s="2798"/>
      <c r="E1013" s="2798"/>
    </row>
    <row r="1014" spans="1:5">
      <c r="A1014" s="2801">
        <v>44463</v>
      </c>
      <c r="B1014" s="2798">
        <v>34184.910000000003</v>
      </c>
      <c r="C1014" s="2798">
        <v>343.69</v>
      </c>
      <c r="D1014" s="2798">
        <v>13600.07</v>
      </c>
      <c r="E1014" s="2798">
        <v>3048.45</v>
      </c>
    </row>
    <row r="1015" spans="1:5">
      <c r="A1015" s="2801">
        <v>44462</v>
      </c>
      <c r="B1015" s="2798">
        <v>33822.629999999997</v>
      </c>
      <c r="C1015" s="2798">
        <v>339.91</v>
      </c>
      <c r="D1015" s="2798">
        <v>13612.51</v>
      </c>
      <c r="E1015" s="2798">
        <v>3066.3</v>
      </c>
    </row>
    <row r="1016" spans="1:5">
      <c r="A1016" s="2801">
        <v>44461</v>
      </c>
      <c r="B1016" s="2798">
        <v>33520.11</v>
      </c>
      <c r="C1016" s="2798">
        <v>335.13</v>
      </c>
      <c r="D1016" s="2798">
        <v>13471.49</v>
      </c>
      <c r="E1016" s="2798">
        <v>3040.36</v>
      </c>
    </row>
    <row r="1017" spans="1:5">
      <c r="A1017" s="2801">
        <v>44460</v>
      </c>
      <c r="B1017" s="2798" t="s">
        <v>1146</v>
      </c>
      <c r="C1017" s="2798" t="s">
        <v>1146</v>
      </c>
      <c r="D1017" s="2798">
        <v>13363.34</v>
      </c>
      <c r="E1017" s="2798">
        <v>3036.91</v>
      </c>
    </row>
    <row r="1018" spans="1:5">
      <c r="A1018" s="2801">
        <v>44459</v>
      </c>
      <c r="B1018" s="2798" t="s">
        <v>1146</v>
      </c>
      <c r="C1018" s="2798" t="s">
        <v>1146</v>
      </c>
      <c r="D1018" s="2798">
        <v>13347.05</v>
      </c>
      <c r="E1018" s="2798">
        <v>3028.97</v>
      </c>
    </row>
    <row r="1019" spans="1:5">
      <c r="A1019" s="2801">
        <v>44458</v>
      </c>
      <c r="B1019" s="2798" t="s">
        <v>1146</v>
      </c>
      <c r="C1019" s="2798" t="s">
        <v>1146</v>
      </c>
      <c r="D1019" s="2798"/>
      <c r="E1019" s="2798"/>
    </row>
    <row r="1020" spans="1:5">
      <c r="A1020" s="2801">
        <v>44457</v>
      </c>
      <c r="B1020" s="2798" t="s">
        <v>1146</v>
      </c>
      <c r="C1020" s="2798" t="s">
        <v>1146</v>
      </c>
      <c r="D1020" s="2798"/>
      <c r="E1020" s="2798"/>
    </row>
    <row r="1021" spans="1:5">
      <c r="A1021" s="2801">
        <v>44456</v>
      </c>
      <c r="B1021" s="2798">
        <v>34214.17</v>
      </c>
      <c r="C1021" s="2798">
        <v>340.72</v>
      </c>
      <c r="D1021" s="2798">
        <v>13567.5</v>
      </c>
      <c r="E1021" s="2798">
        <v>3079.64</v>
      </c>
    </row>
    <row r="1022" spans="1:5">
      <c r="A1022" s="2801">
        <v>44455</v>
      </c>
      <c r="B1022" s="2798">
        <v>34216.86</v>
      </c>
      <c r="C1022" s="2798">
        <v>337.94</v>
      </c>
      <c r="D1022" s="2798">
        <v>13681.18</v>
      </c>
      <c r="E1022" s="2798">
        <v>3073.45</v>
      </c>
    </row>
    <row r="1023" spans="1:5">
      <c r="A1023" s="2801">
        <v>44454</v>
      </c>
      <c r="B1023" s="2798">
        <v>34315.08</v>
      </c>
      <c r="C1023" s="2798">
        <v>339.21</v>
      </c>
      <c r="D1023" s="2798">
        <v>13703.24</v>
      </c>
      <c r="E1023" s="2798">
        <v>3100.88</v>
      </c>
    </row>
    <row r="1024" spans="1:5">
      <c r="A1024" s="2801">
        <v>44453</v>
      </c>
      <c r="B1024" s="2798">
        <v>34473.06</v>
      </c>
      <c r="C1024" s="2798">
        <v>341.78</v>
      </c>
      <c r="D1024" s="2798">
        <v>13651.93</v>
      </c>
      <c r="E1024" s="2798">
        <v>3118.32</v>
      </c>
    </row>
    <row r="1025" spans="1:5">
      <c r="A1025" s="2801">
        <v>44452</v>
      </c>
      <c r="B1025" s="2798">
        <v>34494.35</v>
      </c>
      <c r="C1025" s="2798">
        <v>341.93</v>
      </c>
      <c r="D1025" s="2798">
        <v>13693.56</v>
      </c>
      <c r="E1025" s="2798">
        <v>3130.87</v>
      </c>
    </row>
    <row r="1026" spans="1:5">
      <c r="A1026" s="2801">
        <v>44451</v>
      </c>
      <c r="B1026" s="2798" t="s">
        <v>1146</v>
      </c>
      <c r="C1026" s="2798" t="s">
        <v>1146</v>
      </c>
      <c r="D1026" s="2798"/>
      <c r="E1026" s="2798"/>
    </row>
    <row r="1027" spans="1:5">
      <c r="A1027" s="2801">
        <v>44450</v>
      </c>
      <c r="B1027" s="2798" t="s">
        <v>1146</v>
      </c>
      <c r="C1027" s="2798" t="s">
        <v>1146</v>
      </c>
      <c r="D1027" s="2798"/>
      <c r="E1027" s="2798"/>
    </row>
    <row r="1028" spans="1:5">
      <c r="A1028" s="2801">
        <v>44449</v>
      </c>
      <c r="B1028" s="2798">
        <v>34549.54</v>
      </c>
      <c r="C1028" s="2798">
        <v>345.5</v>
      </c>
      <c r="D1028" s="2798">
        <v>13675.81</v>
      </c>
      <c r="E1028" s="2798">
        <v>3148.45</v>
      </c>
    </row>
    <row r="1029" spans="1:5">
      <c r="A1029" s="2801">
        <v>44448</v>
      </c>
      <c r="B1029" s="2798">
        <v>34211.57</v>
      </c>
      <c r="C1029" s="2798">
        <v>340.85</v>
      </c>
      <c r="D1029" s="2798">
        <v>13736.56</v>
      </c>
      <c r="E1029" s="2798">
        <v>3126.63</v>
      </c>
    </row>
    <row r="1030" spans="1:5">
      <c r="A1030" s="2801">
        <v>44447</v>
      </c>
      <c r="B1030" s="2798">
        <v>34133.769999999997</v>
      </c>
      <c r="C1030" s="2798">
        <v>336.03</v>
      </c>
      <c r="D1030" s="2798">
        <v>13783.49</v>
      </c>
      <c r="E1030" s="2798">
        <v>3158.61</v>
      </c>
    </row>
    <row r="1031" spans="1:5">
      <c r="A1031" s="2801">
        <v>44446</v>
      </c>
      <c r="B1031" s="2798">
        <v>34439.089999999997</v>
      </c>
      <c r="C1031" s="2798">
        <v>342.62</v>
      </c>
      <c r="D1031" s="2798">
        <v>13835.52</v>
      </c>
      <c r="E1031" s="2798">
        <v>3186.94</v>
      </c>
    </row>
    <row r="1032" spans="1:5">
      <c r="A1032" s="2801">
        <v>44445</v>
      </c>
      <c r="B1032" s="2798">
        <v>34557.699999999997</v>
      </c>
      <c r="C1032" s="2798">
        <v>345.35</v>
      </c>
      <c r="D1032" s="2798">
        <v>13881.86</v>
      </c>
      <c r="E1032" s="2798">
        <v>3183.65</v>
      </c>
    </row>
    <row r="1033" spans="1:5">
      <c r="A1033" s="2801">
        <v>44444</v>
      </c>
      <c r="B1033" s="2798" t="s">
        <v>1146</v>
      </c>
      <c r="C1033" s="2798" t="s">
        <v>1146</v>
      </c>
      <c r="D1033" s="2798"/>
      <c r="E1033" s="2798"/>
    </row>
    <row r="1034" spans="1:5">
      <c r="A1034" s="2801">
        <v>44443</v>
      </c>
      <c r="B1034" s="2798" t="s">
        <v>1146</v>
      </c>
      <c r="C1034" s="2798" t="s">
        <v>1146</v>
      </c>
      <c r="D1034" s="2798"/>
      <c r="E1034" s="2798"/>
    </row>
    <row r="1035" spans="1:5">
      <c r="A1035" s="2801">
        <v>44442</v>
      </c>
      <c r="B1035" s="2798">
        <v>34587.69</v>
      </c>
      <c r="C1035" s="2798">
        <v>348.06</v>
      </c>
      <c r="D1035" s="2798">
        <v>13856.31</v>
      </c>
      <c r="E1035" s="2798">
        <v>3162.93</v>
      </c>
    </row>
    <row r="1036" spans="1:5">
      <c r="A1036" s="2801">
        <v>44441</v>
      </c>
      <c r="B1036" s="2798">
        <v>34197.410000000003</v>
      </c>
      <c r="C1036" s="2798">
        <v>345.17</v>
      </c>
      <c r="D1036" s="2798">
        <v>13844.94</v>
      </c>
      <c r="E1036" s="2798">
        <v>3153.19</v>
      </c>
    </row>
    <row r="1037" spans="1:5">
      <c r="A1037" s="2801">
        <v>44440</v>
      </c>
      <c r="B1037" s="2798">
        <v>34498.839999999997</v>
      </c>
      <c r="C1037" s="2798">
        <v>348.1</v>
      </c>
      <c r="D1037" s="2798">
        <v>13797.43</v>
      </c>
      <c r="E1037" s="2798">
        <v>3154.36</v>
      </c>
    </row>
    <row r="1038" spans="1:5">
      <c r="A1038" s="2801">
        <v>44439</v>
      </c>
      <c r="B1038" s="2798">
        <v>34530.01</v>
      </c>
      <c r="C1038" s="2798">
        <v>344.18</v>
      </c>
      <c r="D1038" s="2798">
        <v>13751.46</v>
      </c>
      <c r="E1038" s="2798">
        <v>3145.17</v>
      </c>
    </row>
    <row r="1039" spans="1:5">
      <c r="A1039" s="2801">
        <v>44438</v>
      </c>
      <c r="B1039" s="2798">
        <v>34324.949999999997</v>
      </c>
      <c r="C1039" s="2798">
        <v>342.53</v>
      </c>
      <c r="D1039" s="2798">
        <v>13773.42</v>
      </c>
      <c r="E1039" s="2798">
        <v>3088.86</v>
      </c>
    </row>
    <row r="1040" spans="1:5">
      <c r="A1040" s="2801">
        <v>44437</v>
      </c>
      <c r="B1040" s="2798" t="s">
        <v>1146</v>
      </c>
      <c r="C1040" s="2798" t="s">
        <v>1146</v>
      </c>
      <c r="D1040" s="2798"/>
      <c r="E1040" s="2798"/>
    </row>
    <row r="1041" spans="1:5">
      <c r="A1041" s="2801">
        <v>44436</v>
      </c>
      <c r="B1041" s="2798" t="s">
        <v>1146</v>
      </c>
      <c r="C1041" s="2798" t="s">
        <v>1146</v>
      </c>
      <c r="D1041" s="2798"/>
      <c r="E1041" s="2798"/>
    </row>
    <row r="1042" spans="1:5">
      <c r="A1042" s="2801">
        <v>44435</v>
      </c>
      <c r="B1042" s="2798">
        <v>33948.51</v>
      </c>
      <c r="C1042" s="2798">
        <v>339.16</v>
      </c>
      <c r="D1042" s="2798">
        <v>13715.63</v>
      </c>
      <c r="E1042" s="2798">
        <v>3058.22</v>
      </c>
    </row>
    <row r="1043" spans="1:5">
      <c r="A1043" s="2801">
        <v>44434</v>
      </c>
      <c r="B1043" s="2798">
        <v>33663.339999999997</v>
      </c>
      <c r="C1043" s="2798">
        <v>337.34</v>
      </c>
      <c r="D1043" s="2798">
        <v>13612.92</v>
      </c>
      <c r="E1043" s="2798">
        <v>3042.45</v>
      </c>
    </row>
    <row r="1044" spans="1:5">
      <c r="A1044" s="2801">
        <v>44433</v>
      </c>
      <c r="B1044" s="2798">
        <v>33602.32</v>
      </c>
      <c r="C1044" s="2798">
        <v>337.02</v>
      </c>
      <c r="D1044" s="2798">
        <v>13680.03</v>
      </c>
      <c r="E1044" s="2798">
        <v>3064.24</v>
      </c>
    </row>
    <row r="1045" spans="1:5">
      <c r="A1045" s="2801">
        <v>44432</v>
      </c>
      <c r="B1045" s="2798">
        <v>33129.78</v>
      </c>
      <c r="C1045" s="2798">
        <v>329.74</v>
      </c>
      <c r="D1045" s="2798">
        <v>13662.91</v>
      </c>
      <c r="E1045" s="2798">
        <v>3051.23</v>
      </c>
    </row>
    <row r="1046" spans="1:5">
      <c r="A1046" s="2801">
        <v>44431</v>
      </c>
      <c r="B1046" s="2798">
        <v>32973.96</v>
      </c>
      <c r="C1046" s="2798">
        <v>330.4</v>
      </c>
      <c r="D1046" s="2798">
        <v>13621.32</v>
      </c>
      <c r="E1046" s="2798">
        <v>2973.11</v>
      </c>
    </row>
    <row r="1047" spans="1:5">
      <c r="A1047" s="2801">
        <v>44430</v>
      </c>
      <c r="B1047" s="2798" t="s">
        <v>1146</v>
      </c>
      <c r="C1047" s="2798" t="s">
        <v>1146</v>
      </c>
      <c r="D1047" s="2798"/>
      <c r="E1047" s="2798"/>
    </row>
    <row r="1048" spans="1:5">
      <c r="A1048" s="2801">
        <v>44429</v>
      </c>
      <c r="B1048" s="2798" t="s">
        <v>1146</v>
      </c>
      <c r="C1048" s="2798" t="s">
        <v>1146</v>
      </c>
      <c r="D1048" s="2798"/>
      <c r="E1048" s="2798"/>
    </row>
    <row r="1049" spans="1:5">
      <c r="A1049" s="2801">
        <v>44428</v>
      </c>
      <c r="B1049" s="2798">
        <v>32167.66</v>
      </c>
      <c r="C1049" s="2798">
        <v>321.83</v>
      </c>
      <c r="D1049" s="2798">
        <v>13478.03</v>
      </c>
      <c r="E1049" s="2798">
        <v>2932.54</v>
      </c>
    </row>
    <row r="1050" spans="1:5">
      <c r="A1050" s="2801">
        <v>44427</v>
      </c>
      <c r="B1050" s="2798">
        <v>32227.38</v>
      </c>
      <c r="C1050" s="2798">
        <v>320.82</v>
      </c>
      <c r="D1050" s="2798">
        <v>13404.03</v>
      </c>
      <c r="E1050" s="2798">
        <v>2960.4</v>
      </c>
    </row>
    <row r="1051" spans="1:5">
      <c r="A1051" s="2801">
        <v>44426</v>
      </c>
      <c r="B1051" s="2798">
        <v>33109.839999999997</v>
      </c>
      <c r="C1051" s="2798">
        <v>328.43</v>
      </c>
      <c r="D1051" s="2798">
        <v>13466.24</v>
      </c>
      <c r="E1051" s="2798">
        <v>3030.47</v>
      </c>
    </row>
    <row r="1052" spans="1:5">
      <c r="A1052" s="2801">
        <v>44425</v>
      </c>
      <c r="B1052" s="2798">
        <v>32776.769999999997</v>
      </c>
      <c r="C1052" s="2798">
        <v>321.41000000000003</v>
      </c>
      <c r="D1052" s="2798">
        <v>13561.23</v>
      </c>
      <c r="E1052" s="2798">
        <v>3016.24</v>
      </c>
    </row>
    <row r="1053" spans="1:5">
      <c r="A1053" s="2801">
        <v>44424</v>
      </c>
      <c r="B1053" s="2798">
        <v>33154.82</v>
      </c>
      <c r="C1053" s="2798">
        <v>327.58999999999997</v>
      </c>
      <c r="D1053" s="2798">
        <v>13655.66</v>
      </c>
      <c r="E1053" s="2798">
        <v>3054.14</v>
      </c>
    </row>
    <row r="1054" spans="1:5">
      <c r="A1054" s="2801">
        <v>44423</v>
      </c>
      <c r="B1054" s="2798" t="s">
        <v>1146</v>
      </c>
      <c r="C1054" s="2798" t="s">
        <v>1146</v>
      </c>
      <c r="D1054" s="2798"/>
      <c r="E1054" s="2798"/>
    </row>
    <row r="1055" spans="1:5">
      <c r="A1055" s="2801">
        <v>44422</v>
      </c>
      <c r="B1055" s="2798" t="s">
        <v>1146</v>
      </c>
      <c r="C1055" s="2798" t="s">
        <v>1146</v>
      </c>
      <c r="D1055" s="2798"/>
      <c r="E1055" s="2798"/>
    </row>
    <row r="1056" spans="1:5">
      <c r="A1056" s="2801">
        <v>44421</v>
      </c>
      <c r="B1056" s="2798">
        <v>33372.089999999997</v>
      </c>
      <c r="C1056" s="2798">
        <v>330.95</v>
      </c>
      <c r="D1056" s="2798">
        <v>13668.59</v>
      </c>
      <c r="E1056" s="2798">
        <v>3074.19</v>
      </c>
    </row>
    <row r="1057" spans="1:5">
      <c r="A1057" s="2801">
        <v>44420</v>
      </c>
      <c r="B1057" s="2798">
        <v>33834.379999999997</v>
      </c>
      <c r="C1057" s="2798">
        <v>338.38</v>
      </c>
      <c r="D1057" s="2798">
        <v>13626.6</v>
      </c>
      <c r="E1057" s="2798">
        <v>3098.18</v>
      </c>
    </row>
    <row r="1058" spans="1:5">
      <c r="A1058" s="2801">
        <v>44419</v>
      </c>
      <c r="B1058" s="2798">
        <v>33812.25</v>
      </c>
      <c r="C1058" s="2798">
        <v>335.43</v>
      </c>
      <c r="D1058" s="2798">
        <v>13595.36</v>
      </c>
      <c r="E1058" s="2798">
        <v>3113.54</v>
      </c>
    </row>
    <row r="1059" spans="1:5">
      <c r="A1059" s="2801">
        <v>44418</v>
      </c>
      <c r="B1059" s="2798">
        <v>33988.85</v>
      </c>
      <c r="C1059" s="2798">
        <v>342.8</v>
      </c>
      <c r="D1059" s="2798">
        <v>13549.24</v>
      </c>
      <c r="E1059" s="2798">
        <v>3119.54</v>
      </c>
    </row>
    <row r="1060" spans="1:5">
      <c r="A1060" s="2801">
        <v>44417</v>
      </c>
      <c r="B1060" s="2798">
        <v>34289.71</v>
      </c>
      <c r="C1060" s="2798">
        <v>346.22</v>
      </c>
      <c r="D1060" s="2798">
        <v>13538.54</v>
      </c>
      <c r="E1060" s="2798">
        <v>3104.5</v>
      </c>
    </row>
    <row r="1061" spans="1:5">
      <c r="A1061" s="2801">
        <v>44416</v>
      </c>
      <c r="B1061" s="2798" t="s">
        <v>1146</v>
      </c>
      <c r="C1061" s="2798" t="s">
        <v>1146</v>
      </c>
      <c r="D1061" s="2798"/>
      <c r="E1061" s="2798"/>
    </row>
    <row r="1062" spans="1:5">
      <c r="A1062" s="2801">
        <v>44415</v>
      </c>
      <c r="B1062" s="2798" t="s">
        <v>1146</v>
      </c>
      <c r="C1062" s="2798" t="s">
        <v>1146</v>
      </c>
      <c r="D1062" s="2798"/>
      <c r="E1062" s="2798"/>
    </row>
    <row r="1063" spans="1:5">
      <c r="A1063" s="2801">
        <v>44414</v>
      </c>
      <c r="B1063" s="2798">
        <v>34362.26</v>
      </c>
      <c r="C1063" s="2798">
        <v>354.12</v>
      </c>
      <c r="D1063" s="2798">
        <v>13542.21</v>
      </c>
      <c r="E1063" s="2798">
        <v>3100.26</v>
      </c>
    </row>
    <row r="1064" spans="1:5">
      <c r="A1064" s="2801">
        <v>44413</v>
      </c>
      <c r="B1064" s="2798">
        <v>34510.910000000003</v>
      </c>
      <c r="C1064" s="2798">
        <v>356.49</v>
      </c>
      <c r="D1064" s="2798">
        <v>13559.25</v>
      </c>
      <c r="E1064" s="2798">
        <v>3118.36</v>
      </c>
    </row>
    <row r="1065" spans="1:5">
      <c r="A1065" s="2801">
        <v>44412</v>
      </c>
      <c r="B1065" s="2798">
        <v>34527.699999999997</v>
      </c>
      <c r="C1065" s="2798">
        <v>353.57</v>
      </c>
      <c r="D1065" s="2798">
        <v>13486.23</v>
      </c>
      <c r="E1065" s="2798">
        <v>3127.3</v>
      </c>
    </row>
    <row r="1066" spans="1:5">
      <c r="A1066" s="2801">
        <v>44411</v>
      </c>
      <c r="B1066" s="2798">
        <v>34386.99</v>
      </c>
      <c r="C1066" s="2798">
        <v>351.45</v>
      </c>
      <c r="D1066" s="2798">
        <v>13515.21</v>
      </c>
      <c r="E1066" s="2798">
        <v>3103.74</v>
      </c>
    </row>
    <row r="1067" spans="1:5">
      <c r="A1067" s="2801">
        <v>44410</v>
      </c>
      <c r="B1067" s="2798">
        <v>34278.959999999999</v>
      </c>
      <c r="C1067" s="2798">
        <v>349.79</v>
      </c>
      <c r="D1067" s="2798">
        <v>13447.88</v>
      </c>
      <c r="E1067" s="2798">
        <v>3101.14</v>
      </c>
    </row>
    <row r="1068" spans="1:5">
      <c r="A1068" s="2801">
        <v>44409</v>
      </c>
      <c r="B1068" s="2798" t="s">
        <v>1146</v>
      </c>
      <c r="C1068" s="2798" t="s">
        <v>1146</v>
      </c>
      <c r="D1068" s="2798"/>
      <c r="E1068" s="2798"/>
    </row>
    <row r="1069" spans="1:5">
      <c r="A1069" s="2801">
        <v>44408</v>
      </c>
      <c r="B1069" s="2798" t="s">
        <v>1146</v>
      </c>
      <c r="C1069" s="2798" t="s">
        <v>1146</v>
      </c>
      <c r="D1069" s="2798"/>
      <c r="E1069" s="2798"/>
    </row>
    <row r="1070" spans="1:5">
      <c r="A1070" s="2801">
        <v>44407</v>
      </c>
      <c r="B1070" s="2798">
        <v>33754.870000000003</v>
      </c>
      <c r="C1070" s="2798">
        <v>345.53</v>
      </c>
      <c r="D1070" s="2798">
        <v>13413.45</v>
      </c>
      <c r="E1070" s="2798">
        <v>3064</v>
      </c>
    </row>
    <row r="1071" spans="1:5">
      <c r="A1071" s="2801">
        <v>44406</v>
      </c>
      <c r="B1071" s="2798">
        <v>34037.870000000003</v>
      </c>
      <c r="C1071" s="2798">
        <v>348.07</v>
      </c>
      <c r="D1071" s="2798">
        <v>13502.35</v>
      </c>
      <c r="E1071" s="2798">
        <v>3105.91</v>
      </c>
    </row>
    <row r="1072" spans="1:5">
      <c r="A1072" s="2801">
        <v>44405</v>
      </c>
      <c r="B1072" s="2798">
        <v>33507.11</v>
      </c>
      <c r="C1072" s="2798">
        <v>341.13</v>
      </c>
      <c r="D1072" s="2798">
        <v>13412.26</v>
      </c>
      <c r="E1072" s="2798">
        <v>3040.49</v>
      </c>
    </row>
    <row r="1073" spans="1:5">
      <c r="A1073" s="2801">
        <v>44404</v>
      </c>
      <c r="B1073" s="2798">
        <v>33751.15</v>
      </c>
      <c r="C1073" s="2798">
        <v>348.76</v>
      </c>
      <c r="D1073" s="2798">
        <v>13409.46</v>
      </c>
      <c r="E1073" s="2798">
        <v>3002.33</v>
      </c>
    </row>
    <row r="1074" spans="1:5">
      <c r="A1074" s="2801">
        <v>44403</v>
      </c>
      <c r="B1074" s="2798">
        <v>33994.519999999997</v>
      </c>
      <c r="C1074" s="2798">
        <v>355.28</v>
      </c>
      <c r="D1074" s="2798">
        <v>13459.83</v>
      </c>
      <c r="E1074" s="2798">
        <v>3068.16</v>
      </c>
    </row>
    <row r="1075" spans="1:5">
      <c r="A1075" s="2801">
        <v>44402</v>
      </c>
      <c r="B1075" s="2798" t="s">
        <v>1146</v>
      </c>
      <c r="C1075" s="2798" t="s">
        <v>1146</v>
      </c>
      <c r="D1075" s="2798"/>
      <c r="E1075" s="2798"/>
    </row>
    <row r="1076" spans="1:5">
      <c r="A1076" s="2801">
        <v>44401</v>
      </c>
      <c r="B1076" s="2798" t="s">
        <v>1146</v>
      </c>
      <c r="C1076" s="2798" t="s">
        <v>1146</v>
      </c>
      <c r="D1076" s="2798"/>
      <c r="E1076" s="2798"/>
    </row>
    <row r="1077" spans="1:5">
      <c r="A1077" s="2801">
        <v>44400</v>
      </c>
      <c r="B1077" s="2798">
        <v>34266.71</v>
      </c>
      <c r="C1077" s="2798">
        <v>349.98</v>
      </c>
      <c r="D1077" s="2798">
        <v>13424.55</v>
      </c>
      <c r="E1077" s="2798">
        <v>3142.08</v>
      </c>
    </row>
    <row r="1078" spans="1:5">
      <c r="A1078" s="2801">
        <v>44399</v>
      </c>
      <c r="B1078" s="2798">
        <v>34247.81</v>
      </c>
      <c r="C1078" s="2798">
        <v>350.39</v>
      </c>
      <c r="D1078" s="2798">
        <v>13310.94</v>
      </c>
      <c r="E1078" s="2798">
        <v>3177.93</v>
      </c>
    </row>
    <row r="1079" spans="1:5">
      <c r="A1079" s="2801">
        <v>44398</v>
      </c>
      <c r="B1079" s="2798">
        <v>33966.93</v>
      </c>
      <c r="C1079" s="2798">
        <v>348.4</v>
      </c>
      <c r="D1079" s="2798">
        <v>13267.01</v>
      </c>
      <c r="E1079" s="2798">
        <v>3142.83</v>
      </c>
    </row>
    <row r="1080" spans="1:5">
      <c r="A1080" s="2801">
        <v>44397</v>
      </c>
      <c r="B1080" s="2798">
        <v>34097.15</v>
      </c>
      <c r="C1080" s="2798">
        <v>347.93</v>
      </c>
      <c r="D1080" s="2798">
        <v>13132.16</v>
      </c>
      <c r="E1080" s="2798">
        <v>3139.95</v>
      </c>
    </row>
    <row r="1081" spans="1:5">
      <c r="A1081" s="2801">
        <v>44396</v>
      </c>
      <c r="B1081" s="2798">
        <v>34591.67</v>
      </c>
      <c r="C1081" s="2798">
        <v>351.33</v>
      </c>
      <c r="D1081" s="2798">
        <v>12999.5</v>
      </c>
      <c r="E1081" s="2798">
        <v>3154.47</v>
      </c>
    </row>
    <row r="1082" spans="1:5">
      <c r="A1082" s="2801">
        <v>44395</v>
      </c>
      <c r="B1082" s="2798" t="s">
        <v>1146</v>
      </c>
      <c r="C1082" s="2798" t="s">
        <v>1146</v>
      </c>
      <c r="D1082" s="2798"/>
      <c r="E1082" s="2798"/>
    </row>
    <row r="1083" spans="1:5">
      <c r="A1083" s="2801">
        <v>44394</v>
      </c>
      <c r="B1083" s="2798" t="s">
        <v>1146</v>
      </c>
      <c r="C1083" s="2798" t="s">
        <v>1146</v>
      </c>
      <c r="D1083" s="2798"/>
      <c r="E1083" s="2798"/>
    </row>
    <row r="1084" spans="1:5">
      <c r="A1084" s="2801">
        <v>44393</v>
      </c>
      <c r="B1084" s="2798">
        <v>34791.629999999997</v>
      </c>
      <c r="C1084" s="2798">
        <v>349.79</v>
      </c>
      <c r="D1084" s="2798">
        <v>13213.47</v>
      </c>
      <c r="E1084" s="2798">
        <v>3208.87</v>
      </c>
    </row>
    <row r="1085" spans="1:5">
      <c r="A1085" s="2801">
        <v>44392</v>
      </c>
      <c r="B1085" s="2798">
        <v>35061.040000000001</v>
      </c>
      <c r="C1085" s="2798">
        <v>349.37</v>
      </c>
      <c r="D1085" s="2798">
        <v>13295.89</v>
      </c>
      <c r="E1085" s="2798">
        <v>3228.8</v>
      </c>
    </row>
    <row r="1086" spans="1:5">
      <c r="A1086" s="2801">
        <v>44391</v>
      </c>
      <c r="B1086" s="2798">
        <v>34688.050000000003</v>
      </c>
      <c r="C1086" s="2798">
        <v>344.37</v>
      </c>
      <c r="D1086" s="2798">
        <v>13361.38</v>
      </c>
      <c r="E1086" s="2798">
        <v>3203.62</v>
      </c>
    </row>
    <row r="1087" spans="1:5">
      <c r="A1087" s="2801">
        <v>44390</v>
      </c>
      <c r="B1087" s="2798">
        <v>34690.33</v>
      </c>
      <c r="C1087" s="2798">
        <v>344.55</v>
      </c>
      <c r="D1087" s="2798">
        <v>13363.31</v>
      </c>
      <c r="E1087" s="2798">
        <v>3205.99</v>
      </c>
    </row>
    <row r="1088" spans="1:5">
      <c r="A1088" s="2801">
        <v>44389</v>
      </c>
      <c r="B1088" s="2798">
        <v>34622.78</v>
      </c>
      <c r="C1088" s="2798">
        <v>346.5</v>
      </c>
      <c r="D1088" s="2798">
        <v>13402.56</v>
      </c>
      <c r="E1088" s="2798">
        <v>3175.29</v>
      </c>
    </row>
    <row r="1089" spans="1:5">
      <c r="A1089" s="2801">
        <v>44388</v>
      </c>
      <c r="B1089" s="2798" t="s">
        <v>1146</v>
      </c>
      <c r="C1089" s="2798" t="s">
        <v>1146</v>
      </c>
      <c r="D1089" s="2798"/>
      <c r="E1089" s="2798"/>
    </row>
    <row r="1090" spans="1:5">
      <c r="A1090" s="2801">
        <v>44387</v>
      </c>
      <c r="B1090" s="2798" t="s">
        <v>1146</v>
      </c>
      <c r="C1090" s="2798" t="s">
        <v>1146</v>
      </c>
      <c r="D1090" s="2798"/>
      <c r="E1090" s="2798"/>
    </row>
    <row r="1091" spans="1:5">
      <c r="A1091" s="2801">
        <v>44386</v>
      </c>
      <c r="B1091" s="2798">
        <v>34324.65</v>
      </c>
      <c r="C1091" s="2798">
        <v>340.98</v>
      </c>
      <c r="D1091" s="2798">
        <v>13336.39</v>
      </c>
      <c r="E1091" s="2798">
        <v>3154.48</v>
      </c>
    </row>
    <row r="1092" spans="1:5">
      <c r="A1092" s="2801">
        <v>44385</v>
      </c>
      <c r="B1092" s="2798">
        <v>34706.730000000003</v>
      </c>
      <c r="C1092" s="2798">
        <v>342.82</v>
      </c>
      <c r="D1092" s="2798">
        <v>13201.36</v>
      </c>
      <c r="E1092" s="2798">
        <v>3149.39</v>
      </c>
    </row>
    <row r="1093" spans="1:5">
      <c r="A1093" s="2801">
        <v>44384</v>
      </c>
      <c r="B1093" s="2798">
        <v>34667.519999999997</v>
      </c>
      <c r="C1093" s="2798">
        <v>341.67</v>
      </c>
      <c r="D1093" s="2798">
        <v>13318.75</v>
      </c>
      <c r="E1093" s="2798">
        <v>3207.38</v>
      </c>
    </row>
    <row r="1094" spans="1:5">
      <c r="A1094" s="2801">
        <v>44383</v>
      </c>
      <c r="B1094" s="2798">
        <v>34788.379999999997</v>
      </c>
      <c r="C1094" s="2798">
        <v>339.68</v>
      </c>
      <c r="D1094" s="2798">
        <v>13287.95</v>
      </c>
      <c r="E1094" s="2798">
        <v>3218.89</v>
      </c>
    </row>
    <row r="1095" spans="1:5">
      <c r="A1095" s="2801">
        <v>44382</v>
      </c>
      <c r="B1095" s="2798">
        <v>34762.44</v>
      </c>
      <c r="C1095" s="2798">
        <v>341.67</v>
      </c>
      <c r="D1095" s="2798">
        <v>13318.93</v>
      </c>
      <c r="E1095" s="2798">
        <v>3236.83</v>
      </c>
    </row>
    <row r="1096" spans="1:5">
      <c r="A1096" s="2801">
        <v>44381</v>
      </c>
      <c r="B1096" s="2798" t="s">
        <v>1146</v>
      </c>
      <c r="C1096" s="2798" t="s">
        <v>1146</v>
      </c>
      <c r="D1096" s="2798"/>
      <c r="E1096" s="2798"/>
    </row>
    <row r="1097" spans="1:5">
      <c r="A1097" s="2801">
        <v>44380</v>
      </c>
      <c r="B1097" s="2798" t="s">
        <v>1146</v>
      </c>
      <c r="C1097" s="2798" t="s">
        <v>1146</v>
      </c>
      <c r="D1097" s="2798"/>
      <c r="E1097" s="2798"/>
    </row>
    <row r="1098" spans="1:5">
      <c r="A1098" s="2801">
        <v>44379</v>
      </c>
      <c r="B1098" s="2798">
        <v>34353.519999999997</v>
      </c>
      <c r="C1098" s="2798">
        <v>337.01</v>
      </c>
      <c r="D1098" s="2798">
        <v>13302.22</v>
      </c>
      <c r="E1098" s="2798">
        <v>3238.03</v>
      </c>
    </row>
    <row r="1099" spans="1:5">
      <c r="A1099" s="2800">
        <v>44378</v>
      </c>
      <c r="B1099" s="2798">
        <v>34360.800000000003</v>
      </c>
      <c r="C1099" s="2798">
        <v>333.28</v>
      </c>
      <c r="D1099" s="2798">
        <v>13222.94</v>
      </c>
      <c r="E1099" s="2798">
        <v>3268.1</v>
      </c>
    </row>
    <row r="1100" spans="1:5">
      <c r="A1100" s="2358"/>
      <c r="B1100" s="2359"/>
      <c r="C1100" s="2359"/>
      <c r="D1100" s="2359"/>
      <c r="E1100" s="2359"/>
    </row>
  </sheetData>
  <phoneticPr fontId="30"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tabColor rgb="FFFFFF00"/>
    <pageSetUpPr fitToPage="1"/>
  </sheetPr>
  <dimension ref="A1:R79"/>
  <sheetViews>
    <sheetView zoomScaleNormal="100" workbookViewId="0">
      <pane xSplit="3" ySplit="5" topLeftCell="D27" activePane="bottomRight" state="frozen"/>
      <selection pane="topRight"/>
      <selection pane="bottomLeft"/>
      <selection pane="bottomRight" activeCell="A47" sqref="A47:B47"/>
    </sheetView>
  </sheetViews>
  <sheetFormatPr defaultColWidth="15.625" defaultRowHeight="0" customHeight="1" zeroHeight="1"/>
  <cols>
    <col min="1" max="1" width="5.625" style="63" customWidth="1"/>
    <col min="2" max="2" width="15.625" style="63" customWidth="1"/>
    <col min="3" max="3" width="45.625" style="63" customWidth="1"/>
    <col min="4" max="16384" width="15.625" style="63"/>
  </cols>
  <sheetData>
    <row r="1" spans="1:17" ht="16.5">
      <c r="A1" s="2186" t="str">
        <f>+封面!A3&amp;" "&amp;封面!A2</f>
        <v xml:space="preserve"> 中央再保險股份有限公司 年度檢查報表</v>
      </c>
      <c r="B1" s="1685"/>
      <c r="C1" s="1685"/>
    </row>
    <row r="2" spans="1:17" ht="16.5">
      <c r="A2" s="1686" t="s">
        <v>4616</v>
      </c>
      <c r="B2" s="1687"/>
      <c r="C2" s="1687"/>
      <c r="M2" s="1688"/>
      <c r="N2" s="1688"/>
      <c r="O2" s="1688"/>
      <c r="P2" s="1688"/>
      <c r="Q2" s="1689" t="s">
        <v>3564</v>
      </c>
    </row>
    <row r="3" spans="1:17" ht="16.5">
      <c r="A3" s="2869" t="s">
        <v>3565</v>
      </c>
      <c r="B3" s="2865" t="s">
        <v>4440</v>
      </c>
      <c r="C3" s="2865"/>
      <c r="D3" s="1690" t="s">
        <v>4431</v>
      </c>
      <c r="E3" s="1690"/>
      <c r="F3" s="1690"/>
      <c r="G3" s="1690"/>
      <c r="H3" s="1690" t="s">
        <v>4432</v>
      </c>
      <c r="I3" s="1690"/>
      <c r="J3" s="1690"/>
      <c r="K3" s="1690"/>
      <c r="L3" s="1690" t="s">
        <v>4433</v>
      </c>
      <c r="M3" s="1690"/>
      <c r="N3" s="1690"/>
      <c r="O3" s="1690"/>
      <c r="P3" s="1690"/>
      <c r="Q3" s="2865" t="s">
        <v>3449</v>
      </c>
    </row>
    <row r="4" spans="1:17" ht="49.5">
      <c r="A4" s="2869"/>
      <c r="B4" s="2865"/>
      <c r="C4" s="2865"/>
      <c r="D4" s="1566" t="s">
        <v>4434</v>
      </c>
      <c r="E4" s="428" t="s">
        <v>4435</v>
      </c>
      <c r="F4" s="428" t="s">
        <v>4436</v>
      </c>
      <c r="G4" s="428" t="s">
        <v>4437</v>
      </c>
      <c r="H4" s="1566" t="s">
        <v>4434</v>
      </c>
      <c r="I4" s="428" t="s">
        <v>4435</v>
      </c>
      <c r="J4" s="428" t="s">
        <v>4436</v>
      </c>
      <c r="K4" s="428" t="s">
        <v>4437</v>
      </c>
      <c r="L4" s="1566" t="s">
        <v>4434</v>
      </c>
      <c r="M4" s="428" t="s">
        <v>4435</v>
      </c>
      <c r="N4" s="428" t="s">
        <v>4436</v>
      </c>
      <c r="O4" s="428" t="s">
        <v>4437</v>
      </c>
      <c r="P4" s="428" t="s">
        <v>4617</v>
      </c>
      <c r="Q4" s="2866"/>
    </row>
    <row r="5" spans="1:17" ht="15.75">
      <c r="A5" s="2869"/>
      <c r="B5" s="2873" t="s">
        <v>66</v>
      </c>
      <c r="C5" s="2873"/>
      <c r="D5" s="1691" t="s">
        <v>67</v>
      </c>
      <c r="E5" s="1691" t="s">
        <v>68</v>
      </c>
      <c r="F5" s="1691" t="s">
        <v>69</v>
      </c>
      <c r="G5" s="1551" t="s">
        <v>70</v>
      </c>
      <c r="H5" s="1551" t="s">
        <v>71</v>
      </c>
      <c r="I5" s="1551" t="s">
        <v>72</v>
      </c>
      <c r="J5" s="1551" t="s">
        <v>73</v>
      </c>
      <c r="K5" s="1551" t="s">
        <v>74</v>
      </c>
      <c r="L5" s="1551" t="s">
        <v>75</v>
      </c>
      <c r="M5" s="1551" t="s">
        <v>225</v>
      </c>
      <c r="N5" s="1551" t="s">
        <v>226</v>
      </c>
      <c r="O5" s="1551" t="s">
        <v>274</v>
      </c>
      <c r="P5" s="1551" t="s">
        <v>275</v>
      </c>
      <c r="Q5" s="1551" t="s">
        <v>276</v>
      </c>
    </row>
    <row r="6" spans="1:17" ht="16.5">
      <c r="A6" s="1692">
        <v>1</v>
      </c>
      <c r="B6" s="2870" t="s">
        <v>4464</v>
      </c>
      <c r="C6" s="1553" t="s">
        <v>4618</v>
      </c>
      <c r="D6" s="1693"/>
      <c r="E6" s="1693"/>
      <c r="F6" s="1693"/>
      <c r="G6" s="1693"/>
      <c r="H6" s="1693"/>
      <c r="I6" s="1693"/>
      <c r="J6" s="1693"/>
      <c r="K6" s="1693"/>
      <c r="L6" s="1693"/>
      <c r="M6" s="1693"/>
      <c r="N6" s="1693"/>
      <c r="O6" s="1693"/>
      <c r="P6" s="1693"/>
      <c r="Q6" s="1694"/>
    </row>
    <row r="7" spans="1:17" ht="33">
      <c r="A7" s="1692">
        <f>A6+1</f>
        <v>2</v>
      </c>
      <c r="B7" s="2871"/>
      <c r="C7" s="1557" t="s">
        <v>4619</v>
      </c>
      <c r="D7" s="1693"/>
      <c r="E7" s="1693"/>
      <c r="F7" s="1693"/>
      <c r="G7" s="1693"/>
      <c r="H7" s="1693"/>
      <c r="I7" s="1693"/>
      <c r="J7" s="1693"/>
      <c r="K7" s="1693"/>
      <c r="L7" s="1693"/>
      <c r="M7" s="1693"/>
      <c r="N7" s="1693"/>
      <c r="O7" s="1693"/>
      <c r="P7" s="1693"/>
      <c r="Q7" s="1694"/>
    </row>
    <row r="8" spans="1:17" ht="33">
      <c r="A8" s="1692">
        <f>A7+1</f>
        <v>3</v>
      </c>
      <c r="B8" s="2871"/>
      <c r="C8" s="1557" t="s">
        <v>4620</v>
      </c>
      <c r="D8" s="1693"/>
      <c r="E8" s="1693"/>
      <c r="F8" s="1693"/>
      <c r="G8" s="1693"/>
      <c r="H8" s="1693"/>
      <c r="I8" s="1693"/>
      <c r="J8" s="1693"/>
      <c r="K8" s="1693"/>
      <c r="L8" s="1693"/>
      <c r="M8" s="1693"/>
      <c r="N8" s="1693"/>
      <c r="O8" s="1693"/>
      <c r="P8" s="1693"/>
      <c r="Q8" s="1694"/>
    </row>
    <row r="9" spans="1:17" ht="16.5">
      <c r="A9" s="1692">
        <f t="shared" ref="A9:A39" si="0">A8+1</f>
        <v>4</v>
      </c>
      <c r="B9" s="2871"/>
      <c r="C9" s="1557" t="s">
        <v>4621</v>
      </c>
      <c r="D9" s="1693"/>
      <c r="E9" s="1693"/>
      <c r="F9" s="1693"/>
      <c r="G9" s="1693"/>
      <c r="H9" s="1693"/>
      <c r="I9" s="1693"/>
      <c r="J9" s="1693"/>
      <c r="K9" s="1693"/>
      <c r="L9" s="1693"/>
      <c r="M9" s="1693"/>
      <c r="N9" s="1693"/>
      <c r="O9" s="1693"/>
      <c r="P9" s="1693"/>
      <c r="Q9" s="1694"/>
    </row>
    <row r="10" spans="1:17" ht="16.5">
      <c r="A10" s="1692">
        <f t="shared" si="0"/>
        <v>5</v>
      </c>
      <c r="B10" s="2871"/>
      <c r="C10" s="1557" t="s">
        <v>4622</v>
      </c>
      <c r="D10" s="1693"/>
      <c r="E10" s="1693"/>
      <c r="F10" s="1693"/>
      <c r="G10" s="1693"/>
      <c r="H10" s="1693"/>
      <c r="I10" s="1693"/>
      <c r="J10" s="1693"/>
      <c r="K10" s="1693"/>
      <c r="L10" s="1693"/>
      <c r="M10" s="1693"/>
      <c r="N10" s="1693"/>
      <c r="O10" s="1693"/>
      <c r="P10" s="1693"/>
      <c r="Q10" s="1694"/>
    </row>
    <row r="11" spans="1:17" ht="16.5">
      <c r="A11" s="1692">
        <f t="shared" si="0"/>
        <v>6</v>
      </c>
      <c r="B11" s="2871"/>
      <c r="C11" s="1557" t="s">
        <v>4623</v>
      </c>
      <c r="D11" s="1693"/>
      <c r="E11" s="1693"/>
      <c r="F11" s="1693"/>
      <c r="G11" s="1693"/>
      <c r="H11" s="1693"/>
      <c r="I11" s="1693"/>
      <c r="J11" s="1693"/>
      <c r="K11" s="1693"/>
      <c r="L11" s="1693"/>
      <c r="M11" s="1693"/>
      <c r="N11" s="1693"/>
      <c r="O11" s="1693"/>
      <c r="P11" s="1693"/>
      <c r="Q11" s="1694"/>
    </row>
    <row r="12" spans="1:17" ht="16.5">
      <c r="A12" s="1692">
        <f t="shared" si="0"/>
        <v>7</v>
      </c>
      <c r="B12" s="2871"/>
      <c r="C12" s="1557" t="s">
        <v>4624</v>
      </c>
      <c r="D12" s="1693"/>
      <c r="E12" s="1693"/>
      <c r="F12" s="1693"/>
      <c r="G12" s="1693"/>
      <c r="H12" s="1693"/>
      <c r="I12" s="1693"/>
      <c r="J12" s="1693"/>
      <c r="K12" s="1693"/>
      <c r="L12" s="1693"/>
      <c r="M12" s="1693"/>
      <c r="N12" s="1693"/>
      <c r="O12" s="1693"/>
      <c r="P12" s="1693"/>
      <c r="Q12" s="1694"/>
    </row>
    <row r="13" spans="1:17" ht="16.5">
      <c r="A13" s="1692">
        <f t="shared" si="0"/>
        <v>8</v>
      </c>
      <c r="B13" s="2871"/>
      <c r="C13" s="1553" t="s">
        <v>4625</v>
      </c>
      <c r="D13" s="1693"/>
      <c r="E13" s="1693"/>
      <c r="F13" s="1693"/>
      <c r="G13" s="1693"/>
      <c r="H13" s="1693"/>
      <c r="I13" s="1693"/>
      <c r="J13" s="1693"/>
      <c r="K13" s="1693"/>
      <c r="L13" s="1693"/>
      <c r="M13" s="1693"/>
      <c r="N13" s="1693"/>
      <c r="O13" s="1693"/>
      <c r="P13" s="1693"/>
      <c r="Q13" s="1694"/>
    </row>
    <row r="14" spans="1:17" ht="33">
      <c r="A14" s="1692">
        <f t="shared" si="0"/>
        <v>9</v>
      </c>
      <c r="B14" s="2871"/>
      <c r="C14" s="1557" t="s">
        <v>4619</v>
      </c>
      <c r="D14" s="1693"/>
      <c r="E14" s="1693"/>
      <c r="F14" s="1693"/>
      <c r="G14" s="1693"/>
      <c r="H14" s="1693"/>
      <c r="I14" s="1693"/>
      <c r="J14" s="1693"/>
      <c r="K14" s="1693"/>
      <c r="L14" s="1693"/>
      <c r="M14" s="1693"/>
      <c r="N14" s="1693"/>
      <c r="O14" s="1693"/>
      <c r="P14" s="1693"/>
      <c r="Q14" s="1694"/>
    </row>
    <row r="15" spans="1:17" ht="33">
      <c r="A15" s="1692">
        <f t="shared" si="0"/>
        <v>10</v>
      </c>
      <c r="B15" s="2871"/>
      <c r="C15" s="1557" t="s">
        <v>4620</v>
      </c>
      <c r="D15" s="1693"/>
      <c r="E15" s="1693"/>
      <c r="F15" s="1693"/>
      <c r="G15" s="1693"/>
      <c r="H15" s="1693"/>
      <c r="I15" s="1693"/>
      <c r="J15" s="1693"/>
      <c r="K15" s="1693"/>
      <c r="L15" s="1693"/>
      <c r="M15" s="1693"/>
      <c r="N15" s="1693"/>
      <c r="O15" s="1693"/>
      <c r="P15" s="1693"/>
      <c r="Q15" s="1694"/>
    </row>
    <row r="16" spans="1:17" ht="16.5">
      <c r="A16" s="1692">
        <f t="shared" si="0"/>
        <v>11</v>
      </c>
      <c r="B16" s="2871"/>
      <c r="C16" s="1557" t="s">
        <v>4621</v>
      </c>
      <c r="D16" s="1693"/>
      <c r="E16" s="1693"/>
      <c r="F16" s="1693"/>
      <c r="G16" s="1693"/>
      <c r="H16" s="1693"/>
      <c r="I16" s="1693"/>
      <c r="J16" s="1693"/>
      <c r="K16" s="1693"/>
      <c r="L16" s="1693"/>
      <c r="M16" s="1693"/>
      <c r="N16" s="1693"/>
      <c r="O16" s="1693"/>
      <c r="P16" s="1693"/>
      <c r="Q16" s="1694"/>
    </row>
    <row r="17" spans="1:17" ht="16.5">
      <c r="A17" s="1692">
        <f t="shared" si="0"/>
        <v>12</v>
      </c>
      <c r="B17" s="2871"/>
      <c r="C17" s="1557" t="s">
        <v>4622</v>
      </c>
      <c r="D17" s="1693"/>
      <c r="E17" s="1693"/>
      <c r="F17" s="1693"/>
      <c r="G17" s="1693"/>
      <c r="H17" s="1693"/>
      <c r="I17" s="1693"/>
      <c r="J17" s="1693"/>
      <c r="K17" s="1693"/>
      <c r="L17" s="1693"/>
      <c r="M17" s="1693"/>
      <c r="N17" s="1693"/>
      <c r="O17" s="1693"/>
      <c r="P17" s="1693"/>
      <c r="Q17" s="1694"/>
    </row>
    <row r="18" spans="1:17" ht="16.5">
      <c r="A18" s="1692">
        <f t="shared" si="0"/>
        <v>13</v>
      </c>
      <c r="B18" s="2871"/>
      <c r="C18" s="1557" t="s">
        <v>4623</v>
      </c>
      <c r="D18" s="1693"/>
      <c r="E18" s="1693"/>
      <c r="F18" s="1693"/>
      <c r="G18" s="1693"/>
      <c r="H18" s="1693"/>
      <c r="I18" s="1693"/>
      <c r="J18" s="1693"/>
      <c r="K18" s="1693"/>
      <c r="L18" s="1693"/>
      <c r="M18" s="1693"/>
      <c r="N18" s="1693"/>
      <c r="O18" s="1693"/>
      <c r="P18" s="1693"/>
      <c r="Q18" s="1694"/>
    </row>
    <row r="19" spans="1:17" ht="16.5">
      <c r="A19" s="1692">
        <f t="shared" si="0"/>
        <v>14</v>
      </c>
      <c r="B19" s="2871"/>
      <c r="C19" s="1557" t="s">
        <v>4601</v>
      </c>
      <c r="D19" s="1693"/>
      <c r="E19" s="1693"/>
      <c r="F19" s="1693"/>
      <c r="G19" s="1693"/>
      <c r="H19" s="1693"/>
      <c r="I19" s="1693"/>
      <c r="J19" s="1693"/>
      <c r="K19" s="1693"/>
      <c r="L19" s="1693"/>
      <c r="M19" s="1693"/>
      <c r="N19" s="1693"/>
      <c r="O19" s="1693"/>
      <c r="P19" s="1693"/>
      <c r="Q19" s="1694"/>
    </row>
    <row r="20" spans="1:17" ht="16.5">
      <c r="A20" s="1692">
        <f t="shared" si="0"/>
        <v>15</v>
      </c>
      <c r="B20" s="2872"/>
      <c r="C20" s="1556" t="s">
        <v>4471</v>
      </c>
      <c r="D20" s="1693"/>
      <c r="E20" s="1693"/>
      <c r="F20" s="1693"/>
      <c r="G20" s="1693"/>
      <c r="H20" s="1693"/>
      <c r="I20" s="1693"/>
      <c r="J20" s="1693"/>
      <c r="K20" s="1693"/>
      <c r="L20" s="1693"/>
      <c r="M20" s="1693"/>
      <c r="N20" s="1693"/>
      <c r="O20" s="1693"/>
      <c r="P20" s="1693"/>
      <c r="Q20" s="1694"/>
    </row>
    <row r="21" spans="1:17" ht="16.5">
      <c r="A21" s="1692">
        <f t="shared" si="0"/>
        <v>16</v>
      </c>
      <c r="B21" s="2870" t="s">
        <v>4472</v>
      </c>
      <c r="C21" s="1553" t="s">
        <v>3481</v>
      </c>
      <c r="D21" s="1693"/>
      <c r="E21" s="1693"/>
      <c r="F21" s="1693"/>
      <c r="G21" s="1693"/>
      <c r="H21" s="1693"/>
      <c r="I21" s="1693"/>
      <c r="J21" s="1693"/>
      <c r="K21" s="1693"/>
      <c r="L21" s="1693"/>
      <c r="M21" s="1693"/>
      <c r="N21" s="1693"/>
      <c r="O21" s="1693"/>
      <c r="P21" s="1693"/>
      <c r="Q21" s="1694"/>
    </row>
    <row r="22" spans="1:17" ht="16.5">
      <c r="A22" s="1692">
        <f t="shared" si="0"/>
        <v>17</v>
      </c>
      <c r="B22" s="2871"/>
      <c r="C22" s="1553" t="s">
        <v>3451</v>
      </c>
      <c r="D22" s="1693"/>
      <c r="E22" s="1693"/>
      <c r="F22" s="1693"/>
      <c r="G22" s="1693"/>
      <c r="H22" s="1693"/>
      <c r="I22" s="1693"/>
      <c r="J22" s="1693"/>
      <c r="K22" s="1693"/>
      <c r="L22" s="1693"/>
      <c r="M22" s="1693"/>
      <c r="N22" s="1693"/>
      <c r="O22" s="1693"/>
      <c r="P22" s="1693"/>
      <c r="Q22" s="1694"/>
    </row>
    <row r="23" spans="1:17" ht="16.5">
      <c r="A23" s="1692">
        <f t="shared" si="0"/>
        <v>18</v>
      </c>
      <c r="B23" s="2871"/>
      <c r="C23" s="1553" t="s">
        <v>4626</v>
      </c>
      <c r="D23" s="1693"/>
      <c r="E23" s="1693"/>
      <c r="F23" s="1693"/>
      <c r="G23" s="1693"/>
      <c r="H23" s="1693"/>
      <c r="I23" s="1693"/>
      <c r="J23" s="1693"/>
      <c r="K23" s="1693"/>
      <c r="L23" s="1693"/>
      <c r="M23" s="1693"/>
      <c r="N23" s="1693"/>
      <c r="O23" s="1693"/>
      <c r="P23" s="1693"/>
      <c r="Q23" s="1694"/>
    </row>
    <row r="24" spans="1:17" ht="16.5">
      <c r="A24" s="1692">
        <f t="shared" si="0"/>
        <v>19</v>
      </c>
      <c r="B24" s="2871"/>
      <c r="C24" s="1553" t="s">
        <v>4627</v>
      </c>
      <c r="D24" s="1693"/>
      <c r="E24" s="1693"/>
      <c r="F24" s="1693"/>
      <c r="G24" s="1693"/>
      <c r="H24" s="1693"/>
      <c r="I24" s="1693"/>
      <c r="J24" s="1693"/>
      <c r="K24" s="1693"/>
      <c r="L24" s="1693"/>
      <c r="M24" s="1693"/>
      <c r="N24" s="1693"/>
      <c r="O24" s="1693"/>
      <c r="P24" s="1693"/>
      <c r="Q24" s="1694"/>
    </row>
    <row r="25" spans="1:17" ht="16.5">
      <c r="A25" s="1692">
        <f t="shared" si="0"/>
        <v>20</v>
      </c>
      <c r="B25" s="2872"/>
      <c r="C25" s="1556" t="s">
        <v>4471</v>
      </c>
      <c r="D25" s="1693"/>
      <c r="E25" s="1693"/>
      <c r="F25" s="1693"/>
      <c r="G25" s="1693"/>
      <c r="H25" s="1693"/>
      <c r="I25" s="1693"/>
      <c r="J25" s="1693"/>
      <c r="K25" s="1693"/>
      <c r="L25" s="1693"/>
      <c r="M25" s="1693"/>
      <c r="N25" s="1693"/>
      <c r="O25" s="1693"/>
      <c r="P25" s="1693"/>
      <c r="Q25" s="1694"/>
    </row>
    <row r="26" spans="1:17" ht="15.75" customHeight="1">
      <c r="A26" s="1692">
        <f t="shared" si="0"/>
        <v>21</v>
      </c>
      <c r="B26" s="2867" t="s">
        <v>4628</v>
      </c>
      <c r="C26" s="2868"/>
      <c r="D26" s="1693"/>
      <c r="E26" s="1693"/>
      <c r="F26" s="1693"/>
      <c r="G26" s="1693"/>
      <c r="H26" s="1693"/>
      <c r="I26" s="1693"/>
      <c r="J26" s="1693"/>
      <c r="K26" s="1693"/>
      <c r="L26" s="1693"/>
      <c r="M26" s="1693"/>
      <c r="N26" s="1693"/>
      <c r="O26" s="1693"/>
      <c r="P26" s="1693"/>
      <c r="Q26" s="1694"/>
    </row>
    <row r="27" spans="1:17" ht="15.75" customHeight="1">
      <c r="A27" s="1692">
        <f t="shared" si="0"/>
        <v>22</v>
      </c>
      <c r="B27" s="2867" t="s">
        <v>3509</v>
      </c>
      <c r="C27" s="2868"/>
      <c r="D27" s="1693"/>
      <c r="E27" s="1693"/>
      <c r="F27" s="1693"/>
      <c r="G27" s="1693"/>
      <c r="H27" s="1693"/>
      <c r="I27" s="1693"/>
      <c r="J27" s="1693"/>
      <c r="K27" s="1693"/>
      <c r="L27" s="1693"/>
      <c r="M27" s="1693"/>
      <c r="N27" s="1693"/>
      <c r="O27" s="1693"/>
      <c r="P27" s="1693"/>
      <c r="Q27" s="1694"/>
    </row>
    <row r="28" spans="1:17" ht="15.75" customHeight="1">
      <c r="A28" s="1692">
        <f t="shared" si="0"/>
        <v>23</v>
      </c>
      <c r="B28" s="2867" t="s">
        <v>4629</v>
      </c>
      <c r="C28" s="2868"/>
      <c r="D28" s="1693"/>
      <c r="E28" s="1693"/>
      <c r="F28" s="1693"/>
      <c r="G28" s="1693"/>
      <c r="H28" s="1693"/>
      <c r="I28" s="1693"/>
      <c r="J28" s="1693"/>
      <c r="K28" s="1693"/>
      <c r="L28" s="1693"/>
      <c r="M28" s="1693"/>
      <c r="N28" s="1693"/>
      <c r="O28" s="1693"/>
      <c r="P28" s="1693"/>
      <c r="Q28" s="1694"/>
    </row>
    <row r="29" spans="1:17" ht="15.75" customHeight="1">
      <c r="A29" s="1692">
        <f t="shared" si="0"/>
        <v>24</v>
      </c>
      <c r="B29" s="2867" t="s">
        <v>4630</v>
      </c>
      <c r="C29" s="2868"/>
      <c r="D29" s="1693"/>
      <c r="E29" s="1693"/>
      <c r="F29" s="1693"/>
      <c r="G29" s="1693"/>
      <c r="H29" s="1693"/>
      <c r="I29" s="1693"/>
      <c r="J29" s="1693"/>
      <c r="K29" s="1693"/>
      <c r="L29" s="1693"/>
      <c r="M29" s="1693"/>
      <c r="N29" s="1693"/>
      <c r="O29" s="1693"/>
      <c r="P29" s="1693"/>
      <c r="Q29" s="1694"/>
    </row>
    <row r="30" spans="1:17" ht="15.75" customHeight="1">
      <c r="A30" s="1692">
        <f t="shared" si="0"/>
        <v>25</v>
      </c>
      <c r="B30" s="2867" t="s">
        <v>4631</v>
      </c>
      <c r="C30" s="2868"/>
      <c r="D30" s="1693"/>
      <c r="E30" s="1693"/>
      <c r="F30" s="1693"/>
      <c r="G30" s="1693"/>
      <c r="H30" s="1693"/>
      <c r="I30" s="1693"/>
      <c r="J30" s="1693"/>
      <c r="K30" s="1693"/>
      <c r="L30" s="1693"/>
      <c r="M30" s="1693"/>
      <c r="N30" s="1693"/>
      <c r="O30" s="1693"/>
      <c r="P30" s="1693"/>
      <c r="Q30" s="1694"/>
    </row>
    <row r="31" spans="1:17" ht="15.75" customHeight="1">
      <c r="A31" s="1692">
        <f t="shared" si="0"/>
        <v>26</v>
      </c>
      <c r="B31" s="2867" t="s">
        <v>4632</v>
      </c>
      <c r="C31" s="2868"/>
      <c r="D31" s="1693"/>
      <c r="E31" s="1693"/>
      <c r="F31" s="1693"/>
      <c r="G31" s="1693"/>
      <c r="H31" s="1693"/>
      <c r="I31" s="1693"/>
      <c r="J31" s="1693"/>
      <c r="K31" s="1693"/>
      <c r="L31" s="1693"/>
      <c r="M31" s="1693"/>
      <c r="N31" s="1693"/>
      <c r="O31" s="1693"/>
      <c r="P31" s="1693"/>
      <c r="Q31" s="1694"/>
    </row>
    <row r="32" spans="1:17" ht="15.75" customHeight="1">
      <c r="A32" s="1692">
        <f t="shared" si="0"/>
        <v>27</v>
      </c>
      <c r="B32" s="2867" t="s">
        <v>4633</v>
      </c>
      <c r="C32" s="2868"/>
      <c r="D32" s="1693"/>
      <c r="E32" s="1693"/>
      <c r="F32" s="1693"/>
      <c r="G32" s="1693"/>
      <c r="H32" s="1693"/>
      <c r="I32" s="1693"/>
      <c r="J32" s="1693"/>
      <c r="K32" s="1693"/>
      <c r="L32" s="1693"/>
      <c r="M32" s="1693"/>
      <c r="N32" s="1693"/>
      <c r="O32" s="1693"/>
      <c r="P32" s="1693"/>
      <c r="Q32" s="1694"/>
    </row>
    <row r="33" spans="1:18" ht="15.75" customHeight="1">
      <c r="A33" s="1692">
        <f t="shared" si="0"/>
        <v>28</v>
      </c>
      <c r="B33" s="2867" t="s">
        <v>4634</v>
      </c>
      <c r="C33" s="2868"/>
      <c r="D33" s="1693"/>
      <c r="E33" s="1693"/>
      <c r="F33" s="1693"/>
      <c r="G33" s="1693"/>
      <c r="H33" s="1693"/>
      <c r="I33" s="1693"/>
      <c r="J33" s="1693"/>
      <c r="K33" s="1693"/>
      <c r="L33" s="1693"/>
      <c r="M33" s="1693"/>
      <c r="N33" s="1693"/>
      <c r="O33" s="1693"/>
      <c r="P33" s="1693"/>
      <c r="Q33" s="1694"/>
    </row>
    <row r="34" spans="1:18" ht="16.5" customHeight="1">
      <c r="A34" s="1692">
        <f t="shared" si="0"/>
        <v>29</v>
      </c>
      <c r="B34" s="2874" t="s">
        <v>4635</v>
      </c>
      <c r="C34" s="1553" t="s">
        <v>3595</v>
      </c>
      <c r="D34" s="1693"/>
      <c r="E34" s="1693"/>
      <c r="F34" s="1693"/>
      <c r="G34" s="1693"/>
      <c r="H34" s="1693"/>
      <c r="I34" s="1693"/>
      <c r="J34" s="1693"/>
      <c r="K34" s="1693"/>
      <c r="L34" s="1695"/>
      <c r="M34" s="1693"/>
      <c r="N34" s="1693"/>
      <c r="O34" s="1693"/>
      <c r="P34" s="1693"/>
      <c r="Q34" s="1694"/>
    </row>
    <row r="35" spans="1:18" ht="16.5">
      <c r="A35" s="1692">
        <f t="shared" si="0"/>
        <v>30</v>
      </c>
      <c r="B35" s="2875"/>
      <c r="C35" s="1553" t="s">
        <v>3608</v>
      </c>
      <c r="D35" s="1693"/>
      <c r="E35" s="1693"/>
      <c r="F35" s="1693"/>
      <c r="G35" s="1693"/>
      <c r="H35" s="1693"/>
      <c r="I35" s="1693"/>
      <c r="J35" s="1693"/>
      <c r="K35" s="1693"/>
      <c r="L35" s="1695"/>
      <c r="M35" s="1693"/>
      <c r="N35" s="1693"/>
      <c r="O35" s="1693"/>
      <c r="P35" s="1693"/>
      <c r="Q35" s="1694"/>
    </row>
    <row r="36" spans="1:18" ht="16.5">
      <c r="A36" s="1692">
        <f t="shared" si="0"/>
        <v>31</v>
      </c>
      <c r="B36" s="2875"/>
      <c r="C36" s="1557" t="s">
        <v>4636</v>
      </c>
      <c r="D36" s="1693"/>
      <c r="E36" s="1693"/>
      <c r="F36" s="1693"/>
      <c r="G36" s="1693"/>
      <c r="H36" s="1696"/>
      <c r="I36" s="1696"/>
      <c r="J36" s="1696"/>
      <c r="K36" s="1696"/>
      <c r="L36" s="1695"/>
      <c r="M36" s="1693"/>
      <c r="N36" s="1693"/>
      <c r="O36" s="1693"/>
      <c r="P36" s="1693"/>
      <c r="Q36" s="1694"/>
    </row>
    <row r="37" spans="1:18" ht="16.5">
      <c r="A37" s="1692">
        <f t="shared" si="0"/>
        <v>32</v>
      </c>
      <c r="B37" s="2875"/>
      <c r="C37" s="1557" t="s">
        <v>3510</v>
      </c>
      <c r="D37" s="1693"/>
      <c r="E37" s="1693"/>
      <c r="F37" s="1693"/>
      <c r="G37" s="1693"/>
      <c r="H37" s="1696"/>
      <c r="I37" s="1696"/>
      <c r="J37" s="1696"/>
      <c r="K37" s="1696"/>
      <c r="L37" s="1695"/>
      <c r="M37" s="1693"/>
      <c r="N37" s="1693"/>
      <c r="O37" s="1693"/>
      <c r="P37" s="1693"/>
      <c r="Q37" s="1694"/>
    </row>
    <row r="38" spans="1:18" ht="16.5">
      <c r="A38" s="1692">
        <f t="shared" si="0"/>
        <v>33</v>
      </c>
      <c r="B38" s="2876"/>
      <c r="C38" s="1553" t="s">
        <v>4637</v>
      </c>
      <c r="D38" s="1693"/>
      <c r="E38" s="1693"/>
      <c r="F38" s="1693"/>
      <c r="G38" s="1693"/>
      <c r="H38" s="1693"/>
      <c r="I38" s="1693"/>
      <c r="J38" s="1693"/>
      <c r="K38" s="1693"/>
      <c r="L38" s="1695"/>
      <c r="M38" s="1693"/>
      <c r="N38" s="1693"/>
      <c r="O38" s="1693"/>
      <c r="P38" s="1693"/>
      <c r="Q38" s="1694"/>
    </row>
    <row r="39" spans="1:18" ht="15.75" customHeight="1">
      <c r="A39" s="1692">
        <f t="shared" si="0"/>
        <v>34</v>
      </c>
      <c r="B39" s="2867" t="s">
        <v>4638</v>
      </c>
      <c r="C39" s="2868"/>
      <c r="D39" s="1693"/>
      <c r="E39" s="1693"/>
      <c r="F39" s="1693"/>
      <c r="G39" s="1693"/>
      <c r="H39" s="1693"/>
      <c r="I39" s="1693"/>
      <c r="J39" s="1693"/>
      <c r="K39" s="1693"/>
      <c r="L39" s="1693"/>
      <c r="M39" s="1693"/>
      <c r="N39" s="1693"/>
      <c r="O39" s="1693"/>
      <c r="P39" s="1693"/>
      <c r="Q39" s="1694"/>
    </row>
    <row r="40" spans="1:18" ht="15.75">
      <c r="A40" s="1697"/>
      <c r="B40" s="435"/>
      <c r="C40" s="435"/>
      <c r="D40" s="1698"/>
      <c r="E40" s="1698"/>
      <c r="F40" s="1698"/>
      <c r="G40" s="1698"/>
      <c r="H40" s="1698"/>
      <c r="I40" s="1698"/>
      <c r="J40" s="1698"/>
      <c r="K40" s="1698"/>
      <c r="L40" s="1698"/>
      <c r="M40" s="1698"/>
      <c r="N40" s="1698"/>
      <c r="O40" s="1698"/>
      <c r="P40" s="1698"/>
      <c r="Q40" s="1699"/>
    </row>
    <row r="41" spans="1:18" ht="16.5">
      <c r="A41" s="1700" t="s">
        <v>3609</v>
      </c>
      <c r="B41" s="1701"/>
      <c r="C41" s="1685"/>
      <c r="D41" s="1685"/>
      <c r="E41" s="1685"/>
      <c r="F41" s="1685"/>
      <c r="G41" s="1685"/>
      <c r="H41" s="1685"/>
      <c r="I41" s="1685"/>
      <c r="J41" s="1685"/>
      <c r="K41" s="1685"/>
      <c r="L41" s="1685"/>
      <c r="M41" s="1685"/>
      <c r="N41" s="1685"/>
      <c r="O41" s="1685"/>
      <c r="P41" s="1685"/>
      <c r="Q41" s="1685"/>
    </row>
    <row r="42" spans="1:18" ht="16.5">
      <c r="A42" s="1702">
        <v>1</v>
      </c>
      <c r="B42" s="452" t="s">
        <v>4639</v>
      </c>
      <c r="C42" s="1701"/>
      <c r="D42" s="1701"/>
      <c r="E42" s="1701"/>
      <c r="F42" s="1701"/>
      <c r="G42" s="1701"/>
      <c r="H42" s="1701"/>
      <c r="I42" s="1701"/>
      <c r="J42" s="1701"/>
      <c r="K42" s="1701"/>
      <c r="L42" s="1701"/>
      <c r="M42" s="1701"/>
      <c r="N42" s="1701"/>
      <c r="O42" s="1701"/>
      <c r="P42" s="1701"/>
      <c r="Q42" s="1701"/>
      <c r="R42" s="1703"/>
    </row>
    <row r="43" spans="1:18" ht="15.75" customHeight="1">
      <c r="A43" s="1702">
        <v>2</v>
      </c>
      <c r="B43" s="426" t="s">
        <v>4640</v>
      </c>
      <c r="C43" s="426"/>
      <c r="D43" s="1685"/>
      <c r="E43" s="1685"/>
      <c r="F43" s="1685"/>
      <c r="G43" s="1685"/>
      <c r="H43" s="1685"/>
      <c r="I43" s="1685"/>
      <c r="J43" s="1685"/>
      <c r="K43" s="1685"/>
      <c r="L43" s="1685"/>
      <c r="M43" s="1685"/>
      <c r="N43" s="1685"/>
      <c r="O43" s="1685"/>
      <c r="P43" s="1685"/>
      <c r="Q43" s="1685"/>
    </row>
    <row r="44" spans="1:18" ht="16.5">
      <c r="A44" s="1704">
        <v>3</v>
      </c>
      <c r="B44" s="496" t="s">
        <v>4641</v>
      </c>
      <c r="C44" s="1701"/>
      <c r="D44" s="1701"/>
      <c r="E44" s="1701"/>
      <c r="F44" s="1701"/>
      <c r="G44" s="1701"/>
      <c r="H44" s="1701"/>
      <c r="I44" s="1701"/>
      <c r="J44" s="1701"/>
      <c r="K44" s="1701"/>
      <c r="L44" s="1701"/>
      <c r="M44" s="1701"/>
      <c r="N44" s="1701"/>
      <c r="O44" s="1701"/>
      <c r="P44" s="1701"/>
      <c r="Q44" s="1685"/>
    </row>
    <row r="45" spans="1:18" ht="16.5">
      <c r="A45" s="1704">
        <v>4</v>
      </c>
      <c r="B45" s="426" t="s">
        <v>4063</v>
      </c>
      <c r="C45" s="1685"/>
      <c r="D45" s="1685"/>
      <c r="E45" s="1685"/>
      <c r="F45" s="1685"/>
      <c r="G45" s="1685"/>
      <c r="H45" s="1685"/>
      <c r="I45" s="1685"/>
      <c r="J45" s="1685"/>
      <c r="K45" s="1685"/>
      <c r="L45" s="1685"/>
      <c r="M45" s="1685"/>
      <c r="N45" s="1685"/>
      <c r="O45" s="1685"/>
      <c r="P45" s="1685"/>
      <c r="Q45" s="1685"/>
    </row>
    <row r="46" spans="1:18" ht="15.75" customHeight="1">
      <c r="A46" s="1704">
        <v>5</v>
      </c>
      <c r="B46" s="426" t="s">
        <v>4642</v>
      </c>
      <c r="C46" s="496"/>
      <c r="D46" s="496"/>
      <c r="E46" s="496"/>
      <c r="F46" s="496"/>
      <c r="G46" s="496"/>
      <c r="H46" s="496"/>
      <c r="I46" s="496"/>
      <c r="J46" s="496"/>
      <c r="K46" s="496"/>
      <c r="L46" s="496"/>
      <c r="M46" s="496"/>
      <c r="N46" s="496"/>
      <c r="O46" s="496"/>
      <c r="P46" s="496"/>
      <c r="Q46" s="496"/>
    </row>
    <row r="47" spans="1:18" ht="16.5">
      <c r="A47" s="2659">
        <v>6</v>
      </c>
      <c r="B47" s="2660" t="s">
        <v>8445</v>
      </c>
    </row>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2"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83</vt:i4>
      </vt:variant>
      <vt:variant>
        <vt:lpstr>具名範圍</vt:lpstr>
      </vt:variant>
      <vt:variant>
        <vt:i4>44</vt:i4>
      </vt:variant>
    </vt:vector>
  </HeadingPairs>
  <TitlesOfParts>
    <vt:vector size="127"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表30-5-3-1</vt:lpstr>
      <vt:lpstr>表30-5-3-2</vt:lpstr>
      <vt:lpstr>表30-5-3-3</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'表30-5-3'!Print_Area</vt:lpstr>
      <vt:lpstr>'表30-5-3-1'!Print_Area</vt:lpstr>
      <vt:lpstr>'表30-5-3-2'!Print_Area</vt:lpstr>
      <vt:lpstr>'表30-5-3-3'!Print_Area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高晟烈</cp:lastModifiedBy>
  <cp:lastPrinted>2024-06-21T01:44:56Z</cp:lastPrinted>
  <dcterms:created xsi:type="dcterms:W3CDTF">2009-03-06T03:10:17Z</dcterms:created>
  <dcterms:modified xsi:type="dcterms:W3CDTF">2024-07-23T07:10:35Z</dcterms:modified>
</cp:coreProperties>
</file>